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ALLOCATIONS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cost_UPL_sfy11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MI">'[3]table 2.5'!$B$4:$T$154</definedName>
    <definedName name="_xlnm.Print_Titles" localSheetId="0">ALLOCATIONS!$1:$11</definedName>
    <definedName name="PUBUSE">#REF!</definedName>
    <definedName name="q_sum_ex">#REF!</definedName>
    <definedName name="second_version" hidden="1">{"'data dictionary'!$A$1:$C$26"}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B84" i="1" l="1"/>
  <c r="N83" i="1"/>
  <c r="N84" i="1" l="1"/>
  <c r="O83" i="1"/>
  <c r="O84" i="1" l="1"/>
  <c r="P83" i="1"/>
  <c r="P84" i="1" l="1"/>
  <c r="Q83" i="1"/>
  <c r="N73" i="1" l="1"/>
  <c r="N62" i="1"/>
  <c r="B46" i="1"/>
  <c r="N38" i="1"/>
  <c r="Q37" i="1"/>
  <c r="Q31" i="1"/>
  <c r="N30" i="1"/>
  <c r="Q28" i="1"/>
  <c r="B24" i="1"/>
  <c r="C5" i="1"/>
  <c r="D5" i="1" s="1"/>
  <c r="B5" i="1"/>
  <c r="C4" i="1"/>
  <c r="D4" i="1" s="1"/>
  <c r="B3" i="1"/>
  <c r="D3" i="1" s="1"/>
  <c r="D2" i="1"/>
  <c r="N29" i="1" l="1"/>
  <c r="N28" i="1"/>
  <c r="N56" i="1"/>
  <c r="N58" i="1"/>
  <c r="N61" i="1"/>
  <c r="N65" i="1"/>
  <c r="N69" i="1"/>
  <c r="N41" i="1"/>
  <c r="N49" i="1"/>
  <c r="N70" i="1"/>
  <c r="N74" i="1"/>
  <c r="N15" i="1"/>
  <c r="N19" i="1"/>
  <c r="N31" i="1"/>
  <c r="N35" i="1"/>
  <c r="H42" i="1"/>
  <c r="H76" i="1"/>
  <c r="B9" i="1" s="1"/>
  <c r="B77" i="1" s="1"/>
  <c r="B79" i="1" s="1"/>
  <c r="N39" i="1"/>
  <c r="N59" i="1"/>
  <c r="N71" i="1"/>
  <c r="B21" i="1"/>
  <c r="H21" i="1"/>
  <c r="N20" i="1"/>
  <c r="B44" i="1"/>
  <c r="B76" i="1"/>
  <c r="N50" i="1"/>
  <c r="N54" i="1"/>
  <c r="N16" i="1"/>
  <c r="N17" i="1"/>
  <c r="N34" i="1"/>
  <c r="N60" i="1"/>
  <c r="N64" i="1"/>
  <c r="N75" i="1"/>
  <c r="N32" i="1"/>
  <c r="N33" i="1"/>
  <c r="N40" i="1"/>
  <c r="N53" i="1"/>
  <c r="N63" i="1"/>
  <c r="N68" i="1"/>
  <c r="N14" i="1"/>
  <c r="N36" i="1"/>
  <c r="N37" i="1"/>
  <c r="N51" i="1"/>
  <c r="N52" i="1"/>
  <c r="N57" i="1"/>
  <c r="N66" i="1"/>
  <c r="N67" i="1"/>
  <c r="N72" i="1"/>
  <c r="N13" i="1"/>
  <c r="N18" i="1"/>
  <c r="N55" i="1"/>
  <c r="B23" i="1"/>
  <c r="B78" i="1"/>
  <c r="B42" i="1"/>
  <c r="N42" i="1" l="1"/>
  <c r="O30" i="1" s="1"/>
  <c r="B8" i="1"/>
  <c r="B7" i="1"/>
  <c r="N76" i="1"/>
  <c r="O60" i="1" s="1"/>
  <c r="P60" i="1" s="1"/>
  <c r="Q60" i="1" s="1"/>
  <c r="N21" i="1"/>
  <c r="O15" i="1" s="1"/>
  <c r="P15" i="1" s="1"/>
  <c r="Q15" i="1" s="1"/>
  <c r="O55" i="1"/>
  <c r="P55" i="1" s="1"/>
  <c r="Q55" i="1" s="1"/>
  <c r="O40" i="1"/>
  <c r="O72" i="1"/>
  <c r="P72" i="1" s="1"/>
  <c r="Q72" i="1" s="1"/>
  <c r="O37" i="1"/>
  <c r="O49" i="1"/>
  <c r="O31" i="1"/>
  <c r="B43" i="1"/>
  <c r="B45" i="1" s="1"/>
  <c r="P30" i="1" s="1"/>
  <c r="Q30" i="1" s="1"/>
  <c r="O35" i="1"/>
  <c r="O61" i="1"/>
  <c r="P61" i="1" s="1"/>
  <c r="Q61" i="1" s="1"/>
  <c r="O59" i="1"/>
  <c r="P59" i="1" s="1"/>
  <c r="Q59" i="1" s="1"/>
  <c r="O73" i="1"/>
  <c r="P73" i="1" s="1"/>
  <c r="Q73" i="1" s="1"/>
  <c r="O52" i="1"/>
  <c r="P52" i="1" s="1"/>
  <c r="Q52" i="1" s="1"/>
  <c r="O50" i="1"/>
  <c r="P50" i="1" s="1"/>
  <c r="Q50" i="1" s="1"/>
  <c r="O33" i="1"/>
  <c r="O41" i="1"/>
  <c r="P33" i="1" l="1"/>
  <c r="Q33" i="1" s="1"/>
  <c r="O34" i="1"/>
  <c r="O42" i="1" s="1"/>
  <c r="O38" i="1"/>
  <c r="P38" i="1" s="1"/>
  <c r="Q38" i="1" s="1"/>
  <c r="O28" i="1"/>
  <c r="O29" i="1"/>
  <c r="P29" i="1" s="1"/>
  <c r="Q29" i="1" s="1"/>
  <c r="O36" i="1"/>
  <c r="P36" i="1" s="1"/>
  <c r="Q36" i="1" s="1"/>
  <c r="O39" i="1"/>
  <c r="P39" i="1" s="1"/>
  <c r="Q39" i="1" s="1"/>
  <c r="O32" i="1"/>
  <c r="O58" i="1"/>
  <c r="P58" i="1" s="1"/>
  <c r="Q58" i="1" s="1"/>
  <c r="O70" i="1"/>
  <c r="P70" i="1" s="1"/>
  <c r="Q70" i="1" s="1"/>
  <c r="O74" i="1"/>
  <c r="P74" i="1" s="1"/>
  <c r="Q74" i="1" s="1"/>
  <c r="O62" i="1"/>
  <c r="P62" i="1" s="1"/>
  <c r="Q62" i="1" s="1"/>
  <c r="O71" i="1"/>
  <c r="P71" i="1" s="1"/>
  <c r="Q71" i="1" s="1"/>
  <c r="O66" i="1"/>
  <c r="P66" i="1" s="1"/>
  <c r="Q66" i="1" s="1"/>
  <c r="P34" i="1"/>
  <c r="Q34" i="1" s="1"/>
  <c r="P32" i="1"/>
  <c r="Q32" i="1" s="1"/>
  <c r="O19" i="1"/>
  <c r="P19" i="1" s="1"/>
  <c r="Q19" i="1" s="1"/>
  <c r="P35" i="1"/>
  <c r="Q35" i="1" s="1"/>
  <c r="O16" i="1"/>
  <c r="P16" i="1" s="1"/>
  <c r="Q16" i="1" s="1"/>
  <c r="P40" i="1"/>
  <c r="Q40" i="1" s="1"/>
  <c r="P41" i="1"/>
  <c r="Q41" i="1" s="1"/>
  <c r="O65" i="1"/>
  <c r="P65" i="1" s="1"/>
  <c r="Q65" i="1" s="1"/>
  <c r="O67" i="1"/>
  <c r="P67" i="1" s="1"/>
  <c r="Q67" i="1" s="1"/>
  <c r="O18" i="1"/>
  <c r="P18" i="1" s="1"/>
  <c r="Q18" i="1" s="1"/>
  <c r="O53" i="1"/>
  <c r="P53" i="1" s="1"/>
  <c r="Q53" i="1" s="1"/>
  <c r="O54" i="1"/>
  <c r="P54" i="1" s="1"/>
  <c r="Q54" i="1" s="1"/>
  <c r="O13" i="1"/>
  <c r="P13" i="1" s="1"/>
  <c r="O64" i="1"/>
  <c r="P64" i="1" s="1"/>
  <c r="Q64" i="1" s="1"/>
  <c r="O17" i="1"/>
  <c r="P17" i="1" s="1"/>
  <c r="Q17" i="1" s="1"/>
  <c r="O63" i="1"/>
  <c r="P63" i="1" s="1"/>
  <c r="Q63" i="1" s="1"/>
  <c r="O75" i="1"/>
  <c r="P75" i="1" s="1"/>
  <c r="Q75" i="1" s="1"/>
  <c r="O14" i="1"/>
  <c r="P14" i="1" s="1"/>
  <c r="Q14" i="1" s="1"/>
  <c r="O56" i="1"/>
  <c r="P56" i="1" s="1"/>
  <c r="Q56" i="1" s="1"/>
  <c r="O68" i="1"/>
  <c r="P68" i="1" s="1"/>
  <c r="Q68" i="1" s="1"/>
  <c r="O69" i="1"/>
  <c r="P69" i="1" s="1"/>
  <c r="Q69" i="1" s="1"/>
  <c r="O20" i="1"/>
  <c r="P20" i="1" s="1"/>
  <c r="Q20" i="1" s="1"/>
  <c r="O57" i="1"/>
  <c r="P57" i="1" s="1"/>
  <c r="Q57" i="1" s="1"/>
  <c r="O51" i="1"/>
  <c r="P51" i="1" s="1"/>
  <c r="Q51" i="1" s="1"/>
  <c r="P49" i="1"/>
  <c r="O21" i="1" l="1"/>
  <c r="O76" i="1"/>
  <c r="P21" i="1"/>
  <c r="Q13" i="1"/>
  <c r="P76" i="1"/>
  <c r="Q49" i="1"/>
  <c r="P42" i="1"/>
</calcChain>
</file>

<file path=xl/comments1.xml><?xml version="1.0" encoding="utf-8"?>
<comments xmlns="http://schemas.openxmlformats.org/spreadsheetml/2006/main">
  <authors>
    <author>Aaron Morris</author>
  </authors>
  <commentList>
    <comment ref="A41" authorId="0">
      <text>
        <r>
          <rPr>
            <b/>
            <sz val="9"/>
            <color indexed="81"/>
            <rFont val="Tahoma"/>
            <family val="2"/>
          </rPr>
          <t>Aaron Morris:</t>
        </r>
        <r>
          <rPr>
            <sz val="9"/>
            <color indexed="81"/>
            <rFont val="Tahoma"/>
            <family val="2"/>
          </rPr>
          <t xml:space="preserve">
6 month CR annualized
</t>
        </r>
      </text>
    </comment>
  </commentList>
</comments>
</file>

<file path=xl/sharedStrings.xml><?xml version="1.0" encoding="utf-8"?>
<sst xmlns="http://schemas.openxmlformats.org/spreadsheetml/2006/main" count="222" uniqueCount="212">
  <si>
    <t>Federal Fiscal Year 2014 DSH</t>
  </si>
  <si>
    <t>Private &amp; Community Hospitals</t>
  </si>
  <si>
    <t>IMD (DMH Pays State Share)</t>
  </si>
  <si>
    <t>TOTAL</t>
  </si>
  <si>
    <t>DSH Allocation</t>
  </si>
  <si>
    <t>OHCA State Share @ 35.98%</t>
  </si>
  <si>
    <t>DMH State Share @ 35.98%</t>
  </si>
  <si>
    <t>Federal Share @ 64.02%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</si>
  <si>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</si>
  <si>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</si>
  <si>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</si>
  <si>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</si>
  <si>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</si>
  <si>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</si>
  <si>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</si>
  <si>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</si>
  <si>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</si>
  <si>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</si>
  <si>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</si>
  <si>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</si>
  <si>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3.7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</si>
  <si>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</si>
  <si>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</si>
  <si>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</si>
  <si>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</si>
  <si>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</si>
  <si>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</si>
  <si>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</si>
  <si>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</si>
  <si>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INTEGRIS BAPTIST MEDICAL C</t>
  </si>
  <si>
    <t>INTEGRIS SOUTHWEST MEDICAL</t>
  </si>
  <si>
    <t>MERCY HEALTH CENTER</t>
  </si>
  <si>
    <t>MUSKOGEE REGIONAL MEDICAL CENTER</t>
  </si>
  <si>
    <t>NORMAN REGIONAL HOSPITAL</t>
  </si>
  <si>
    <t>ST ANTHONY HOSPITAL</t>
  </si>
  <si>
    <t>ST JOHN MED CTR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</si>
  <si>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</si>
  <si>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</si>
  <si>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</si>
  <si>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</si>
  <si>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Recycled Amount</t>
  </si>
  <si>
    <t>Group = Beds &gt; 100  &lt; 300</t>
  </si>
  <si>
    <t>COMANCHE COUNTY MEMORIAL HOSPITAL</t>
  </si>
  <si>
    <t>DEACONESS HSP</t>
  </si>
  <si>
    <t>DUNCAN REGIONAL HOSPITAL</t>
  </si>
  <si>
    <t>HILLCREST HOSPITAL SOUTH</t>
  </si>
  <si>
    <t>INTEGRIS BAPTIST REGIONAL HEALTH CE</t>
  </si>
  <si>
    <t>INTEGRIS BASS MEM BAP</t>
  </si>
  <si>
    <t>JANE PHILLIPS EP HSP</t>
  </si>
  <si>
    <t>MCALESTER REGIONAL</t>
  </si>
  <si>
    <t>MEDICAL CENTER OF SOUTHEASTERN OKLAHOMA</t>
  </si>
  <si>
    <t>MERCY HOSPITAL ARDMORE</t>
  </si>
  <si>
    <t>MIDWEST CITY REGIONAL HOSPITAL</t>
  </si>
  <si>
    <t>PONCA CITY MEDICAL CENTER</t>
  </si>
  <si>
    <t>ST MARY'S REGIONAL CTR</t>
  </si>
  <si>
    <t>ST. ANTHONY SHAWNEE HOSPITAL</t>
  </si>
  <si>
    <t>Subtotal Beds for Hospitals &gt;= 100 &lt; 300 Beds</t>
  </si>
  <si>
    <t>Percent of Total Medicaid Days for Private &amp; Community Hospitals with &lt; 300 Beds</t>
  </si>
  <si>
    <t>Group = Beds &lt; 100</t>
  </si>
  <si>
    <t>AHS CLAREMORE REGIONAL HOSPITAL, LLC</t>
  </si>
  <si>
    <t>ATOKA MEMORIAL HOSPITAL</t>
  </si>
  <si>
    <t>BAILEY MEDICAL CENTER LLC</t>
  </si>
  <si>
    <t>CAH ACQUISITION COMPANY 12 LLC</t>
  </si>
  <si>
    <t>CAH ACQUISITION COMPANY 16 LLC</t>
  </si>
  <si>
    <t>CLINTON HMA LLC</t>
  </si>
  <si>
    <t>COAL COUNTY GENERAL HOSPITAL INC</t>
  </si>
  <si>
    <t>CRAIG GENERAL HOSPITAL</t>
  </si>
  <si>
    <t>CUSHING REGIONAL HOSPITAL</t>
  </si>
  <si>
    <t>DRUMRIGHT REGIONAL HOSPITAL</t>
  </si>
  <si>
    <t>GEORGE NIGH REHAB INST VA</t>
  </si>
  <si>
    <t>GREAT PLAINS REGIONAL MEDICAL CENTER</t>
  </si>
  <si>
    <t>HENRYETTA MEDICAL CENTER</t>
  </si>
  <si>
    <t>HOLDENVILLE GEN HSP</t>
  </si>
  <si>
    <t>INTEGRIS CANADIAN VALLEY HOSPITAL</t>
  </si>
  <si>
    <t>INTEGRIS GROVE HOSPITAL</t>
  </si>
  <si>
    <t>INTEGRIS HEALTH EDMOND, INC.</t>
  </si>
  <si>
    <t>J D MCCARTY C P CTR</t>
  </si>
  <si>
    <t>JEAY MEDICAL SERVICES</t>
  </si>
  <si>
    <t>KINGFISHER REGIONAL HOSPITAL</t>
  </si>
  <si>
    <t>LAKESIDE WOMENS CENTER OF OKLAHOMA CITY</t>
  </si>
  <si>
    <t>PRAGUE COMMUNITY HOSPITAL</t>
  </si>
  <si>
    <t>SAINT FRANCIS HOSPITAL SOUTH</t>
  </si>
  <si>
    <t>SEILING COMMUNITY HOSPITAL</t>
  </si>
  <si>
    <t>ST JOHN OWASSO</t>
  </si>
  <si>
    <t>WEATHERFORD HOSPITAL AUTHORITY</t>
  </si>
  <si>
    <t>WOODWARD REGIONAL HOSPITAL</t>
  </si>
  <si>
    <t>Subtotal Beds for Hospitals &lt; 100 Beds</t>
  </si>
  <si>
    <t>200044210A</t>
  </si>
  <si>
    <t>200044210B, 200044210C</t>
  </si>
  <si>
    <t>200044210E</t>
  </si>
  <si>
    <t>37-0001 and 37-T001</t>
  </si>
  <si>
    <t>100806400C</t>
  </si>
  <si>
    <t>100806400Y, 100806400B, 100689250A</t>
  </si>
  <si>
    <t>100806400X, 100800400W</t>
  </si>
  <si>
    <t>37-0028</t>
  </si>
  <si>
    <t>100700200A</t>
  </si>
  <si>
    <t>100700200R</t>
  </si>
  <si>
    <t>37-0106 &amp; 37-T106</t>
  </si>
  <si>
    <t>100699390A</t>
  </si>
  <si>
    <t>37-0013</t>
  </si>
  <si>
    <t>100700630A</t>
  </si>
  <si>
    <t>100700630G</t>
  </si>
  <si>
    <t>100700630H</t>
  </si>
  <si>
    <t>37-0025</t>
  </si>
  <si>
    <t>100700690A</t>
  </si>
  <si>
    <t>37-0008</t>
  </si>
  <si>
    <t>100699540A</t>
  </si>
  <si>
    <t>100699540H, 100699540P</t>
  </si>
  <si>
    <t>100699540T</t>
  </si>
  <si>
    <t>37-0037</t>
  </si>
  <si>
    <t>100699400A</t>
  </si>
  <si>
    <t>100699400H</t>
  </si>
  <si>
    <t>100699400I</t>
  </si>
  <si>
    <t>37-0114, 37S114, 37T114</t>
  </si>
  <si>
    <t>100749570S</t>
  </si>
  <si>
    <t>37-0056</t>
  </si>
  <si>
    <t>100699370A</t>
  </si>
  <si>
    <t>100699370E</t>
  </si>
  <si>
    <t>100699370F</t>
  </si>
  <si>
    <t>37-0032, 37-T032, 37-S032</t>
  </si>
  <si>
    <t>100700120A</t>
  </si>
  <si>
    <t>100700120N</t>
  </si>
  <si>
    <t>37-0023</t>
  </si>
  <si>
    <t>200439230A</t>
  </si>
  <si>
    <t>37-0202</t>
  </si>
  <si>
    <t>100699440A</t>
  </si>
  <si>
    <t>37-0004</t>
  </si>
  <si>
    <t>100699500A</t>
  </si>
  <si>
    <t>100699500S</t>
  </si>
  <si>
    <t>37-0016</t>
  </si>
  <si>
    <t>100699490A</t>
  </si>
  <si>
    <t>37-0018</t>
  </si>
  <si>
    <t>100710530D</t>
  </si>
  <si>
    <t>37-0034</t>
  </si>
  <si>
    <t>100696610B</t>
  </si>
  <si>
    <t>37-0014</t>
  </si>
  <si>
    <t>100262320C</t>
  </si>
  <si>
    <t>37-0047</t>
  </si>
  <si>
    <t>100700490A</t>
  </si>
  <si>
    <t>370094</t>
  </si>
  <si>
    <t>100699420A</t>
  </si>
  <si>
    <t>370006</t>
  </si>
  <si>
    <t>100690020A</t>
  </si>
  <si>
    <t>100690020C</t>
  </si>
  <si>
    <t>37-0026</t>
  </si>
  <si>
    <t>100740840B</t>
  </si>
  <si>
    <t>37-0149</t>
  </si>
  <si>
    <t>200435950A</t>
  </si>
  <si>
    <t>100726280B</t>
  </si>
  <si>
    <t>100726280C</t>
  </si>
  <si>
    <t>37-0039</t>
  </si>
  <si>
    <t>100262850D</t>
  </si>
  <si>
    <t>37-1300</t>
  </si>
  <si>
    <t>200102450A</t>
  </si>
  <si>
    <t>37-0228</t>
  </si>
  <si>
    <t>200311270A</t>
  </si>
  <si>
    <t>37-1318</t>
  </si>
  <si>
    <t>200313370A</t>
  </si>
  <si>
    <t>371335</t>
  </si>
  <si>
    <t>100700010G</t>
  </si>
  <si>
    <t>37-0029, 37-T029 &amp; 37-7277</t>
  </si>
  <si>
    <t>100774650D</t>
  </si>
  <si>
    <t>37-1319</t>
  </si>
  <si>
    <t>100261400B</t>
  </si>
  <si>
    <t>100261400G</t>
  </si>
  <si>
    <t>370065</t>
  </si>
  <si>
    <t>200044190A</t>
  </si>
  <si>
    <t>200044190D</t>
  </si>
  <si>
    <t>32-0099</t>
  </si>
  <si>
    <t>200259440A</t>
  </si>
  <si>
    <t>17-1331</t>
  </si>
  <si>
    <t>100693650A</t>
  </si>
  <si>
    <t>100707370A</t>
  </si>
  <si>
    <t>373026, GRGNGHRHB</t>
  </si>
  <si>
    <t>100699410A</t>
  </si>
  <si>
    <t>37-0019</t>
  </si>
  <si>
    <t>200045700C</t>
  </si>
  <si>
    <t>200045700D</t>
  </si>
  <si>
    <t>37-0183</t>
  </si>
  <si>
    <t>100699880A</t>
  </si>
  <si>
    <t>37-1321</t>
  </si>
  <si>
    <t>100700610A</t>
  </si>
  <si>
    <t>37-0211</t>
  </si>
  <si>
    <t>100699700A</t>
  </si>
  <si>
    <t>37-0113</t>
  </si>
  <si>
    <t>200405550A</t>
  </si>
  <si>
    <t>37-0236</t>
  </si>
  <si>
    <t>100700670A</t>
  </si>
  <si>
    <t>37-330</t>
  </si>
  <si>
    <t>200404110A</t>
  </si>
  <si>
    <t>200404110B</t>
  </si>
  <si>
    <t>370169</t>
  </si>
  <si>
    <t>100699510A</t>
  </si>
  <si>
    <t>37-1313</t>
  </si>
  <si>
    <t>100745350B</t>
  </si>
  <si>
    <t>370199 400520224</t>
  </si>
  <si>
    <t>200231400B</t>
  </si>
  <si>
    <t>37-1301</t>
  </si>
  <si>
    <t>200031310A</t>
  </si>
  <si>
    <t>37-0218</t>
  </si>
  <si>
    <t>200287200A</t>
  </si>
  <si>
    <t>37-1332</t>
  </si>
  <si>
    <t>200106410A</t>
  </si>
  <si>
    <t>37-0227</t>
  </si>
  <si>
    <t>100699870E</t>
  </si>
  <si>
    <t>37-1323</t>
  </si>
  <si>
    <t>200019120A</t>
  </si>
  <si>
    <t>37-0002</t>
  </si>
  <si>
    <t>IMD</t>
  </si>
  <si>
    <t>GRIFFIN MEMORIAL HOSPITAL</t>
  </si>
  <si>
    <t>100690030A</t>
  </si>
  <si>
    <t>37-4000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</si>
</sst>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0.00_)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0"/>
    <xf numFmtId="0" fontId="1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20" fillId="0" borderId="0"/>
    <xf numFmtId="0" fontId="21" fillId="0" borderId="0"/>
    <xf numFmtId="0" fontId="16" fillId="0" borderId="0"/>
    <xf numFmtId="0" fontId="1" fillId="0" borderId="0"/>
    <xf numFmtId="0" fontId="1" fillId="2" borderId="1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3" fillId="3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right" wrapText="1"/>
    </xf>
    <xf numFmtId="0" fontId="4" fillId="0" borderId="5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0" fontId="4" fillId="0" borderId="6" xfId="1" applyNumberFormat="1" applyFont="1" applyFill="1" applyBorder="1" applyAlignment="1">
      <alignment horizontal="right"/>
    </xf>
    <xf numFmtId="44" fontId="7" fillId="0" borderId="7" xfId="2" applyFont="1" applyFill="1" applyBorder="1"/>
    <xf numFmtId="44" fontId="7" fillId="0" borderId="7" xfId="2" applyFont="1" applyBorder="1"/>
    <xf numFmtId="44" fontId="7" fillId="0" borderId="8" xfId="2" applyFont="1" applyFill="1" applyBorder="1"/>
    <xf numFmtId="43" fontId="6" fillId="0" borderId="0" xfId="1" applyFont="1" applyBorder="1"/>
    <xf numFmtId="0" fontId="4" fillId="0" borderId="9" xfId="1" applyNumberFormat="1" applyFont="1" applyFill="1" applyBorder="1" applyAlignment="1">
      <alignment horizontal="right"/>
    </xf>
    <xf numFmtId="44" fontId="7" fillId="3" borderId="7" xfId="2" applyFont="1" applyFill="1" applyBorder="1"/>
    <xf numFmtId="43" fontId="6" fillId="0" borderId="0" xfId="1" applyFont="1" applyFill="1" applyBorder="1"/>
    <xf numFmtId="0" fontId="4" fillId="0" borderId="10" xfId="1" applyNumberFormat="1" applyFont="1" applyFill="1" applyBorder="1" applyAlignment="1">
      <alignment horizontal="right"/>
    </xf>
    <xf numFmtId="44" fontId="7" fillId="0" borderId="11" xfId="2" applyFont="1" applyBorder="1"/>
    <xf numFmtId="44" fontId="7" fillId="0" borderId="12" xfId="2" applyFont="1" applyFill="1" applyBorder="1"/>
    <xf numFmtId="164" fontId="6" fillId="0" borderId="0" xfId="1" applyNumberFormat="1" applyFont="1"/>
    <xf numFmtId="43" fontId="6" fillId="0" borderId="0" xfId="0" applyNumberFormat="1" applyFont="1"/>
    <xf numFmtId="0" fontId="4" fillId="0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8" fillId="0" borderId="0" xfId="0" applyFont="1"/>
    <xf numFmtId="165" fontId="8" fillId="0" borderId="0" xfId="1" applyNumberFormat="1" applyFont="1"/>
    <xf numFmtId="0" fontId="8" fillId="0" borderId="0" xfId="0" applyFont="1" applyFill="1"/>
    <xf numFmtId="164" fontId="8" fillId="0" borderId="0" xfId="1" applyNumberFormat="1" applyFont="1"/>
    <xf numFmtId="0" fontId="4" fillId="4" borderId="7" xfId="0" applyFont="1" applyFill="1" applyBorder="1" applyAlignment="1">
      <alignment wrapText="1"/>
    </xf>
    <xf numFmtId="164" fontId="4" fillId="4" borderId="7" xfId="1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4" fontId="4" fillId="4" borderId="7" xfId="1" applyNumberFormat="1" applyFont="1" applyFill="1" applyBorder="1" applyAlignment="1">
      <alignment horizontal="left" wrapText="1"/>
    </xf>
    <xf numFmtId="164" fontId="4" fillId="4" borderId="7" xfId="1" applyNumberFormat="1" applyFont="1" applyFill="1" applyBorder="1" applyAlignment="1">
      <alignment wrapText="1"/>
    </xf>
    <xf numFmtId="9" fontId="4" fillId="4" borderId="7" xfId="3" applyFont="1" applyFill="1" applyBorder="1" applyAlignment="1">
      <alignment wrapText="1"/>
    </xf>
    <xf numFmtId="165" fontId="4" fillId="4" borderId="7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3" borderId="7" xfId="0" applyFont="1" applyFill="1" applyBorder="1"/>
    <xf numFmtId="164" fontId="11" fillId="3" borderId="7" xfId="1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65" fontId="11" fillId="3" borderId="7" xfId="1" applyNumberFormat="1" applyFont="1" applyFill="1" applyBorder="1" applyAlignment="1">
      <alignment horizontal="center"/>
    </xf>
    <xf numFmtId="0" fontId="11" fillId="3" borderId="7" xfId="0" quotePrefix="1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7" xfId="0" quotePrefix="1" applyFont="1" applyFill="1" applyBorder="1"/>
    <xf numFmtId="0" fontId="11" fillId="0" borderId="0" xfId="0" applyFont="1" applyFill="1"/>
    <xf numFmtId="0" fontId="9" fillId="0" borderId="7" xfId="0" applyNumberFormat="1" applyFont="1" applyFill="1" applyBorder="1" applyAlignment="1">
      <alignment horizontal="right" vertical="center"/>
    </xf>
    <xf numFmtId="164" fontId="8" fillId="0" borderId="7" xfId="1" applyNumberFormat="1" applyFont="1" applyBorder="1"/>
    <xf numFmtId="10" fontId="8" fillId="0" borderId="7" xfId="3" applyNumberFormat="1" applyFont="1" applyBorder="1"/>
    <xf numFmtId="165" fontId="8" fillId="0" borderId="7" xfId="1" applyNumberFormat="1" applyFont="1" applyBorder="1"/>
    <xf numFmtId="44" fontId="8" fillId="0" borderId="7" xfId="0" applyNumberFormat="1" applyFont="1" applyBorder="1"/>
    <xf numFmtId="166" fontId="8" fillId="0" borderId="7" xfId="2" applyNumberFormat="1" applyFont="1" applyBorder="1"/>
    <xf numFmtId="0" fontId="8" fillId="0" borderId="7" xfId="0" applyFont="1" applyBorder="1"/>
    <xf numFmtId="0" fontId="7" fillId="0" borderId="0" xfId="0" applyFont="1"/>
    <xf numFmtId="165" fontId="7" fillId="0" borderId="0" xfId="1" applyNumberFormat="1" applyFont="1"/>
    <xf numFmtId="44" fontId="7" fillId="0" borderId="0" xfId="2" applyFont="1"/>
    <xf numFmtId="10" fontId="7" fillId="0" borderId="0" xfId="3" applyNumberFormat="1" applyFont="1"/>
    <xf numFmtId="0" fontId="7" fillId="0" borderId="0" xfId="0" applyFont="1" applyFill="1"/>
    <xf numFmtId="164" fontId="11" fillId="3" borderId="7" xfId="1" applyNumberFormat="1" applyFont="1" applyFill="1" applyBorder="1"/>
    <xf numFmtId="165" fontId="11" fillId="3" borderId="7" xfId="1" applyNumberFormat="1" applyFont="1" applyFill="1" applyBorder="1"/>
    <xf numFmtId="166" fontId="7" fillId="0" borderId="0" xfId="2" applyNumberFormat="1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10" fontId="7" fillId="0" borderId="0" xfId="2" applyNumberFormat="1" applyFont="1"/>
    <xf numFmtId="43" fontId="8" fillId="0" borderId="7" xfId="1" applyNumberFormat="1" applyFont="1" applyBorder="1"/>
    <xf numFmtId="10" fontId="7" fillId="0" borderId="0" xfId="0" applyNumberFormat="1" applyFont="1" applyFill="1"/>
    <xf numFmtId="164" fontId="7" fillId="0" borderId="0" xfId="0" applyNumberFormat="1" applyFont="1"/>
  </cellXfs>
  <cellStyles count="51">
    <cellStyle name="£Z_x0004_Ç_x0006_^_x0004_" xfId="4"/>
    <cellStyle name="£Z_x0004_Ç_x0006_^_x0004_ 2" xfId="5"/>
    <cellStyle name="£Z_x0004_Ç_x0006_^_x0004_ 2 2" xfId="6"/>
    <cellStyle name="Comma" xfId="1" builtinId="3"/>
    <cellStyle name="Comma [0] 2" xfId="7"/>
    <cellStyle name="Comma 2" xfId="8"/>
    <cellStyle name="Comma 2 2" xfId="9"/>
    <cellStyle name="Comma 2 3" xfId="10"/>
    <cellStyle name="Comma 2 3 2" xfId="11"/>
    <cellStyle name="Comma 2 4" xfId="12"/>
    <cellStyle name="Comma 3" xfId="13"/>
    <cellStyle name="Comma 4" xfId="14"/>
    <cellStyle name="Comma 5" xfId="15"/>
    <cellStyle name="Comma 5 2" xfId="16"/>
    <cellStyle name="Comma 6" xfId="17"/>
    <cellStyle name="Comma 7" xfId="18"/>
    <cellStyle name="Comma 8" xfId="19"/>
    <cellStyle name="Comma 9" xfId="20"/>
    <cellStyle name="Currency" xfId="2" builtinId="4"/>
    <cellStyle name="Currency 2" xfId="21"/>
    <cellStyle name="Currency 3" xfId="22"/>
    <cellStyle name="Hyperlink 2" xfId="23"/>
    <cellStyle name="Normal" xfId="0" builtinId="0"/>
    <cellStyle name="Normal - Style1" xfId="24"/>
    <cellStyle name="Normal 2" xfId="25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3 2 2" xfId="33"/>
    <cellStyle name="Normal 4" xfId="34"/>
    <cellStyle name="Normal 4 2" xfId="35"/>
    <cellStyle name="Normal 4 3" xfId="36"/>
    <cellStyle name="Normal 5" xfId="37"/>
    <cellStyle name="Normal 6" xfId="38"/>
    <cellStyle name="Normal 6 2" xfId="39"/>
    <cellStyle name="Normal 7" xfId="40"/>
    <cellStyle name="Normal 8" xfId="41"/>
    <cellStyle name="Normal 8 2" xfId="42"/>
    <cellStyle name="Normal 9" xfId="43"/>
    <cellStyle name="Note 2" xfId="44"/>
    <cellStyle name="Percent" xfId="3" builtinId="5"/>
    <cellStyle name="Percent 2" xfId="45"/>
    <cellStyle name="Percent 2 2" xfId="46"/>
    <cellStyle name="Percent 3" xfId="47"/>
    <cellStyle name="Percent 4" xfId="48"/>
    <cellStyle name="Percent 5" xfId="49"/>
    <cellStyle name="Percent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ColWidth="9" defaultRowHeight="12" x14ac:dyDescent="0.2"/>
  <cols>
    <col min="1" max="1" width="58" style="6" customWidth="1"/>
    <col min="2" max="2" width="12.75" style="20" bestFit="1" customWidth="1"/>
    <col min="3" max="3" width="11.75" style="6" bestFit="1" customWidth="1"/>
    <col min="4" max="4" width="12.625" style="6" bestFit="1" customWidth="1"/>
    <col min="5" max="5" width="25.75" style="6" bestFit="1" customWidth="1"/>
    <col min="6" max="6" width="17.625" style="6" bestFit="1" customWidth="1"/>
    <col min="7" max="7" width="18.625" style="6" bestFit="1" customWidth="1"/>
    <col min="8" max="9" width="7.5" style="6" bestFit="1" customWidth="1"/>
    <col min="10" max="10" width="7.625" style="6" bestFit="1" customWidth="1"/>
    <col min="11" max="11" width="12.125" style="6" bestFit="1" customWidth="1"/>
    <col min="12" max="12" width="6.625" style="7" bestFit="1" customWidth="1"/>
    <col min="13" max="13" width="11.375" style="6" bestFit="1" customWidth="1"/>
    <col min="14" max="14" width="13.625" style="6" bestFit="1" customWidth="1"/>
    <col min="15" max="15" width="9.125" style="6" bestFit="1" customWidth="1"/>
    <col min="16" max="16" width="10.875" style="6" bestFit="1" customWidth="1"/>
    <col min="17" max="17" width="7" style="6" bestFit="1" customWidth="1"/>
    <col min="18" max="16384" width="9" style="8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Q1" s="8"/>
    </row>
    <row r="2" spans="1:17" ht="12.75" x14ac:dyDescent="0.2">
      <c r="A2" s="9" t="s">
        <v>4</v>
      </c>
      <c r="B2" s="10">
        <v>40701863</v>
      </c>
      <c r="C2" s="11">
        <v>3273248</v>
      </c>
      <c r="D2" s="12">
        <f>SUM(B2:C2)</f>
        <v>43975111</v>
      </c>
      <c r="E2" s="13"/>
      <c r="Q2" s="8"/>
    </row>
    <row r="3" spans="1:17" ht="12.75" x14ac:dyDescent="0.2">
      <c r="A3" s="14" t="s">
        <v>5</v>
      </c>
      <c r="B3" s="10">
        <f>B2*0.3598</f>
        <v>14644530.307400001</v>
      </c>
      <c r="C3" s="15">
        <v>0</v>
      </c>
      <c r="D3" s="12">
        <f>SUM(B3:C3)</f>
        <v>14644530.307400001</v>
      </c>
      <c r="E3" s="16"/>
      <c r="Q3" s="8"/>
    </row>
    <row r="4" spans="1:17" ht="12.75" x14ac:dyDescent="0.2">
      <c r="A4" s="14" t="s">
        <v>6</v>
      </c>
      <c r="B4" s="15">
        <v>0</v>
      </c>
      <c r="C4" s="10">
        <f>C2*0.3598</f>
        <v>1177714.6304000001</v>
      </c>
      <c r="D4" s="12">
        <f>SUM(B4:C4)</f>
        <v>1177714.6304000001</v>
      </c>
      <c r="E4" s="16"/>
      <c r="Q4" s="8"/>
    </row>
    <row r="5" spans="1:17" ht="13.5" thickBot="1" x14ac:dyDescent="0.25">
      <c r="A5" s="17" t="s">
        <v>7</v>
      </c>
      <c r="B5" s="18">
        <f>B2*0.6402</f>
        <v>26057332.692600001</v>
      </c>
      <c r="C5" s="18">
        <f>C2*0.6402</f>
        <v>2095533.3695999999</v>
      </c>
      <c r="D5" s="19">
        <f>SUM(B5:C5)</f>
        <v>28152866.062200002</v>
      </c>
      <c r="E5" s="13"/>
      <c r="Q5" s="8"/>
    </row>
    <row r="6" spans="1:17" x14ac:dyDescent="0.2">
      <c r="D6" s="21"/>
      <c r="E6" s="21"/>
    </row>
    <row r="7" spans="1:17" s="26" customFormat="1" ht="12.75" x14ac:dyDescent="0.2">
      <c r="A7" s="22" t="s">
        <v>8</v>
      </c>
      <c r="B7" s="23">
        <f>B21+B42+B76</f>
        <v>8076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</row>
    <row r="8" spans="1:17" s="26" customFormat="1" ht="12.75" x14ac:dyDescent="0.2">
      <c r="A8" s="22" t="s">
        <v>9</v>
      </c>
      <c r="B8" s="23">
        <f>H21+H42+H76</f>
        <v>352647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</row>
    <row r="9" spans="1:17" s="26" customFormat="1" ht="12.75" x14ac:dyDescent="0.2">
      <c r="A9" s="22" t="s">
        <v>10</v>
      </c>
      <c r="B9" s="23">
        <f>H42+H76</f>
        <v>121419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</row>
    <row r="10" spans="1:17" s="26" customFormat="1" ht="12.75" x14ac:dyDescent="0.2">
      <c r="A10" s="24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</row>
    <row r="11" spans="1:17" s="35" customFormat="1" ht="140.25" x14ac:dyDescent="0.2">
      <c r="A11" s="28" t="s">
        <v>11</v>
      </c>
      <c r="B11" s="29" t="s">
        <v>12</v>
      </c>
      <c r="C11" s="30" t="s">
        <v>13</v>
      </c>
      <c r="D11" s="28" t="s">
        <v>14</v>
      </c>
      <c r="E11" s="28" t="s">
        <v>15</v>
      </c>
      <c r="F11" s="28" t="s">
        <v>15</v>
      </c>
      <c r="G11" s="28" t="s">
        <v>16</v>
      </c>
      <c r="H11" s="31" t="s">
        <v>17</v>
      </c>
      <c r="I11" s="32" t="s">
        <v>18</v>
      </c>
      <c r="J11" s="33" t="s">
        <v>19</v>
      </c>
      <c r="K11" s="32" t="s">
        <v>20</v>
      </c>
      <c r="L11" s="34" t="s">
        <v>21</v>
      </c>
      <c r="M11" s="29" t="s">
        <v>22</v>
      </c>
      <c r="N11" s="30" t="s">
        <v>23</v>
      </c>
      <c r="O11" s="30" t="s">
        <v>24</v>
      </c>
      <c r="P11" s="29" t="s">
        <v>25</v>
      </c>
      <c r="Q11" s="29" t="s">
        <v>26</v>
      </c>
    </row>
    <row r="12" spans="1:17" s="43" customFormat="1" ht="12.75" x14ac:dyDescent="0.2">
      <c r="A12" s="36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8"/>
      <c r="N12" s="40"/>
      <c r="O12" s="38"/>
      <c r="P12" s="41"/>
      <c r="Q12" s="42"/>
    </row>
    <row r="13" spans="1:17" s="26" customFormat="1" ht="12.75" x14ac:dyDescent="0.2">
      <c r="A13" s="44" t="s">
        <v>28</v>
      </c>
      <c r="B13" s="45">
        <v>693</v>
      </c>
      <c r="C13" s="45">
        <v>2</v>
      </c>
      <c r="D13" s="45" t="s">
        <v>87</v>
      </c>
      <c r="E13" s="45" t="s">
        <v>88</v>
      </c>
      <c r="F13" s="45" t="s">
        <v>89</v>
      </c>
      <c r="G13" s="45" t="s">
        <v>90</v>
      </c>
      <c r="H13" s="45">
        <v>49526</v>
      </c>
      <c r="I13" s="45">
        <v>126178</v>
      </c>
      <c r="J13" s="46">
        <v>0.49203506157967314</v>
      </c>
      <c r="K13" s="45">
        <v>555590903.69999993</v>
      </c>
      <c r="L13" s="47">
        <v>0.2412</v>
      </c>
      <c r="M13" s="45">
        <v>14848092.867100623</v>
      </c>
      <c r="N13" s="48">
        <f>L13*K13</f>
        <v>134008525.97243997</v>
      </c>
      <c r="O13" s="46">
        <f t="shared" ref="O13:O20" si="0">N13/$N$21</f>
        <v>0.18969706976443756</v>
      </c>
      <c r="P13" s="49">
        <f t="shared" ref="P13:P20" si="1">O13*($B$24+$B$25)</f>
        <v>5018665.6942848265</v>
      </c>
      <c r="Q13" s="50">
        <f t="shared" ref="Q13:Q20" si="2">+IF(P13&gt;M13,1,0)</f>
        <v>0</v>
      </c>
    </row>
    <row r="14" spans="1:17" s="26" customFormat="1" ht="12.75" x14ac:dyDescent="0.2">
      <c r="A14" s="44" t="s">
        <v>29</v>
      </c>
      <c r="B14" s="45">
        <v>629</v>
      </c>
      <c r="C14" s="45">
        <v>2</v>
      </c>
      <c r="D14" s="45" t="s">
        <v>91</v>
      </c>
      <c r="E14" s="45" t="s">
        <v>92</v>
      </c>
      <c r="F14" s="45" t="s">
        <v>93</v>
      </c>
      <c r="G14" s="45" t="s">
        <v>94</v>
      </c>
      <c r="H14" s="45">
        <v>55543</v>
      </c>
      <c r="I14" s="45">
        <v>150642</v>
      </c>
      <c r="J14" s="46">
        <v>0.44208122568739128</v>
      </c>
      <c r="K14" s="45">
        <v>563389907</v>
      </c>
      <c r="L14" s="47">
        <v>0.20810000000000001</v>
      </c>
      <c r="M14" s="45">
        <v>8883895.1596250981</v>
      </c>
      <c r="N14" s="48">
        <f t="shared" ref="N14:N20" si="3">L14*K14</f>
        <v>117241439.64670001</v>
      </c>
      <c r="O14" s="46">
        <f t="shared" si="0"/>
        <v>0.16596225795750541</v>
      </c>
      <c r="P14" s="49">
        <f t="shared" si="1"/>
        <v>4390732.5062620789</v>
      </c>
      <c r="Q14" s="50">
        <f t="shared" si="2"/>
        <v>0</v>
      </c>
    </row>
    <row r="15" spans="1:17" s="26" customFormat="1" ht="12.75" x14ac:dyDescent="0.2">
      <c r="A15" s="44" t="s">
        <v>30</v>
      </c>
      <c r="B15" s="45">
        <v>389</v>
      </c>
      <c r="C15" s="45">
        <v>2</v>
      </c>
      <c r="D15" s="45" t="s">
        <v>95</v>
      </c>
      <c r="E15" s="45" t="s">
        <v>96</v>
      </c>
      <c r="F15" s="45">
        <v>0</v>
      </c>
      <c r="G15" s="45" t="s">
        <v>97</v>
      </c>
      <c r="H15" s="45">
        <v>11707</v>
      </c>
      <c r="I15" s="45">
        <v>70515</v>
      </c>
      <c r="J15" s="46">
        <v>0.2846486563142594</v>
      </c>
      <c r="K15" s="45">
        <v>371706741</v>
      </c>
      <c r="L15" s="47">
        <v>0.20050000000000001</v>
      </c>
      <c r="M15" s="45">
        <v>21723928.04081608</v>
      </c>
      <c r="N15" s="48">
        <f t="shared" si="3"/>
        <v>74527201.570500001</v>
      </c>
      <c r="O15" s="46">
        <f t="shared" si="0"/>
        <v>0.10549770362055141</v>
      </c>
      <c r="P15" s="49">
        <f t="shared" si="1"/>
        <v>2791069.5017258869</v>
      </c>
      <c r="Q15" s="50">
        <f t="shared" si="2"/>
        <v>0</v>
      </c>
    </row>
    <row r="16" spans="1:17" s="26" customFormat="1" ht="12.75" x14ac:dyDescent="0.2">
      <c r="A16" s="44" t="s">
        <v>31</v>
      </c>
      <c r="B16" s="45">
        <v>369</v>
      </c>
      <c r="C16" s="45">
        <v>2</v>
      </c>
      <c r="D16" s="45" t="s">
        <v>98</v>
      </c>
      <c r="E16" s="45">
        <v>0</v>
      </c>
      <c r="F16" s="45">
        <v>0</v>
      </c>
      <c r="G16" s="45" t="s">
        <v>99</v>
      </c>
      <c r="H16" s="45">
        <v>13910</v>
      </c>
      <c r="I16" s="45">
        <v>95718</v>
      </c>
      <c r="J16" s="46">
        <v>0.19699534047932468</v>
      </c>
      <c r="K16" s="45">
        <v>184222695</v>
      </c>
      <c r="L16" s="47">
        <v>0.32790000000000002</v>
      </c>
      <c r="M16" s="45">
        <v>3573923.3411028907</v>
      </c>
      <c r="N16" s="48">
        <f t="shared" si="3"/>
        <v>60406621.690500006</v>
      </c>
      <c r="O16" s="46">
        <f t="shared" si="0"/>
        <v>8.5509179702591476E-2</v>
      </c>
      <c r="P16" s="49">
        <f t="shared" si="1"/>
        <v>2262248.8963732184</v>
      </c>
      <c r="Q16" s="50">
        <f t="shared" si="2"/>
        <v>0</v>
      </c>
    </row>
    <row r="17" spans="1:17" s="26" customFormat="1" ht="12.75" x14ac:dyDescent="0.2">
      <c r="A17" s="44" t="s">
        <v>32</v>
      </c>
      <c r="B17" s="45">
        <v>320</v>
      </c>
      <c r="C17" s="45">
        <v>2</v>
      </c>
      <c r="D17" s="45" t="s">
        <v>100</v>
      </c>
      <c r="E17" s="45" t="s">
        <v>101</v>
      </c>
      <c r="F17" s="45" t="s">
        <v>102</v>
      </c>
      <c r="G17" s="45" t="s">
        <v>103</v>
      </c>
      <c r="H17" s="45">
        <v>8516</v>
      </c>
      <c r="I17" s="45">
        <v>36870</v>
      </c>
      <c r="J17" s="46">
        <v>0.3642256577163005</v>
      </c>
      <c r="K17" s="45">
        <v>117973584</v>
      </c>
      <c r="L17" s="47">
        <v>0.32990000000000003</v>
      </c>
      <c r="M17" s="45">
        <v>8457849.3152244017</v>
      </c>
      <c r="N17" s="48">
        <f t="shared" si="3"/>
        <v>38919485.361600004</v>
      </c>
      <c r="O17" s="46">
        <f t="shared" si="0"/>
        <v>5.509285529604141E-2</v>
      </c>
      <c r="P17" s="49">
        <f t="shared" si="1"/>
        <v>1457548.2015498963</v>
      </c>
      <c r="Q17" s="50">
        <f t="shared" si="2"/>
        <v>0</v>
      </c>
    </row>
    <row r="18" spans="1:17" s="26" customFormat="1" ht="12.75" x14ac:dyDescent="0.2">
      <c r="A18" s="44" t="s">
        <v>33</v>
      </c>
      <c r="B18" s="45">
        <v>495</v>
      </c>
      <c r="C18" s="45">
        <v>2</v>
      </c>
      <c r="D18" s="45" t="s">
        <v>104</v>
      </c>
      <c r="E18" s="45">
        <v>0</v>
      </c>
      <c r="F18" s="45">
        <v>0</v>
      </c>
      <c r="G18" s="45" t="s">
        <v>105</v>
      </c>
      <c r="H18" s="45">
        <v>12658</v>
      </c>
      <c r="I18" s="45">
        <v>77670</v>
      </c>
      <c r="J18" s="46">
        <v>0.16312604609244238</v>
      </c>
      <c r="K18" s="45">
        <v>329929787</v>
      </c>
      <c r="L18" s="47">
        <v>0.2049</v>
      </c>
      <c r="M18" s="45">
        <v>7290574.3531466089</v>
      </c>
      <c r="N18" s="48">
        <f t="shared" si="3"/>
        <v>67602613.356299996</v>
      </c>
      <c r="O18" s="46">
        <f t="shared" si="0"/>
        <v>9.5695535556787711E-2</v>
      </c>
      <c r="P18" s="49">
        <f t="shared" si="1"/>
        <v>2531741.2756636012</v>
      </c>
      <c r="Q18" s="50">
        <f t="shared" si="2"/>
        <v>0</v>
      </c>
    </row>
    <row r="19" spans="1:17" s="26" customFormat="1" ht="12.75" x14ac:dyDescent="0.2">
      <c r="A19" s="44" t="s">
        <v>34</v>
      </c>
      <c r="B19" s="45">
        <v>686</v>
      </c>
      <c r="C19" s="45">
        <v>2</v>
      </c>
      <c r="D19" s="45" t="s">
        <v>106</v>
      </c>
      <c r="E19" s="45" t="s">
        <v>107</v>
      </c>
      <c r="F19" s="45" t="s">
        <v>108</v>
      </c>
      <c r="G19" s="45" t="s">
        <v>109</v>
      </c>
      <c r="H19" s="45">
        <v>61892</v>
      </c>
      <c r="I19" s="45">
        <v>151820</v>
      </c>
      <c r="J19" s="46">
        <v>0.40844421024897903</v>
      </c>
      <c r="K19" s="45">
        <v>295818743</v>
      </c>
      <c r="L19" s="47">
        <v>0.29799999999999999</v>
      </c>
      <c r="M19" s="45">
        <v>20246545.224265367</v>
      </c>
      <c r="N19" s="48">
        <f t="shared" si="3"/>
        <v>88153985.41399999</v>
      </c>
      <c r="O19" s="46">
        <f t="shared" si="0"/>
        <v>0.12478722976575315</v>
      </c>
      <c r="P19" s="49">
        <f t="shared" si="1"/>
        <v>3301397.2745488845</v>
      </c>
      <c r="Q19" s="50">
        <f t="shared" si="2"/>
        <v>0</v>
      </c>
    </row>
    <row r="20" spans="1:17" s="26" customFormat="1" ht="12.75" x14ac:dyDescent="0.2">
      <c r="A20" s="44" t="s">
        <v>35</v>
      </c>
      <c r="B20" s="45">
        <v>703</v>
      </c>
      <c r="C20" s="45">
        <v>2</v>
      </c>
      <c r="D20" s="45" t="s">
        <v>110</v>
      </c>
      <c r="E20" s="45" t="s">
        <v>111</v>
      </c>
      <c r="F20" s="45" t="s">
        <v>112</v>
      </c>
      <c r="G20" s="45" t="s">
        <v>113</v>
      </c>
      <c r="H20" s="45">
        <v>17476</v>
      </c>
      <c r="I20" s="45">
        <v>143802</v>
      </c>
      <c r="J20" s="46">
        <v>0.21343235838166369</v>
      </c>
      <c r="K20" s="45">
        <v>380183093.89999998</v>
      </c>
      <c r="L20" s="47">
        <v>0.33029999999999998</v>
      </c>
      <c r="M20" s="45">
        <v>16615749.47727396</v>
      </c>
      <c r="N20" s="48">
        <f t="shared" si="3"/>
        <v>125574475.91516998</v>
      </c>
      <c r="O20" s="46">
        <f t="shared" si="0"/>
        <v>0.17775816833633185</v>
      </c>
      <c r="P20" s="49">
        <f t="shared" si="1"/>
        <v>4702807.5995916054</v>
      </c>
      <c r="Q20" s="50">
        <f t="shared" si="2"/>
        <v>0</v>
      </c>
    </row>
    <row r="21" spans="1:17" s="55" customFormat="1" ht="12.75" x14ac:dyDescent="0.2">
      <c r="A21" s="22" t="s">
        <v>36</v>
      </c>
      <c r="B21" s="23">
        <f>SUM(B13:B20)</f>
        <v>4284</v>
      </c>
      <c r="C21" s="51"/>
      <c r="D21" s="51"/>
      <c r="E21" s="51"/>
      <c r="F21" s="51"/>
      <c r="G21" s="51"/>
      <c r="H21" s="23">
        <f>SUM(H13:H20)</f>
        <v>231228</v>
      </c>
      <c r="I21" s="23"/>
      <c r="J21" s="51"/>
      <c r="K21" s="23"/>
      <c r="L21" s="52"/>
      <c r="M21" s="23"/>
      <c r="N21" s="53">
        <f>SUM(N13:N20)</f>
        <v>706434348.92720997</v>
      </c>
      <c r="O21" s="54">
        <f>SUM(O13:O20)</f>
        <v>1</v>
      </c>
      <c r="P21" s="23">
        <f>SUM(P13:P20)</f>
        <v>26456210.949999999</v>
      </c>
      <c r="Q21" s="51"/>
    </row>
    <row r="22" spans="1:17" s="26" customFormat="1" ht="12.75" x14ac:dyDescent="0.2">
      <c r="A22" s="22" t="s">
        <v>37</v>
      </c>
      <c r="B22" s="54">
        <v>0.65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  <c r="O22" s="24"/>
      <c r="P22" s="24"/>
      <c r="Q22" s="24"/>
    </row>
    <row r="23" spans="1:17" s="26" customFormat="1" ht="12.75" x14ac:dyDescent="0.2">
      <c r="A23" s="22" t="s">
        <v>38</v>
      </c>
      <c r="B23" s="23">
        <f>COUNT(B13:B20)</f>
        <v>8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</row>
    <row r="24" spans="1:17" s="26" customFormat="1" ht="12.75" x14ac:dyDescent="0.2">
      <c r="A24" s="22" t="s">
        <v>39</v>
      </c>
      <c r="B24" s="23">
        <f>B2*B22</f>
        <v>26456210.949999999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24"/>
      <c r="Q24" s="24"/>
    </row>
    <row r="25" spans="1:17" s="26" customFormat="1" ht="12.75" x14ac:dyDescent="0.2">
      <c r="A25" s="22" t="s">
        <v>40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4"/>
      <c r="O25" s="24"/>
      <c r="P25" s="24"/>
      <c r="Q25" s="24"/>
    </row>
    <row r="26" spans="1:17" s="26" customFormat="1" ht="12.75" x14ac:dyDescent="0.2">
      <c r="A26" s="24"/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</row>
    <row r="27" spans="1:17" s="43" customFormat="1" ht="12.75" x14ac:dyDescent="0.2">
      <c r="A27" s="36" t="s">
        <v>41</v>
      </c>
      <c r="B27" s="56"/>
      <c r="C27" s="41"/>
      <c r="D27" s="41"/>
      <c r="E27" s="41"/>
      <c r="F27" s="41"/>
      <c r="G27" s="41"/>
      <c r="H27" s="41"/>
      <c r="I27" s="41"/>
      <c r="J27" s="41"/>
      <c r="K27" s="41"/>
      <c r="L27" s="57"/>
      <c r="M27" s="41"/>
      <c r="N27" s="41"/>
      <c r="O27" s="41"/>
      <c r="P27" s="41"/>
      <c r="Q27" s="41"/>
    </row>
    <row r="28" spans="1:17" s="26" customFormat="1" ht="12.75" x14ac:dyDescent="0.2">
      <c r="A28" s="44" t="s">
        <v>42</v>
      </c>
      <c r="B28" s="45">
        <v>283</v>
      </c>
      <c r="C28" s="45">
        <v>2</v>
      </c>
      <c r="D28" s="45" t="s">
        <v>114</v>
      </c>
      <c r="E28" s="45">
        <v>0</v>
      </c>
      <c r="F28" s="45">
        <v>0</v>
      </c>
      <c r="G28" s="45" t="s">
        <v>115</v>
      </c>
      <c r="H28" s="45">
        <v>8561</v>
      </c>
      <c r="I28" s="45">
        <v>50234</v>
      </c>
      <c r="J28" s="46">
        <v>0.26742843492455309</v>
      </c>
      <c r="K28" s="45">
        <v>168146126.63</v>
      </c>
      <c r="L28" s="47">
        <v>0.29709999999999998</v>
      </c>
      <c r="M28" s="45">
        <v>947688.41340875812</v>
      </c>
      <c r="N28" s="48">
        <f t="shared" ref="N28:N41" si="4">L28*K28</f>
        <v>49956214.221772991</v>
      </c>
      <c r="O28" s="46">
        <f t="shared" ref="O28:O41" si="5">N28/$N$42</f>
        <v>0.12118094615627271</v>
      </c>
      <c r="P28" s="49">
        <v>947688</v>
      </c>
      <c r="Q28" s="50">
        <f t="shared" ref="Q28:Q41" si="6">+IF(P28&gt;M28,1,0)</f>
        <v>0</v>
      </c>
    </row>
    <row r="29" spans="1:17" s="26" customFormat="1" ht="12.75" x14ac:dyDescent="0.2">
      <c r="A29" s="44" t="s">
        <v>43</v>
      </c>
      <c r="B29" s="45">
        <v>291</v>
      </c>
      <c r="C29" s="45">
        <v>2</v>
      </c>
      <c r="D29" s="45" t="s">
        <v>116</v>
      </c>
      <c r="E29" s="45" t="s">
        <v>117</v>
      </c>
      <c r="F29" s="45" t="s">
        <v>118</v>
      </c>
      <c r="G29" s="45" t="s">
        <v>119</v>
      </c>
      <c r="H29" s="45">
        <v>9275</v>
      </c>
      <c r="I29" s="45">
        <v>51730</v>
      </c>
      <c r="J29" s="46">
        <v>0.22756620916296152</v>
      </c>
      <c r="K29" s="45">
        <v>144436533</v>
      </c>
      <c r="L29" s="47">
        <v>0.22040000000000001</v>
      </c>
      <c r="M29" s="45">
        <v>10518930.981133081</v>
      </c>
      <c r="N29" s="48">
        <f t="shared" si="4"/>
        <v>31833811.873200003</v>
      </c>
      <c r="O29" s="46">
        <f t="shared" si="5"/>
        <v>7.7220652178119617E-2</v>
      </c>
      <c r="P29" s="49">
        <f>O29*($B$45+$B$46)</f>
        <v>934113.43635791272</v>
      </c>
      <c r="Q29" s="50">
        <f t="shared" si="6"/>
        <v>0</v>
      </c>
    </row>
    <row r="30" spans="1:17" s="26" customFormat="1" ht="12.75" x14ac:dyDescent="0.2">
      <c r="A30" s="44" t="s">
        <v>44</v>
      </c>
      <c r="B30" s="45">
        <v>145</v>
      </c>
      <c r="C30" s="45">
        <v>2</v>
      </c>
      <c r="D30" s="45" t="s">
        <v>120</v>
      </c>
      <c r="E30" s="45" t="s">
        <v>121</v>
      </c>
      <c r="F30" s="45">
        <v>0</v>
      </c>
      <c r="G30" s="45" t="s">
        <v>122</v>
      </c>
      <c r="H30" s="45">
        <v>2321</v>
      </c>
      <c r="I30" s="45">
        <v>19711</v>
      </c>
      <c r="J30" s="46">
        <v>0.27477043275328494</v>
      </c>
      <c r="K30" s="45">
        <v>74401636</v>
      </c>
      <c r="L30" s="47">
        <v>0.29730000000000001</v>
      </c>
      <c r="M30" s="45">
        <v>4850719.7878690884</v>
      </c>
      <c r="N30" s="48">
        <f t="shared" si="4"/>
        <v>22119606.382800002</v>
      </c>
      <c r="O30" s="46">
        <f t="shared" si="5"/>
        <v>5.3656484419985752E-2</v>
      </c>
      <c r="P30" s="49">
        <f>O30*($B$45+$B$46)</f>
        <v>649065.26467591128</v>
      </c>
      <c r="Q30" s="50">
        <f t="shared" si="6"/>
        <v>0</v>
      </c>
    </row>
    <row r="31" spans="1:17" s="26" customFormat="1" ht="12.75" x14ac:dyDescent="0.2">
      <c r="A31" s="44" t="s">
        <v>45</v>
      </c>
      <c r="B31" s="45">
        <v>180</v>
      </c>
      <c r="C31" s="45">
        <v>2</v>
      </c>
      <c r="D31" s="45" t="s">
        <v>123</v>
      </c>
      <c r="E31" s="45">
        <v>0</v>
      </c>
      <c r="F31" s="45">
        <v>0</v>
      </c>
      <c r="G31" s="45" t="s">
        <v>124</v>
      </c>
      <c r="H31" s="45">
        <v>9054</v>
      </c>
      <c r="I31" s="45">
        <v>31658</v>
      </c>
      <c r="J31" s="46">
        <v>0.37614505022427192</v>
      </c>
      <c r="K31" s="45">
        <v>152708873.21999997</v>
      </c>
      <c r="L31" s="47">
        <v>0.18490000000000001</v>
      </c>
      <c r="M31" s="45">
        <v>173752.19713710155</v>
      </c>
      <c r="N31" s="48">
        <f t="shared" si="4"/>
        <v>28235870.658377994</v>
      </c>
      <c r="O31" s="46">
        <f t="shared" si="5"/>
        <v>6.8492970799158101E-2</v>
      </c>
      <c r="P31" s="49">
        <v>173752</v>
      </c>
      <c r="Q31" s="50">
        <f t="shared" si="6"/>
        <v>0</v>
      </c>
    </row>
    <row r="32" spans="1:17" s="26" customFormat="1" ht="12.75" x14ac:dyDescent="0.2">
      <c r="A32" s="44" t="s">
        <v>46</v>
      </c>
      <c r="B32" s="45">
        <v>117</v>
      </c>
      <c r="C32" s="45">
        <v>2</v>
      </c>
      <c r="D32" s="45" t="s">
        <v>125</v>
      </c>
      <c r="E32" s="45">
        <v>0</v>
      </c>
      <c r="F32" s="45">
        <v>0</v>
      </c>
      <c r="G32" s="45" t="s">
        <v>126</v>
      </c>
      <c r="H32" s="45">
        <v>2172</v>
      </c>
      <c r="I32" s="45">
        <v>12052</v>
      </c>
      <c r="J32" s="46">
        <v>0.38715565881181546</v>
      </c>
      <c r="K32" s="45">
        <v>43520146</v>
      </c>
      <c r="L32" s="47">
        <v>0.34889999999999999</v>
      </c>
      <c r="M32" s="45">
        <v>4117831.1797053465</v>
      </c>
      <c r="N32" s="48">
        <f t="shared" si="4"/>
        <v>15184178.939399999</v>
      </c>
      <c r="O32" s="46">
        <f t="shared" si="5"/>
        <v>3.6832918569731782E-2</v>
      </c>
      <c r="P32" s="49">
        <f>O32*($B$45+$B$46)</f>
        <v>445555.99008541222</v>
      </c>
      <c r="Q32" s="50">
        <f t="shared" si="6"/>
        <v>0</v>
      </c>
    </row>
    <row r="33" spans="1:17" s="26" customFormat="1" ht="12.75" x14ac:dyDescent="0.2">
      <c r="A33" s="44" t="s">
        <v>47</v>
      </c>
      <c r="B33" s="45">
        <v>183</v>
      </c>
      <c r="C33" s="45">
        <v>2</v>
      </c>
      <c r="D33" s="45" t="s">
        <v>127</v>
      </c>
      <c r="E33" s="45" t="s">
        <v>128</v>
      </c>
      <c r="F33" s="45">
        <v>0</v>
      </c>
      <c r="G33" s="45" t="s">
        <v>129</v>
      </c>
      <c r="H33" s="45">
        <v>18504</v>
      </c>
      <c r="I33" s="45">
        <v>32692</v>
      </c>
      <c r="J33" s="46">
        <v>0.63685305273461401</v>
      </c>
      <c r="K33" s="45">
        <v>119978917</v>
      </c>
      <c r="L33" s="47">
        <v>0.24199999999999999</v>
      </c>
      <c r="M33" s="45">
        <v>2709455.6831363039</v>
      </c>
      <c r="N33" s="48">
        <f t="shared" si="4"/>
        <v>29034897.914000001</v>
      </c>
      <c r="O33" s="46">
        <f t="shared" si="5"/>
        <v>7.0431205718463175E-2</v>
      </c>
      <c r="P33" s="49">
        <f>O33*($B$45+$B$46)</f>
        <v>851983.68240596703</v>
      </c>
      <c r="Q33" s="50">
        <f t="shared" si="6"/>
        <v>0</v>
      </c>
    </row>
    <row r="34" spans="1:17" s="26" customFormat="1" ht="12.75" x14ac:dyDescent="0.2">
      <c r="A34" s="44" t="s">
        <v>48</v>
      </c>
      <c r="B34" s="45">
        <v>140</v>
      </c>
      <c r="C34" s="45">
        <v>2</v>
      </c>
      <c r="D34" s="45" t="s">
        <v>130</v>
      </c>
      <c r="E34" s="45">
        <v>0</v>
      </c>
      <c r="F34" s="45">
        <v>0</v>
      </c>
      <c r="G34" s="45" t="s">
        <v>131</v>
      </c>
      <c r="H34" s="45">
        <v>3842</v>
      </c>
      <c r="I34" s="45">
        <v>23352</v>
      </c>
      <c r="J34" s="46">
        <v>0.1645255224391915</v>
      </c>
      <c r="K34" s="45">
        <v>60717079</v>
      </c>
      <c r="L34" s="47">
        <v>0.34239999999999998</v>
      </c>
      <c r="M34" s="45">
        <v>5794563.6918668272</v>
      </c>
      <c r="N34" s="48">
        <f t="shared" si="4"/>
        <v>20789527.849599998</v>
      </c>
      <c r="O34" s="46">
        <f t="shared" si="5"/>
        <v>5.0430055483641836E-2</v>
      </c>
      <c r="P34" s="49">
        <f>O34*($B$45+$B$46)</f>
        <v>610036.1897343921</v>
      </c>
      <c r="Q34" s="50">
        <f t="shared" si="6"/>
        <v>0</v>
      </c>
    </row>
    <row r="35" spans="1:17" s="26" customFormat="1" ht="12.75" x14ac:dyDescent="0.2">
      <c r="A35" s="44" t="s">
        <v>49</v>
      </c>
      <c r="B35" s="45">
        <v>171</v>
      </c>
      <c r="C35" s="45">
        <v>2</v>
      </c>
      <c r="D35" s="45" t="s">
        <v>132</v>
      </c>
      <c r="E35" s="45">
        <v>0</v>
      </c>
      <c r="F35" s="45">
        <v>0</v>
      </c>
      <c r="G35" s="45" t="s">
        <v>133</v>
      </c>
      <c r="H35" s="45">
        <v>2580</v>
      </c>
      <c r="I35" s="45">
        <v>18444</v>
      </c>
      <c r="J35" s="46">
        <v>0.1398828887443071</v>
      </c>
      <c r="K35" s="45">
        <v>83651322</v>
      </c>
      <c r="L35" s="47">
        <v>0.35930000000000001</v>
      </c>
      <c r="M35" s="45">
        <v>5367869.9948418941</v>
      </c>
      <c r="N35" s="48">
        <f t="shared" si="4"/>
        <v>30055919.994600002</v>
      </c>
      <c r="O35" s="46">
        <f t="shared" si="5"/>
        <v>7.2907943071383485E-2</v>
      </c>
      <c r="P35" s="49">
        <f>O35*($B$45+$B$46)</f>
        <v>881943.9789644042</v>
      </c>
      <c r="Q35" s="50">
        <f t="shared" si="6"/>
        <v>0</v>
      </c>
    </row>
    <row r="36" spans="1:17" s="26" customFormat="1" ht="12.75" x14ac:dyDescent="0.2">
      <c r="A36" s="44" t="s">
        <v>50</v>
      </c>
      <c r="B36" s="45">
        <v>148</v>
      </c>
      <c r="C36" s="45">
        <v>2</v>
      </c>
      <c r="D36" s="45" t="s">
        <v>134</v>
      </c>
      <c r="E36" s="45">
        <v>0</v>
      </c>
      <c r="F36" s="45">
        <v>0</v>
      </c>
      <c r="G36" s="45" t="s">
        <v>135</v>
      </c>
      <c r="H36" s="45">
        <v>7368</v>
      </c>
      <c r="I36" s="45">
        <v>26037</v>
      </c>
      <c r="J36" s="46">
        <v>0.50251565080462424</v>
      </c>
      <c r="K36" s="45">
        <v>280142673</v>
      </c>
      <c r="L36" s="47">
        <v>0.126</v>
      </c>
      <c r="M36" s="45">
        <v>5088690.2474078638</v>
      </c>
      <c r="N36" s="48">
        <f t="shared" si="4"/>
        <v>35297976.798</v>
      </c>
      <c r="O36" s="46">
        <f t="shared" si="5"/>
        <v>8.5623826633354355E-2</v>
      </c>
      <c r="P36" s="49">
        <f>O36*($B$45+$B$46)</f>
        <v>1035763.9397567755</v>
      </c>
      <c r="Q36" s="50">
        <f t="shared" si="6"/>
        <v>0</v>
      </c>
    </row>
    <row r="37" spans="1:17" s="26" customFormat="1" ht="12.75" x14ac:dyDescent="0.2">
      <c r="A37" s="44" t="s">
        <v>51</v>
      </c>
      <c r="B37" s="45">
        <v>190</v>
      </c>
      <c r="C37" s="45">
        <v>2</v>
      </c>
      <c r="D37" s="45" t="s">
        <v>136</v>
      </c>
      <c r="E37" s="45">
        <v>0</v>
      </c>
      <c r="F37" s="45">
        <v>0</v>
      </c>
      <c r="G37" s="45" t="s">
        <v>137</v>
      </c>
      <c r="H37" s="45">
        <v>6134</v>
      </c>
      <c r="I37" s="45">
        <v>38235</v>
      </c>
      <c r="J37" s="46">
        <v>0.31397933830260233</v>
      </c>
      <c r="K37" s="45">
        <v>149433481.53000027</v>
      </c>
      <c r="L37" s="47">
        <v>0.30109999999999998</v>
      </c>
      <c r="M37" s="45">
        <v>739386.59810087178</v>
      </c>
      <c r="N37" s="48">
        <f t="shared" si="4"/>
        <v>44994421.288683079</v>
      </c>
      <c r="O37" s="46">
        <f t="shared" si="5"/>
        <v>0.10914491076748054</v>
      </c>
      <c r="P37" s="49">
        <v>739386</v>
      </c>
      <c r="Q37" s="50">
        <f t="shared" si="6"/>
        <v>0</v>
      </c>
    </row>
    <row r="38" spans="1:17" s="26" customFormat="1" ht="12.75" x14ac:dyDescent="0.2">
      <c r="A38" s="44" t="s">
        <v>52</v>
      </c>
      <c r="B38" s="45">
        <v>255</v>
      </c>
      <c r="C38" s="45">
        <v>2</v>
      </c>
      <c r="D38" s="45" t="s">
        <v>138</v>
      </c>
      <c r="E38" s="45">
        <v>0</v>
      </c>
      <c r="F38" s="45">
        <v>0</v>
      </c>
      <c r="G38" s="45" t="s">
        <v>139</v>
      </c>
      <c r="H38" s="45">
        <v>7575</v>
      </c>
      <c r="I38" s="45">
        <v>52857</v>
      </c>
      <c r="J38" s="46">
        <v>0.28386022664926119</v>
      </c>
      <c r="K38" s="45">
        <v>342245123</v>
      </c>
      <c r="L38" s="47">
        <v>0.1399</v>
      </c>
      <c r="M38" s="45">
        <v>13335791.57315279</v>
      </c>
      <c r="N38" s="48">
        <f t="shared" si="4"/>
        <v>47880092.707699999</v>
      </c>
      <c r="O38" s="46">
        <f t="shared" si="5"/>
        <v>0.11614480854396528</v>
      </c>
      <c r="P38" s="49">
        <f>O38*($B$45+$B$46)</f>
        <v>1404966.4586344489</v>
      </c>
      <c r="Q38" s="50">
        <f t="shared" si="6"/>
        <v>0</v>
      </c>
    </row>
    <row r="39" spans="1:17" s="26" customFormat="1" ht="12.75" x14ac:dyDescent="0.2">
      <c r="A39" s="44" t="s">
        <v>53</v>
      </c>
      <c r="B39" s="45">
        <v>140</v>
      </c>
      <c r="C39" s="45">
        <v>2</v>
      </c>
      <c r="D39" s="45" t="s">
        <v>140</v>
      </c>
      <c r="E39" s="45">
        <v>0</v>
      </c>
      <c r="F39" s="45">
        <v>0</v>
      </c>
      <c r="G39" s="45" t="s">
        <v>141</v>
      </c>
      <c r="H39" s="45">
        <v>3284</v>
      </c>
      <c r="I39" s="45">
        <v>11429</v>
      </c>
      <c r="J39" s="46">
        <v>0.28733922477907081</v>
      </c>
      <c r="K39" s="45">
        <v>75211180</v>
      </c>
      <c r="L39" s="47">
        <v>0.21990000000000001</v>
      </c>
      <c r="M39" s="45">
        <v>2846521.2123994762</v>
      </c>
      <c r="N39" s="48">
        <f t="shared" si="4"/>
        <v>16538938.482000001</v>
      </c>
      <c r="O39" s="46">
        <f t="shared" si="5"/>
        <v>4.0119217296406613E-2</v>
      </c>
      <c r="P39" s="49">
        <f>O39*($B$45+$B$46)</f>
        <v>485309.29065832135</v>
      </c>
      <c r="Q39" s="50">
        <f t="shared" si="6"/>
        <v>0</v>
      </c>
    </row>
    <row r="40" spans="1:17" s="26" customFormat="1" ht="12.75" x14ac:dyDescent="0.2">
      <c r="A40" s="44" t="s">
        <v>54</v>
      </c>
      <c r="B40" s="45">
        <v>245</v>
      </c>
      <c r="C40" s="45">
        <v>2</v>
      </c>
      <c r="D40" s="45" t="s">
        <v>142</v>
      </c>
      <c r="E40" s="45" t="s">
        <v>143</v>
      </c>
      <c r="F40" s="45">
        <v>0</v>
      </c>
      <c r="G40" s="45" t="s">
        <v>144</v>
      </c>
      <c r="H40" s="45">
        <v>2098</v>
      </c>
      <c r="I40" s="45">
        <v>25979</v>
      </c>
      <c r="J40" s="46">
        <v>0.23761499672812655</v>
      </c>
      <c r="K40" s="45">
        <v>87979938</v>
      </c>
      <c r="L40" s="47">
        <v>0.23300000000000001</v>
      </c>
      <c r="M40" s="45">
        <v>6287279.4677088074</v>
      </c>
      <c r="N40" s="48">
        <f t="shared" si="4"/>
        <v>20499325.554000001</v>
      </c>
      <c r="O40" s="46">
        <f t="shared" si="5"/>
        <v>4.97260992430546E-2</v>
      </c>
      <c r="P40" s="49">
        <f>O40*($B$45+$B$46)</f>
        <v>601520.65710946999</v>
      </c>
      <c r="Q40" s="50">
        <f t="shared" si="6"/>
        <v>0</v>
      </c>
    </row>
    <row r="41" spans="1:17" s="26" customFormat="1" ht="12.75" x14ac:dyDescent="0.2">
      <c r="A41" s="44" t="s">
        <v>55</v>
      </c>
      <c r="B41" s="45">
        <v>102</v>
      </c>
      <c r="C41" s="45">
        <v>2</v>
      </c>
      <c r="D41" s="45" t="s">
        <v>145</v>
      </c>
      <c r="E41" s="45">
        <v>0</v>
      </c>
      <c r="F41" s="45">
        <v>0</v>
      </c>
      <c r="G41" s="45" t="s">
        <v>146</v>
      </c>
      <c r="H41" s="45">
        <v>5386</v>
      </c>
      <c r="I41" s="45">
        <v>17738</v>
      </c>
      <c r="J41" s="46">
        <v>0.30364189874844966</v>
      </c>
      <c r="K41" s="45">
        <v>60163920</v>
      </c>
      <c r="L41" s="47">
        <v>0.32950000000000002</v>
      </c>
      <c r="M41" s="45">
        <v>4132821.9955649907</v>
      </c>
      <c r="N41" s="48">
        <f t="shared" si="4"/>
        <v>19824011.640000001</v>
      </c>
      <c r="O41" s="46">
        <f t="shared" si="5"/>
        <v>4.808796111898217E-2</v>
      </c>
      <c r="P41" s="49">
        <f>O41*($B$45+$B$46)</f>
        <v>581704.62617545796</v>
      </c>
      <c r="Q41" s="50">
        <f t="shared" si="6"/>
        <v>0</v>
      </c>
    </row>
    <row r="42" spans="1:17" s="55" customFormat="1" ht="12.75" x14ac:dyDescent="0.2">
      <c r="A42" s="22" t="s">
        <v>56</v>
      </c>
      <c r="B42" s="23">
        <f>SUM(B28:B41)</f>
        <v>2590</v>
      </c>
      <c r="C42" s="51"/>
      <c r="D42" s="51"/>
      <c r="E42" s="51"/>
      <c r="F42" s="51"/>
      <c r="G42" s="51"/>
      <c r="H42" s="23">
        <f>SUM(H28:H41)</f>
        <v>88154</v>
      </c>
      <c r="I42" s="23"/>
      <c r="J42" s="23"/>
      <c r="K42" s="23"/>
      <c r="L42" s="52"/>
      <c r="M42" s="51"/>
      <c r="N42" s="53">
        <f>SUM(N28:N41)</f>
        <v>412244794.30413407</v>
      </c>
      <c r="O42" s="54">
        <f>SUM(O28:O41)</f>
        <v>1</v>
      </c>
      <c r="P42" s="58">
        <f>SUM(P28:P41)</f>
        <v>10342789.514558472</v>
      </c>
      <c r="Q42" s="51"/>
    </row>
    <row r="43" spans="1:17" s="26" customFormat="1" ht="12.75" x14ac:dyDescent="0.2">
      <c r="A43" s="22" t="s">
        <v>57</v>
      </c>
      <c r="B43" s="54">
        <f>H42/B9</f>
        <v>0.72603134600021413</v>
      </c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4"/>
      <c r="O43" s="24"/>
      <c r="P43" s="59"/>
      <c r="Q43" s="24"/>
    </row>
    <row r="44" spans="1:17" s="26" customFormat="1" ht="12.75" x14ac:dyDescent="0.2">
      <c r="A44" s="22" t="s">
        <v>38</v>
      </c>
      <c r="B44" s="23">
        <f>COUNT(B28:B41)</f>
        <v>14</v>
      </c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4"/>
      <c r="P44" s="59"/>
      <c r="Q44" s="24"/>
    </row>
    <row r="45" spans="1:17" s="26" customFormat="1" ht="12.75" x14ac:dyDescent="0.2">
      <c r="A45" s="22" t="s">
        <v>39</v>
      </c>
      <c r="B45" s="23">
        <f>(B2-B24)*B43</f>
        <v>10342789.932512211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24"/>
      <c r="Q45" s="24"/>
    </row>
    <row r="46" spans="1:17" s="26" customFormat="1" ht="12.75" x14ac:dyDescent="0.2">
      <c r="A46" s="22" t="s">
        <v>40</v>
      </c>
      <c r="B46" s="23">
        <f>1229794+367486+109812+32814+9805+2930+875+262+78+24+7+2</f>
        <v>1753889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24"/>
      <c r="O46" s="24"/>
      <c r="P46" s="24"/>
      <c r="Q46" s="24"/>
    </row>
    <row r="47" spans="1:17" s="26" customFormat="1" ht="12.75" x14ac:dyDescent="0.2">
      <c r="A47" s="24"/>
      <c r="B47" s="27"/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4"/>
      <c r="N47" s="24"/>
      <c r="O47" s="24"/>
      <c r="P47" s="24"/>
      <c r="Q47" s="24"/>
    </row>
    <row r="48" spans="1:17" s="43" customFormat="1" ht="12.75" x14ac:dyDescent="0.2">
      <c r="A48" s="36" t="s">
        <v>58</v>
      </c>
      <c r="B48" s="56"/>
      <c r="C48" s="41"/>
      <c r="D48" s="41"/>
      <c r="E48" s="41"/>
      <c r="F48" s="41"/>
      <c r="G48" s="41"/>
      <c r="H48" s="41"/>
      <c r="I48" s="41"/>
      <c r="J48" s="41"/>
      <c r="K48" s="41"/>
      <c r="L48" s="57"/>
      <c r="M48" s="41"/>
      <c r="N48" s="41"/>
      <c r="O48" s="41"/>
      <c r="P48" s="41"/>
      <c r="Q48" s="41"/>
    </row>
    <row r="49" spans="1:17" s="26" customFormat="1" ht="12.75" x14ac:dyDescent="0.2">
      <c r="A49" s="60" t="s">
        <v>59</v>
      </c>
      <c r="B49" s="45">
        <v>81</v>
      </c>
      <c r="C49" s="45">
        <v>2</v>
      </c>
      <c r="D49" s="45" t="s">
        <v>147</v>
      </c>
      <c r="E49" s="45" t="s">
        <v>148</v>
      </c>
      <c r="F49" s="45" t="s">
        <v>149</v>
      </c>
      <c r="G49" s="45" t="s">
        <v>150</v>
      </c>
      <c r="H49" s="45">
        <v>2383</v>
      </c>
      <c r="I49" s="45">
        <v>12246</v>
      </c>
      <c r="J49" s="46">
        <v>0.37277478360280908</v>
      </c>
      <c r="K49" s="45">
        <v>59050562</v>
      </c>
      <c r="L49" s="47">
        <v>0.309</v>
      </c>
      <c r="M49" s="45">
        <v>8429758.31818958</v>
      </c>
      <c r="N49" s="48">
        <f t="shared" ref="N49:N75" si="7">L49*K49</f>
        <v>18246623.658</v>
      </c>
      <c r="O49" s="46">
        <f t="shared" ref="O49:O75" si="8">N49/$N$76</f>
        <v>9.7283225819034119E-2</v>
      </c>
      <c r="P49" s="49">
        <f t="shared" ref="P49:P75" si="9">O49*($B$79+$B$80)</f>
        <v>379683.01671611838</v>
      </c>
      <c r="Q49" s="50">
        <f t="shared" ref="Q49:Q75" si="10">+IF(P49&gt;M49,1,0)</f>
        <v>0</v>
      </c>
    </row>
    <row r="50" spans="1:17" s="26" customFormat="1" ht="12.75" x14ac:dyDescent="0.2">
      <c r="A50" s="44" t="s">
        <v>60</v>
      </c>
      <c r="B50" s="45">
        <v>25</v>
      </c>
      <c r="C50" s="45">
        <v>0</v>
      </c>
      <c r="D50" s="45" t="s">
        <v>151</v>
      </c>
      <c r="E50" s="45">
        <v>0</v>
      </c>
      <c r="F50" s="45">
        <v>0</v>
      </c>
      <c r="G50" s="45" t="s">
        <v>152</v>
      </c>
      <c r="H50" s="45">
        <v>128</v>
      </c>
      <c r="I50" s="45">
        <v>1280</v>
      </c>
      <c r="J50" s="46">
        <v>0.1</v>
      </c>
      <c r="K50" s="45">
        <v>4401706</v>
      </c>
      <c r="L50" s="47">
        <v>0.73480000000000001</v>
      </c>
      <c r="M50" s="45">
        <v>298073.42135445931</v>
      </c>
      <c r="N50" s="48">
        <f t="shared" si="7"/>
        <v>3234373.5688</v>
      </c>
      <c r="O50" s="46">
        <f t="shared" si="8"/>
        <v>1.7244302298016174E-2</v>
      </c>
      <c r="P50" s="49">
        <f t="shared" si="9"/>
        <v>67302.134181434973</v>
      </c>
      <c r="Q50" s="50">
        <f t="shared" si="10"/>
        <v>0</v>
      </c>
    </row>
    <row r="51" spans="1:17" s="26" customFormat="1" ht="12.75" x14ac:dyDescent="0.2">
      <c r="A51" s="44" t="s">
        <v>61</v>
      </c>
      <c r="B51" s="45">
        <v>73</v>
      </c>
      <c r="C51" s="45">
        <v>2</v>
      </c>
      <c r="D51" s="45" t="s">
        <v>153</v>
      </c>
      <c r="E51" s="45">
        <v>0</v>
      </c>
      <c r="F51" s="45">
        <v>0</v>
      </c>
      <c r="G51" s="45" t="s">
        <v>154</v>
      </c>
      <c r="H51" s="45">
        <v>660</v>
      </c>
      <c r="I51" s="45">
        <v>3463</v>
      </c>
      <c r="J51" s="46">
        <v>0.25498123014727114</v>
      </c>
      <c r="K51" s="45">
        <v>28580302.5</v>
      </c>
      <c r="L51" s="47">
        <v>0.3463</v>
      </c>
      <c r="M51" s="45">
        <v>5356779.1456484413</v>
      </c>
      <c r="N51" s="48">
        <f t="shared" si="7"/>
        <v>9897358.7557500005</v>
      </c>
      <c r="O51" s="46">
        <f t="shared" si="8"/>
        <v>5.2768501444127383E-2</v>
      </c>
      <c r="P51" s="49">
        <f t="shared" si="9"/>
        <v>205948.18528288454</v>
      </c>
      <c r="Q51" s="50">
        <f t="shared" si="10"/>
        <v>0</v>
      </c>
    </row>
    <row r="52" spans="1:17" s="26" customFormat="1" ht="12.75" x14ac:dyDescent="0.2">
      <c r="A52" s="44" t="s">
        <v>62</v>
      </c>
      <c r="B52" s="45">
        <v>15</v>
      </c>
      <c r="C52" s="45">
        <v>0</v>
      </c>
      <c r="D52" s="45" t="s">
        <v>155</v>
      </c>
      <c r="E52" s="45">
        <v>0</v>
      </c>
      <c r="F52" s="45">
        <v>0</v>
      </c>
      <c r="G52" s="45" t="s">
        <v>156</v>
      </c>
      <c r="H52" s="45">
        <v>38</v>
      </c>
      <c r="I52" s="45">
        <v>1143</v>
      </c>
      <c r="J52" s="46">
        <v>8.3989501312335957E-2</v>
      </c>
      <c r="K52" s="45">
        <v>1984163</v>
      </c>
      <c r="L52" s="47">
        <v>1.1218999999999999</v>
      </c>
      <c r="M52" s="45">
        <v>1153081.2228958444</v>
      </c>
      <c r="N52" s="48">
        <f>L52*K52</f>
        <v>2226032.4696999998</v>
      </c>
      <c r="O52" s="46">
        <f t="shared" si="8"/>
        <v>1.1868257026026908E-2</v>
      </c>
      <c r="P52" s="49">
        <f t="shared" si="9"/>
        <v>46320.17074748873</v>
      </c>
      <c r="Q52" s="50">
        <f>+IF(P52&gt;M52,1,0)</f>
        <v>0</v>
      </c>
    </row>
    <row r="53" spans="1:17" s="26" customFormat="1" ht="12.75" x14ac:dyDescent="0.2">
      <c r="A53" s="44" t="s">
        <v>63</v>
      </c>
      <c r="B53" s="45">
        <v>25</v>
      </c>
      <c r="C53" s="45">
        <v>0</v>
      </c>
      <c r="D53" s="45" t="s">
        <v>157</v>
      </c>
      <c r="E53" s="45">
        <v>0</v>
      </c>
      <c r="F53" s="45">
        <v>0</v>
      </c>
      <c r="G53" s="45" t="s">
        <v>158</v>
      </c>
      <c r="H53" s="45">
        <v>61</v>
      </c>
      <c r="I53" s="45">
        <v>882</v>
      </c>
      <c r="J53" s="46">
        <v>0.40249433106575966</v>
      </c>
      <c r="K53" s="45">
        <v>6009853</v>
      </c>
      <c r="L53" s="47">
        <v>0.54769999999999996</v>
      </c>
      <c r="M53" s="45">
        <v>803955.12541422667</v>
      </c>
      <c r="N53" s="48">
        <f t="shared" si="7"/>
        <v>3291596.4880999997</v>
      </c>
      <c r="O53" s="46">
        <f t="shared" si="8"/>
        <v>1.7549390531577978E-2</v>
      </c>
      <c r="P53" s="49">
        <f t="shared" si="9"/>
        <v>68492.851490694607</v>
      </c>
      <c r="Q53" s="50">
        <f t="shared" si="10"/>
        <v>0</v>
      </c>
    </row>
    <row r="54" spans="1:17" s="26" customFormat="1" ht="12.75" x14ac:dyDescent="0.2">
      <c r="A54" s="44" t="s">
        <v>64</v>
      </c>
      <c r="B54" s="45">
        <v>56</v>
      </c>
      <c r="C54" s="45">
        <v>2</v>
      </c>
      <c r="D54" s="45" t="s">
        <v>159</v>
      </c>
      <c r="E54" s="45">
        <v>0</v>
      </c>
      <c r="F54" s="45">
        <v>0</v>
      </c>
      <c r="G54" s="45" t="s">
        <v>160</v>
      </c>
      <c r="H54" s="45">
        <v>1165</v>
      </c>
      <c r="I54" s="45">
        <v>4869</v>
      </c>
      <c r="J54" s="46">
        <v>0.35921133703019098</v>
      </c>
      <c r="K54" s="45">
        <v>15745017</v>
      </c>
      <c r="L54" s="47">
        <v>0.309</v>
      </c>
      <c r="M54" s="45">
        <v>431084.12857885286</v>
      </c>
      <c r="N54" s="48">
        <f t="shared" si="7"/>
        <v>4865210.2529999996</v>
      </c>
      <c r="O54" s="46">
        <f t="shared" si="8"/>
        <v>2.5939228899049784E-2</v>
      </c>
      <c r="P54" s="49">
        <f t="shared" si="9"/>
        <v>101237.23382694593</v>
      </c>
      <c r="Q54" s="50">
        <f t="shared" si="10"/>
        <v>0</v>
      </c>
    </row>
    <row r="55" spans="1:17" s="26" customFormat="1" ht="12.75" x14ac:dyDescent="0.2">
      <c r="A55" s="44" t="s">
        <v>65</v>
      </c>
      <c r="B55" s="45">
        <v>20</v>
      </c>
      <c r="C55" s="45">
        <v>1</v>
      </c>
      <c r="D55" s="45" t="s">
        <v>161</v>
      </c>
      <c r="E55" s="45">
        <v>0</v>
      </c>
      <c r="F55" s="45">
        <v>0</v>
      </c>
      <c r="G55" s="45" t="s">
        <v>162</v>
      </c>
      <c r="H55" s="45">
        <v>227</v>
      </c>
      <c r="I55" s="45">
        <v>3245</v>
      </c>
      <c r="J55" s="46">
        <v>6.9953775038520807E-2</v>
      </c>
      <c r="K55" s="45">
        <v>2355437</v>
      </c>
      <c r="L55" s="47">
        <v>0.56479999999999997</v>
      </c>
      <c r="M55" s="45">
        <v>218168.8990219266</v>
      </c>
      <c r="N55" s="48">
        <f t="shared" si="7"/>
        <v>1330350.8176</v>
      </c>
      <c r="O55" s="46">
        <f t="shared" si="8"/>
        <v>7.092863942002473E-3</v>
      </c>
      <c r="P55" s="49">
        <f t="shared" si="9"/>
        <v>27682.46998373657</v>
      </c>
      <c r="Q55" s="50">
        <f t="shared" si="10"/>
        <v>0</v>
      </c>
    </row>
    <row r="56" spans="1:17" s="26" customFormat="1" ht="12.75" x14ac:dyDescent="0.2">
      <c r="A56" s="44" t="s">
        <v>66</v>
      </c>
      <c r="B56" s="45">
        <v>62</v>
      </c>
      <c r="C56" s="45">
        <v>2</v>
      </c>
      <c r="D56" s="45" t="s">
        <v>163</v>
      </c>
      <c r="E56" s="45" t="s">
        <v>164</v>
      </c>
      <c r="F56" s="45">
        <v>0</v>
      </c>
      <c r="G56" s="45" t="s">
        <v>165</v>
      </c>
      <c r="H56" s="45">
        <v>708</v>
      </c>
      <c r="I56" s="45">
        <v>4713</v>
      </c>
      <c r="J56" s="46">
        <v>0.15022278803309994</v>
      </c>
      <c r="K56" s="45">
        <v>14228266</v>
      </c>
      <c r="L56" s="47">
        <v>0.3286</v>
      </c>
      <c r="M56" s="45">
        <v>350820.39216920827</v>
      </c>
      <c r="N56" s="48">
        <f t="shared" si="7"/>
        <v>4675408.2076000003</v>
      </c>
      <c r="O56" s="46">
        <f t="shared" si="8"/>
        <v>2.4927285232668135E-2</v>
      </c>
      <c r="P56" s="49">
        <f t="shared" si="9"/>
        <v>97287.757226393296</v>
      </c>
      <c r="Q56" s="50">
        <f t="shared" si="10"/>
        <v>0</v>
      </c>
    </row>
    <row r="57" spans="1:17" s="26" customFormat="1" ht="12.75" x14ac:dyDescent="0.2">
      <c r="A57" s="44" t="s">
        <v>67</v>
      </c>
      <c r="B57" s="45">
        <v>99</v>
      </c>
      <c r="C57" s="45">
        <v>2</v>
      </c>
      <c r="D57" s="45" t="s">
        <v>166</v>
      </c>
      <c r="E57" s="45" t="s">
        <v>167</v>
      </c>
      <c r="F57" s="45">
        <v>0</v>
      </c>
      <c r="G57" s="45" t="s">
        <v>168</v>
      </c>
      <c r="H57" s="45">
        <v>1570</v>
      </c>
      <c r="I57" s="45">
        <v>8772</v>
      </c>
      <c r="J57" s="46">
        <v>0.40412676698586414</v>
      </c>
      <c r="K57" s="45">
        <v>33019497</v>
      </c>
      <c r="L57" s="47">
        <v>0.28849999999999998</v>
      </c>
      <c r="M57" s="45">
        <v>1833574.9871269157</v>
      </c>
      <c r="N57" s="48">
        <f t="shared" si="7"/>
        <v>9526124.8844999988</v>
      </c>
      <c r="O57" s="46">
        <f t="shared" si="8"/>
        <v>5.0789240556995859E-2</v>
      </c>
      <c r="P57" s="49">
        <f t="shared" si="9"/>
        <v>198223.40294587362</v>
      </c>
      <c r="Q57" s="50">
        <f t="shared" si="10"/>
        <v>0</v>
      </c>
    </row>
    <row r="58" spans="1:17" s="26" customFormat="1" ht="12.75" x14ac:dyDescent="0.2">
      <c r="A58" s="44" t="s">
        <v>68</v>
      </c>
      <c r="B58" s="45">
        <v>15</v>
      </c>
      <c r="C58" s="45">
        <v>0</v>
      </c>
      <c r="D58" s="45" t="s">
        <v>169</v>
      </c>
      <c r="E58" s="45">
        <v>0</v>
      </c>
      <c r="F58" s="45">
        <v>0</v>
      </c>
      <c r="G58" s="45" t="s">
        <v>170</v>
      </c>
      <c r="H58" s="45">
        <v>623</v>
      </c>
      <c r="I58" s="45">
        <v>3871</v>
      </c>
      <c r="J58" s="46">
        <v>0.25936450529578919</v>
      </c>
      <c r="K58" s="45">
        <v>9361175.6200000271</v>
      </c>
      <c r="L58" s="47">
        <v>0.58189999999999997</v>
      </c>
      <c r="M58" s="45">
        <v>642005.01054599672</v>
      </c>
      <c r="N58" s="48">
        <f t="shared" si="7"/>
        <v>5447268.093278016</v>
      </c>
      <c r="O58" s="46">
        <f t="shared" si="8"/>
        <v>2.9042513395777993E-2</v>
      </c>
      <c r="P58" s="49">
        <f t="shared" si="9"/>
        <v>113348.92532901361</v>
      </c>
      <c r="Q58" s="50">
        <f t="shared" si="10"/>
        <v>0</v>
      </c>
    </row>
    <row r="59" spans="1:17" s="26" customFormat="1" ht="12.75" x14ac:dyDescent="0.2">
      <c r="A59" s="44" t="s">
        <v>69</v>
      </c>
      <c r="B59" s="45">
        <v>26</v>
      </c>
      <c r="C59" s="45">
        <v>0</v>
      </c>
      <c r="D59" s="45" t="s">
        <v>171</v>
      </c>
      <c r="E59" s="45" t="s">
        <v>172</v>
      </c>
      <c r="F59" s="45">
        <v>0</v>
      </c>
      <c r="G59" s="45" t="s">
        <v>173</v>
      </c>
      <c r="H59" s="45">
        <v>341</v>
      </c>
      <c r="I59" s="45">
        <v>2479</v>
      </c>
      <c r="J59" s="46">
        <v>0.3227107704719645</v>
      </c>
      <c r="K59" s="45">
        <v>1463457</v>
      </c>
      <c r="L59" s="47">
        <v>1.7406888647838401</v>
      </c>
      <c r="M59" s="45">
        <v>1195002.1407863302</v>
      </c>
      <c r="N59" s="48">
        <f t="shared" si="7"/>
        <v>2547423.3039899641</v>
      </c>
      <c r="O59" s="46">
        <f t="shared" si="8"/>
        <v>1.3581776069024774E-2</v>
      </c>
      <c r="P59" s="49">
        <f t="shared" si="9"/>
        <v>53007.799307999026</v>
      </c>
      <c r="Q59" s="50">
        <f t="shared" si="10"/>
        <v>0</v>
      </c>
    </row>
    <row r="60" spans="1:17" s="26" customFormat="1" ht="12.75" x14ac:dyDescent="0.2">
      <c r="A60" s="44" t="s">
        <v>70</v>
      </c>
      <c r="B60" s="45">
        <v>62</v>
      </c>
      <c r="C60" s="45">
        <v>2</v>
      </c>
      <c r="D60" s="45" t="s">
        <v>174</v>
      </c>
      <c r="E60" s="45">
        <v>0</v>
      </c>
      <c r="F60" s="45">
        <v>0</v>
      </c>
      <c r="G60" s="45" t="s">
        <v>175</v>
      </c>
      <c r="H60" s="45">
        <v>1563</v>
      </c>
      <c r="I60" s="45">
        <v>8482</v>
      </c>
      <c r="J60" s="46">
        <v>0.18427257722235321</v>
      </c>
      <c r="K60" s="45">
        <v>29249809</v>
      </c>
      <c r="L60" s="47">
        <v>0.3019</v>
      </c>
      <c r="M60" s="45">
        <v>2355854.4080938231</v>
      </c>
      <c r="N60" s="48">
        <f t="shared" si="7"/>
        <v>8830517.3370999992</v>
      </c>
      <c r="O60" s="46">
        <f t="shared" si="8"/>
        <v>4.7080557384508261E-2</v>
      </c>
      <c r="P60" s="49">
        <f t="shared" si="9"/>
        <v>183748.92388620734</v>
      </c>
      <c r="Q60" s="50">
        <f t="shared" si="10"/>
        <v>0</v>
      </c>
    </row>
    <row r="61" spans="1:17" s="26" customFormat="1" ht="12.75" x14ac:dyDescent="0.2">
      <c r="A61" s="44" t="s">
        <v>71</v>
      </c>
      <c r="B61" s="45">
        <v>41</v>
      </c>
      <c r="C61" s="45">
        <v>0</v>
      </c>
      <c r="D61" s="45" t="s">
        <v>176</v>
      </c>
      <c r="E61" s="45" t="s">
        <v>177</v>
      </c>
      <c r="F61" s="45">
        <v>0</v>
      </c>
      <c r="G61" s="45" t="s">
        <v>178</v>
      </c>
      <c r="H61" s="45">
        <v>929</v>
      </c>
      <c r="I61" s="45">
        <v>6346</v>
      </c>
      <c r="J61" s="46">
        <v>0.44579262527576424</v>
      </c>
      <c r="K61" s="45">
        <v>19053186</v>
      </c>
      <c r="L61" s="47">
        <v>0.34300000000000003</v>
      </c>
      <c r="M61" s="45">
        <v>1961527.5172057196</v>
      </c>
      <c r="N61" s="48">
        <f t="shared" si="7"/>
        <v>6535242.7980000004</v>
      </c>
      <c r="O61" s="46">
        <f t="shared" si="8"/>
        <v>3.4843131135732355E-2</v>
      </c>
      <c r="P61" s="49">
        <f t="shared" si="9"/>
        <v>135987.93656430914</v>
      </c>
      <c r="Q61" s="50">
        <f t="shared" si="10"/>
        <v>0</v>
      </c>
    </row>
    <row r="62" spans="1:17" s="26" customFormat="1" ht="12.75" x14ac:dyDescent="0.2">
      <c r="A62" s="44" t="s">
        <v>72</v>
      </c>
      <c r="B62" s="45">
        <v>25</v>
      </c>
      <c r="C62" s="45">
        <v>2</v>
      </c>
      <c r="D62" s="45" t="s">
        <v>179</v>
      </c>
      <c r="E62" s="45">
        <v>0</v>
      </c>
      <c r="F62" s="45">
        <v>0</v>
      </c>
      <c r="G62" s="45" t="s">
        <v>180</v>
      </c>
      <c r="H62" s="45">
        <v>104</v>
      </c>
      <c r="I62" s="45">
        <v>1880</v>
      </c>
      <c r="J62" s="46">
        <v>0.3904255319148936</v>
      </c>
      <c r="K62" s="45">
        <v>8302235</v>
      </c>
      <c r="L62" s="47">
        <v>0.40410000000000001</v>
      </c>
      <c r="M62" s="45">
        <v>475722.43678571773</v>
      </c>
      <c r="N62" s="48">
        <f t="shared" si="7"/>
        <v>3354933.1635000003</v>
      </c>
      <c r="O62" s="46">
        <f t="shared" si="8"/>
        <v>1.7887074708719631E-2</v>
      </c>
      <c r="P62" s="49">
        <f t="shared" si="9"/>
        <v>69810.786273335805</v>
      </c>
      <c r="Q62" s="50">
        <f t="shared" si="10"/>
        <v>0</v>
      </c>
    </row>
    <row r="63" spans="1:17" s="26" customFormat="1" ht="12.75" x14ac:dyDescent="0.2">
      <c r="A63" s="44" t="s">
        <v>73</v>
      </c>
      <c r="B63" s="45">
        <v>75</v>
      </c>
      <c r="C63" s="45">
        <v>2</v>
      </c>
      <c r="D63" s="45" t="s">
        <v>181</v>
      </c>
      <c r="E63" s="45">
        <v>0</v>
      </c>
      <c r="F63" s="45">
        <v>0</v>
      </c>
      <c r="G63" s="45" t="s">
        <v>182</v>
      </c>
      <c r="H63" s="45">
        <v>3289</v>
      </c>
      <c r="I63" s="45">
        <v>11824</v>
      </c>
      <c r="J63" s="46">
        <v>0.34007104194857918</v>
      </c>
      <c r="K63" s="45">
        <v>57866098</v>
      </c>
      <c r="L63" s="47">
        <v>0.246</v>
      </c>
      <c r="M63" s="45">
        <v>4251792.6856032088</v>
      </c>
      <c r="N63" s="48">
        <f t="shared" si="7"/>
        <v>14235060.107999999</v>
      </c>
      <c r="O63" s="46">
        <f t="shared" si="8"/>
        <v>7.5895277558756788E-2</v>
      </c>
      <c r="P63" s="49">
        <f t="shared" si="9"/>
        <v>296208.80368029309</v>
      </c>
      <c r="Q63" s="50">
        <f t="shared" si="10"/>
        <v>0</v>
      </c>
    </row>
    <row r="64" spans="1:17" s="26" customFormat="1" ht="12.75" x14ac:dyDescent="0.2">
      <c r="A64" s="44" t="s">
        <v>74</v>
      </c>
      <c r="B64" s="45">
        <v>58</v>
      </c>
      <c r="C64" s="45">
        <v>2</v>
      </c>
      <c r="D64" s="45" t="s">
        <v>183</v>
      </c>
      <c r="E64" s="45">
        <v>0</v>
      </c>
      <c r="F64" s="45">
        <v>0</v>
      </c>
      <c r="G64" s="45" t="s">
        <v>184</v>
      </c>
      <c r="H64" s="45">
        <v>2603</v>
      </c>
      <c r="I64" s="45">
        <v>10538</v>
      </c>
      <c r="J64" s="46">
        <v>0.44429683051812491</v>
      </c>
      <c r="K64" s="45">
        <v>52480530</v>
      </c>
      <c r="L64" s="47">
        <v>0.37340000000000001</v>
      </c>
      <c r="M64" s="45">
        <v>6253248.4420772642</v>
      </c>
      <c r="N64" s="48">
        <f t="shared" si="7"/>
        <v>19596229.901999999</v>
      </c>
      <c r="O64" s="46">
        <f t="shared" si="8"/>
        <v>0.10447875149341093</v>
      </c>
      <c r="P64" s="49">
        <f t="shared" si="9"/>
        <v>407766.16128605447</v>
      </c>
      <c r="Q64" s="50">
        <f t="shared" si="10"/>
        <v>0</v>
      </c>
    </row>
    <row r="65" spans="1:17" s="26" customFormat="1" ht="12.75" x14ac:dyDescent="0.2">
      <c r="A65" s="44" t="s">
        <v>75</v>
      </c>
      <c r="B65" s="45">
        <v>40</v>
      </c>
      <c r="C65" s="45">
        <v>2</v>
      </c>
      <c r="D65" s="45" t="s">
        <v>185</v>
      </c>
      <c r="E65" s="45">
        <v>0</v>
      </c>
      <c r="F65" s="45">
        <v>0</v>
      </c>
      <c r="G65" s="45" t="s">
        <v>186</v>
      </c>
      <c r="H65" s="45">
        <v>372</v>
      </c>
      <c r="I65" s="45">
        <v>2265</v>
      </c>
      <c r="J65" s="46">
        <v>0.21721854304635763</v>
      </c>
      <c r="K65" s="45">
        <v>9337952</v>
      </c>
      <c r="L65" s="47">
        <v>0.309</v>
      </c>
      <c r="M65" s="45">
        <v>2231715.806012</v>
      </c>
      <c r="N65" s="48">
        <f t="shared" si="7"/>
        <v>2885427.1680000001</v>
      </c>
      <c r="O65" s="46">
        <f t="shared" si="8"/>
        <v>1.538386871073812E-2</v>
      </c>
      <c r="P65" s="49">
        <f t="shared" si="9"/>
        <v>60041.118411545547</v>
      </c>
      <c r="Q65" s="50">
        <f t="shared" si="10"/>
        <v>0</v>
      </c>
    </row>
    <row r="66" spans="1:17" s="26" customFormat="1" ht="12.75" x14ac:dyDescent="0.2">
      <c r="A66" s="44" t="s">
        <v>76</v>
      </c>
      <c r="B66" s="45">
        <v>36</v>
      </c>
      <c r="C66" s="45">
        <v>0</v>
      </c>
      <c r="D66" s="45" t="s">
        <v>187</v>
      </c>
      <c r="E66" s="45">
        <v>0</v>
      </c>
      <c r="F66" s="45">
        <v>0</v>
      </c>
      <c r="G66" s="45" t="s">
        <v>188</v>
      </c>
      <c r="H66" s="45">
        <v>11026</v>
      </c>
      <c r="I66" s="45">
        <v>12095</v>
      </c>
      <c r="J66" s="46">
        <v>0.91161637040099219</v>
      </c>
      <c r="K66" s="45">
        <v>14900992</v>
      </c>
      <c r="L66" s="47">
        <v>1.3239260401684372</v>
      </c>
      <c r="M66" s="45">
        <v>3611237.4355172869</v>
      </c>
      <c r="N66" s="48">
        <f t="shared" si="7"/>
        <v>19727811.333141562</v>
      </c>
      <c r="O66" s="46">
        <f t="shared" si="8"/>
        <v>0.10518028764164646</v>
      </c>
      <c r="P66" s="49">
        <f t="shared" si="9"/>
        <v>410504.16014305118</v>
      </c>
      <c r="Q66" s="50">
        <f t="shared" si="10"/>
        <v>0</v>
      </c>
    </row>
    <row r="67" spans="1:17" s="26" customFormat="1" ht="12.75" x14ac:dyDescent="0.2">
      <c r="A67" s="44" t="s">
        <v>77</v>
      </c>
      <c r="B67" s="45">
        <v>33</v>
      </c>
      <c r="C67" s="45">
        <v>0</v>
      </c>
      <c r="D67" s="45" t="s">
        <v>189</v>
      </c>
      <c r="E67" s="45" t="s">
        <v>190</v>
      </c>
      <c r="F67" s="45">
        <v>0</v>
      </c>
      <c r="G67" s="45" t="s">
        <v>191</v>
      </c>
      <c r="H67" s="45">
        <v>32</v>
      </c>
      <c r="I67" s="45">
        <v>280</v>
      </c>
      <c r="J67" s="46">
        <v>0.4107142857142857</v>
      </c>
      <c r="K67" s="45">
        <v>6600285</v>
      </c>
      <c r="L67" s="47">
        <v>0.309</v>
      </c>
      <c r="M67" s="45">
        <v>616453.89457528223</v>
      </c>
      <c r="N67" s="48">
        <f t="shared" si="7"/>
        <v>2039488.0649999999</v>
      </c>
      <c r="O67" s="46">
        <f t="shared" si="8"/>
        <v>1.087368171237699E-2</v>
      </c>
      <c r="P67" s="49">
        <f t="shared" si="9"/>
        <v>42438.480432855926</v>
      </c>
      <c r="Q67" s="50">
        <f t="shared" si="10"/>
        <v>0</v>
      </c>
    </row>
    <row r="68" spans="1:17" s="26" customFormat="1" ht="12.75" x14ac:dyDescent="0.2">
      <c r="A68" s="44" t="s">
        <v>78</v>
      </c>
      <c r="B68" s="45">
        <v>25</v>
      </c>
      <c r="C68" s="45">
        <v>2</v>
      </c>
      <c r="D68" s="45" t="s">
        <v>192</v>
      </c>
      <c r="E68" s="45">
        <v>0</v>
      </c>
      <c r="F68" s="45">
        <v>0</v>
      </c>
      <c r="G68" s="45" t="s">
        <v>193</v>
      </c>
      <c r="H68" s="45">
        <v>151</v>
      </c>
      <c r="I68" s="45">
        <v>1730</v>
      </c>
      <c r="J68" s="46">
        <v>0.24277456647398843</v>
      </c>
      <c r="K68" s="45">
        <v>5969603</v>
      </c>
      <c r="L68" s="47">
        <v>0.55640000000000001</v>
      </c>
      <c r="M68" s="45">
        <v>505072.59262692963</v>
      </c>
      <c r="N68" s="48">
        <f t="shared" si="7"/>
        <v>3321487.1091999998</v>
      </c>
      <c r="O68" s="46">
        <f t="shared" si="8"/>
        <v>1.7708754592395202E-2</v>
      </c>
      <c r="P68" s="49">
        <f t="shared" si="9"/>
        <v>69114.827446547177</v>
      </c>
      <c r="Q68" s="50">
        <f t="shared" si="10"/>
        <v>0</v>
      </c>
    </row>
    <row r="69" spans="1:17" s="26" customFormat="1" ht="12.75" x14ac:dyDescent="0.2">
      <c r="A69" s="44" t="s">
        <v>79</v>
      </c>
      <c r="B69" s="45">
        <v>23</v>
      </c>
      <c r="C69" s="45">
        <v>2</v>
      </c>
      <c r="D69" s="45" t="s">
        <v>194</v>
      </c>
      <c r="E69" s="45">
        <v>0</v>
      </c>
      <c r="F69" s="45">
        <v>0</v>
      </c>
      <c r="G69" s="45" t="s">
        <v>195</v>
      </c>
      <c r="H69" s="45">
        <v>300</v>
      </c>
      <c r="I69" s="45">
        <v>3025</v>
      </c>
      <c r="J69" s="46">
        <v>9.9173553719008267E-2</v>
      </c>
      <c r="K69" s="45">
        <v>4554270</v>
      </c>
      <c r="L69" s="47">
        <v>0.31869999999999998</v>
      </c>
      <c r="M69" s="45">
        <v>471218.50117157568</v>
      </c>
      <c r="N69" s="48">
        <f t="shared" si="7"/>
        <v>1451445.8489999999</v>
      </c>
      <c r="O69" s="46">
        <f t="shared" si="8"/>
        <v>7.7384910731393731E-3</v>
      </c>
      <c r="P69" s="49">
        <f t="shared" si="9"/>
        <v>30202.263655873099</v>
      </c>
      <c r="Q69" s="50">
        <f t="shared" si="10"/>
        <v>0</v>
      </c>
    </row>
    <row r="70" spans="1:17" s="26" customFormat="1" ht="12.75" x14ac:dyDescent="0.2">
      <c r="A70" s="44" t="s">
        <v>80</v>
      </c>
      <c r="B70" s="45">
        <v>25</v>
      </c>
      <c r="C70" s="45">
        <v>0</v>
      </c>
      <c r="D70" s="45" t="s">
        <v>196</v>
      </c>
      <c r="E70" s="45">
        <v>0</v>
      </c>
      <c r="F70" s="45">
        <v>0</v>
      </c>
      <c r="G70" s="45" t="s">
        <v>197</v>
      </c>
      <c r="H70" s="45">
        <v>58</v>
      </c>
      <c r="I70" s="45">
        <v>663</v>
      </c>
      <c r="J70" s="46">
        <v>0.32428355957767724</v>
      </c>
      <c r="K70" s="45">
        <v>5188443.18</v>
      </c>
      <c r="L70" s="47">
        <v>0.55389999999999995</v>
      </c>
      <c r="M70" s="45">
        <v>524926.0817573329</v>
      </c>
      <c r="N70" s="48">
        <f t="shared" si="7"/>
        <v>2873878.6774019995</v>
      </c>
      <c r="O70" s="46">
        <f t="shared" si="8"/>
        <v>1.532229707755426E-2</v>
      </c>
      <c r="P70" s="49">
        <f t="shared" si="9"/>
        <v>59800.812816880403</v>
      </c>
      <c r="Q70" s="50">
        <f t="shared" si="10"/>
        <v>0</v>
      </c>
    </row>
    <row r="71" spans="1:17" s="26" customFormat="1" ht="12.75" x14ac:dyDescent="0.2">
      <c r="A71" s="44" t="s">
        <v>81</v>
      </c>
      <c r="B71" s="45">
        <v>96</v>
      </c>
      <c r="C71" s="45">
        <v>2</v>
      </c>
      <c r="D71" s="45" t="s">
        <v>198</v>
      </c>
      <c r="E71" s="45">
        <v>0</v>
      </c>
      <c r="F71" s="45">
        <v>0</v>
      </c>
      <c r="G71" s="45" t="s">
        <v>199</v>
      </c>
      <c r="H71" s="45">
        <v>2536</v>
      </c>
      <c r="I71" s="45">
        <v>12172</v>
      </c>
      <c r="J71" s="46">
        <v>0.29033848176141963</v>
      </c>
      <c r="K71" s="45">
        <v>35305743</v>
      </c>
      <c r="L71" s="47">
        <v>0.33950000000000002</v>
      </c>
      <c r="M71" s="45">
        <v>3460208.9007278658</v>
      </c>
      <c r="N71" s="48">
        <f t="shared" si="7"/>
        <v>11986299.748500001</v>
      </c>
      <c r="O71" s="46">
        <f t="shared" si="8"/>
        <v>6.3905845104483799E-2</v>
      </c>
      <c r="P71" s="49">
        <f t="shared" si="9"/>
        <v>249415.7019443324</v>
      </c>
      <c r="Q71" s="50">
        <f t="shared" si="10"/>
        <v>0</v>
      </c>
    </row>
    <row r="72" spans="1:17" s="26" customFormat="1" ht="12.75" x14ac:dyDescent="0.2">
      <c r="A72" s="44" t="s">
        <v>82</v>
      </c>
      <c r="B72" s="45">
        <v>18</v>
      </c>
      <c r="C72" s="45">
        <v>0</v>
      </c>
      <c r="D72" s="45" t="s">
        <v>200</v>
      </c>
      <c r="E72" s="45">
        <v>0</v>
      </c>
      <c r="F72" s="45">
        <v>0</v>
      </c>
      <c r="G72" s="45" t="s">
        <v>201</v>
      </c>
      <c r="H72" s="45">
        <v>79</v>
      </c>
      <c r="I72" s="45">
        <v>2121</v>
      </c>
      <c r="J72" s="46">
        <v>4.8561999057048562E-2</v>
      </c>
      <c r="K72" s="45">
        <v>1711426</v>
      </c>
      <c r="L72" s="47">
        <v>0.65249999999999997</v>
      </c>
      <c r="M72" s="45">
        <v>295851.06036874658</v>
      </c>
      <c r="N72" s="48">
        <f t="shared" si="7"/>
        <v>1116705.4649999999</v>
      </c>
      <c r="O72" s="46">
        <f t="shared" si="8"/>
        <v>5.9537979168718209E-3</v>
      </c>
      <c r="P72" s="49">
        <f t="shared" si="9"/>
        <v>23236.852344936749</v>
      </c>
      <c r="Q72" s="50">
        <f t="shared" si="10"/>
        <v>0</v>
      </c>
    </row>
    <row r="73" spans="1:17" s="26" customFormat="1" ht="12.75" x14ac:dyDescent="0.2">
      <c r="A73" s="44" t="s">
        <v>83</v>
      </c>
      <c r="B73" s="45">
        <v>36</v>
      </c>
      <c r="C73" s="45">
        <v>2</v>
      </c>
      <c r="D73" s="45" t="s">
        <v>202</v>
      </c>
      <c r="E73" s="45">
        <v>0</v>
      </c>
      <c r="F73" s="45">
        <v>0</v>
      </c>
      <c r="G73" s="45" t="s">
        <v>203</v>
      </c>
      <c r="H73" s="45">
        <v>566</v>
      </c>
      <c r="I73" s="45">
        <v>4332</v>
      </c>
      <c r="J73" s="46">
        <v>0.20614035087719298</v>
      </c>
      <c r="K73" s="45">
        <v>27609044.880000003</v>
      </c>
      <c r="L73" s="47">
        <v>0.36120000000000002</v>
      </c>
      <c r="M73" s="45">
        <v>3276260.841454159</v>
      </c>
      <c r="N73" s="48">
        <f t="shared" si="7"/>
        <v>9972387.010656001</v>
      </c>
      <c r="O73" s="46">
        <f t="shared" si="8"/>
        <v>5.3168520143566517E-2</v>
      </c>
      <c r="P73" s="49">
        <f t="shared" si="9"/>
        <v>207509.40311121225</v>
      </c>
      <c r="Q73" s="50">
        <f t="shared" si="10"/>
        <v>0</v>
      </c>
    </row>
    <row r="74" spans="1:17" s="26" customFormat="1" ht="12.75" x14ac:dyDescent="0.2">
      <c r="A74" s="44" t="s">
        <v>84</v>
      </c>
      <c r="B74" s="45">
        <v>25</v>
      </c>
      <c r="C74" s="45">
        <v>2</v>
      </c>
      <c r="D74" s="45" t="s">
        <v>204</v>
      </c>
      <c r="E74" s="45">
        <v>0</v>
      </c>
      <c r="F74" s="45">
        <v>0</v>
      </c>
      <c r="G74" s="45" t="s">
        <v>205</v>
      </c>
      <c r="H74" s="45">
        <v>632</v>
      </c>
      <c r="I74" s="45">
        <v>2565</v>
      </c>
      <c r="J74" s="46">
        <v>0.33255360623781677</v>
      </c>
      <c r="K74" s="45">
        <v>11218826</v>
      </c>
      <c r="L74" s="47">
        <v>0.49299999999999999</v>
      </c>
      <c r="M74" s="45">
        <v>2628989.969002862</v>
      </c>
      <c r="N74" s="48">
        <f t="shared" si="7"/>
        <v>5530881.2180000003</v>
      </c>
      <c r="O74" s="46">
        <f t="shared" si="8"/>
        <v>2.9488302964644206E-2</v>
      </c>
      <c r="P74" s="49">
        <f t="shared" si="9"/>
        <v>115088.78054971277</v>
      </c>
      <c r="Q74" s="50">
        <f t="shared" si="10"/>
        <v>0</v>
      </c>
    </row>
    <row r="75" spans="1:17" s="26" customFormat="1" ht="12.75" x14ac:dyDescent="0.2">
      <c r="A75" s="44" t="s">
        <v>85</v>
      </c>
      <c r="B75" s="45">
        <v>87</v>
      </c>
      <c r="C75" s="45">
        <v>2</v>
      </c>
      <c r="D75" s="45" t="s">
        <v>206</v>
      </c>
      <c r="E75" s="45">
        <v>0</v>
      </c>
      <c r="F75" s="45">
        <v>0</v>
      </c>
      <c r="G75" s="45" t="s">
        <v>207</v>
      </c>
      <c r="H75" s="45">
        <v>1121</v>
      </c>
      <c r="I75" s="45">
        <v>5535</v>
      </c>
      <c r="J75" s="46">
        <v>0.31851851851851853</v>
      </c>
      <c r="K75" s="45">
        <v>33662862</v>
      </c>
      <c r="L75" s="47">
        <v>0.26190000000000002</v>
      </c>
      <c r="M75" s="45">
        <v>3262534.4447394605</v>
      </c>
      <c r="N75" s="48">
        <f t="shared" si="7"/>
        <v>8816303.5578000005</v>
      </c>
      <c r="O75" s="46">
        <f t="shared" si="8"/>
        <v>4.7004775567153941E-2</v>
      </c>
      <c r="P75" s="49">
        <f t="shared" si="9"/>
        <v>183453.15790206078</v>
      </c>
      <c r="Q75" s="50">
        <f t="shared" si="10"/>
        <v>0</v>
      </c>
    </row>
    <row r="76" spans="1:17" s="55" customFormat="1" ht="12.75" x14ac:dyDescent="0.2">
      <c r="A76" s="22" t="s">
        <v>86</v>
      </c>
      <c r="B76" s="23">
        <f>SUM(B49:B75)</f>
        <v>1202</v>
      </c>
      <c r="C76" s="51"/>
      <c r="D76" s="51"/>
      <c r="E76" s="51"/>
      <c r="F76" s="51"/>
      <c r="G76" s="51"/>
      <c r="H76" s="23">
        <f>SUM(H49:H75)</f>
        <v>33265</v>
      </c>
      <c r="I76" s="23"/>
      <c r="J76" s="51"/>
      <c r="K76" s="23"/>
      <c r="L76" s="52"/>
      <c r="M76" s="51"/>
      <c r="N76" s="53">
        <f>SUM(N49:N75)</f>
        <v>187561869.01061749</v>
      </c>
      <c r="O76" s="61">
        <f>SUM(O49:O75)</f>
        <v>1.0000000000000002</v>
      </c>
      <c r="P76" s="58">
        <f>SUM(P49:P75)</f>
        <v>3902862.1174877919</v>
      </c>
      <c r="Q76" s="51"/>
    </row>
    <row r="77" spans="1:17" s="26" customFormat="1" ht="12.75" x14ac:dyDescent="0.2">
      <c r="A77" s="22" t="s">
        <v>57</v>
      </c>
      <c r="B77" s="54">
        <f>H76/B9</f>
        <v>0.27396865399978587</v>
      </c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4"/>
      <c r="N77" s="24"/>
      <c r="O77" s="24"/>
      <c r="P77" s="59"/>
      <c r="Q77" s="24"/>
    </row>
    <row r="78" spans="1:17" s="26" customFormat="1" ht="12.75" x14ac:dyDescent="0.2">
      <c r="A78" s="22" t="s">
        <v>38</v>
      </c>
      <c r="B78" s="23">
        <f>COUNT(B49:B75)</f>
        <v>27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4"/>
      <c r="N78" s="24"/>
      <c r="O78" s="24"/>
      <c r="P78" s="59"/>
      <c r="Q78" s="24"/>
    </row>
    <row r="79" spans="1:17" s="26" customFormat="1" ht="12.75" x14ac:dyDescent="0.2">
      <c r="A79" s="22" t="s">
        <v>39</v>
      </c>
      <c r="B79" s="23">
        <f>(B2-B24)*B77</f>
        <v>3902862.1174877905</v>
      </c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4"/>
      <c r="N79" s="24"/>
      <c r="O79" s="24"/>
      <c r="P79" s="24"/>
      <c r="Q79" s="24"/>
    </row>
    <row r="80" spans="1:17" s="26" customFormat="1" ht="12.75" x14ac:dyDescent="0.2">
      <c r="A80" s="22" t="s">
        <v>40</v>
      </c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4"/>
      <c r="N80" s="24"/>
      <c r="O80" s="24"/>
      <c r="P80" s="24"/>
      <c r="Q80" s="24"/>
    </row>
    <row r="81" spans="1:17" s="26" customFormat="1" ht="12.75" x14ac:dyDescent="0.2">
      <c r="A81" s="24"/>
      <c r="B81" s="2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4"/>
      <c r="N81" s="24"/>
      <c r="O81" s="24"/>
      <c r="P81" s="24"/>
      <c r="Q81" s="24"/>
    </row>
    <row r="82" spans="1:17" s="26" customFormat="1" ht="12.75" x14ac:dyDescent="0.2">
      <c r="A82" s="36" t="s">
        <v>208</v>
      </c>
      <c r="B82" s="56"/>
      <c r="C82" s="41"/>
      <c r="D82" s="41"/>
      <c r="E82" s="41"/>
      <c r="F82" s="41"/>
      <c r="G82" s="41"/>
      <c r="H82" s="41"/>
      <c r="I82" s="41"/>
      <c r="J82" s="41"/>
      <c r="K82" s="41"/>
      <c r="L82" s="57"/>
      <c r="M82" s="41"/>
      <c r="N82" s="41"/>
      <c r="O82" s="41"/>
      <c r="P82" s="41"/>
      <c r="Q82" s="41"/>
    </row>
    <row r="83" spans="1:17" ht="12.75" x14ac:dyDescent="0.2">
      <c r="A83" s="44" t="s">
        <v>209</v>
      </c>
      <c r="B83" s="45">
        <v>182</v>
      </c>
      <c r="C83" s="45">
        <v>1</v>
      </c>
      <c r="D83" s="45" t="s">
        <v>210</v>
      </c>
      <c r="E83" s="45">
        <v>0</v>
      </c>
      <c r="F83" s="45">
        <v>0</v>
      </c>
      <c r="G83" s="45" t="s">
        <v>211</v>
      </c>
      <c r="H83" s="45">
        <v>420</v>
      </c>
      <c r="I83" s="45">
        <v>41458</v>
      </c>
      <c r="J83" s="46">
        <v>1.0227217907279656E-2</v>
      </c>
      <c r="K83" s="45">
        <v>16492405</v>
      </c>
      <c r="L83" s="47">
        <v>1.0522666667685507</v>
      </c>
      <c r="M83" s="45">
        <v>15830826.245389484</v>
      </c>
      <c r="N83" s="48">
        <f t="shared" ref="N83" si="11">L83*K83</f>
        <v>17354408.036346979</v>
      </c>
      <c r="O83" s="46">
        <f>N83/$N$84</f>
        <v>1</v>
      </c>
      <c r="P83" s="62">
        <f>O83*($B$84+$B$85)</f>
        <v>3273248</v>
      </c>
      <c r="Q83" s="50">
        <f t="shared" ref="Q83" si="12">+IF(P83&gt;M83,1,0)</f>
        <v>0</v>
      </c>
    </row>
    <row r="84" spans="1:17" ht="12.75" x14ac:dyDescent="0.2">
      <c r="A84" s="22" t="s">
        <v>39</v>
      </c>
      <c r="B84" s="23">
        <f>C2</f>
        <v>3273248</v>
      </c>
      <c r="C84" s="51"/>
      <c r="D84" s="51"/>
      <c r="E84" s="51"/>
      <c r="F84" s="51"/>
      <c r="G84" s="51"/>
      <c r="H84" s="51"/>
      <c r="I84" s="51"/>
      <c r="J84" s="51"/>
      <c r="K84" s="51"/>
      <c r="L84" s="52"/>
      <c r="M84" s="51"/>
      <c r="N84" s="53">
        <f>SUM(N83:N83)</f>
        <v>17354408.036346979</v>
      </c>
      <c r="O84" s="63">
        <f>SUM(O83:O83)</f>
        <v>1</v>
      </c>
      <c r="P84" s="64">
        <f>SUM(P83:P83)</f>
        <v>3273248</v>
      </c>
      <c r="Q84" s="51"/>
    </row>
    <row r="85" spans="1:17" ht="12.75" x14ac:dyDescent="0.2">
      <c r="A85" s="22" t="s">
        <v>40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4"/>
      <c r="N85" s="24"/>
      <c r="O85" s="24"/>
      <c r="P85" s="59"/>
      <c r="Q85" s="24"/>
    </row>
  </sheetData>
  <pageMargins left="0.25" right="0.25" top="0.75" bottom="0.75" header="0.3" footer="0.3"/>
  <pageSetup scale="49" fitToHeight="0" orientation="landscape" r:id="rId1"/>
  <rowBreaks count="1" manualBreakCount="1">
    <brk id="47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6E08C-3EC6-489B-BBA7-A906921AF75C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017B9C-D675-4CB4-B0D9-E74F5B821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C7D70-99D0-4645-BE87-C23ABBA22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Nelson Solomon</cp:lastModifiedBy>
  <cp:lastPrinted>2013-12-04T15:01:28Z</cp:lastPrinted>
  <dcterms:created xsi:type="dcterms:W3CDTF">2013-11-27T15:40:57Z</dcterms:created>
  <dcterms:modified xsi:type="dcterms:W3CDTF">2017-11-20T20:05:46Z</dcterms:modified>
</cp:coreProperties>
</file>