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20490" windowHeight="7755" firstSheet="1" activeTab="1"/>
  </bookViews>
  <sheets>
    <sheet name="Summary of Changes - Jul16" sheetId="95" r:id="rId1"/>
    <sheet name="Summary of Changes - May17" sheetId="105" r:id="rId2"/>
    <sheet name="May17-Exh1&amp;2-Trends" sheetId="37" r:id="rId3"/>
    <sheet name="May17-Exh3-TANFU" sheetId="16" r:id="rId4"/>
    <sheet name="May17-Exh4-TANFR" sheetId="30" r:id="rId5"/>
    <sheet name="May17-Exh5-ABDU" sheetId="31" r:id="rId6"/>
    <sheet name="May17-Exh6-ABDR" sheetId="32" r:id="rId7"/>
    <sheet name="May17-Exh7-NDWA_All_2013" sheetId="64" r:id="rId8"/>
    <sheet name="May17-Exh8-NDWA_ESI_2014" sheetId="89" r:id="rId9"/>
    <sheet name="May17-Exh9-WDA_All_2013" sheetId="66" r:id="rId10"/>
    <sheet name="May17-Exh10-WDA_ESI_2014" sheetId="91" r:id="rId11"/>
    <sheet name="May17-Exh11-TEFRA" sheetId="34" r:id="rId12"/>
    <sheet name="May17-Exh12-College_All_2013" sheetId="35" r:id="rId13"/>
    <sheet name="May17-Exh13-College_ESI_2014" sheetId="92" r:id="rId14"/>
    <sheet name="May17-Exh14-Foster_ESI" sheetId="76" r:id="rId15"/>
    <sheet name="May17-Exh15_NonProfit_ESI" sheetId="77" r:id="rId16"/>
    <sheet name="May17-Exh16-SCI" sheetId="102" r:id="rId17"/>
    <sheet name="May17-Exh17-NDWA_IP_2014" sheetId="79" r:id="rId18"/>
    <sheet name="May17-Exh18-WDA_IP_2014" sheetId="85" r:id="rId19"/>
    <sheet name="May17-Exh19-College_IP_2014" sheetId="86" r:id="rId20"/>
    <sheet name="May17-Exh20-Foster_IP" sheetId="87" r:id="rId21"/>
    <sheet name="May2017-Exh21-NonProfit_IP" sheetId="88" r:id="rId22"/>
    <sheet name="May17-Exh22-HAN" sheetId="67" r:id="rId23"/>
    <sheet name="May17-Exh23-HMP" sheetId="69" r:id="rId24"/>
    <sheet name="May17-Exh24-ALL No RB" sheetId="36" r:id="rId25"/>
    <sheet name="May17-Exh24-ALL RB" sheetId="106" r:id="rId26"/>
    <sheet name="May17-Exh24-ALL RB SavLim" sheetId="108" r:id="rId27"/>
    <sheet name="SUPPORTING" sheetId="83" r:id="rId28"/>
    <sheet name="IOK_ESI_IP" sheetId="93" r:id="rId29"/>
    <sheet name="OHCA_C-Report_2014-16" sheetId="98" r:id="rId30"/>
  </sheets>
  <definedNames>
    <definedName name="__1_" localSheetId="10">#REF!</definedName>
    <definedName name="__1_" localSheetId="13">#REF!</definedName>
    <definedName name="__1_" localSheetId="14">#REF!</definedName>
    <definedName name="__1_" localSheetId="15">#REF!</definedName>
    <definedName name="__1_" localSheetId="16">#REF!</definedName>
    <definedName name="__1_" localSheetId="17">#REF!</definedName>
    <definedName name="__1_" localSheetId="18">#REF!</definedName>
    <definedName name="__1_" localSheetId="19">#REF!</definedName>
    <definedName name="__1_" localSheetId="20">#REF!</definedName>
    <definedName name="__1_" localSheetId="23">#REF!</definedName>
    <definedName name="__1_" localSheetId="25">#REF!</definedName>
    <definedName name="__1_" localSheetId="26">#REF!</definedName>
    <definedName name="__1_" localSheetId="8">#REF!</definedName>
    <definedName name="__1_" localSheetId="21">#REF!</definedName>
    <definedName name="__1_" localSheetId="0">#REF!</definedName>
    <definedName name="__1_" localSheetId="1">#REF!</definedName>
    <definedName name="__1_">#REF!</definedName>
    <definedName name="_1_" localSheetId="10">#REF!</definedName>
    <definedName name="_1_" localSheetId="13">#REF!</definedName>
    <definedName name="_1_" localSheetId="14">#REF!</definedName>
    <definedName name="_1_" localSheetId="15">#REF!</definedName>
    <definedName name="_1_" localSheetId="16">#REF!</definedName>
    <definedName name="_1_" localSheetId="17">#REF!</definedName>
    <definedName name="_1_" localSheetId="18">#REF!</definedName>
    <definedName name="_1_" localSheetId="19">#REF!</definedName>
    <definedName name="_1_" localSheetId="20">#REF!</definedName>
    <definedName name="_1_" localSheetId="23">#REF!</definedName>
    <definedName name="_1_" localSheetId="25">#REF!</definedName>
    <definedName name="_1_" localSheetId="26">#REF!</definedName>
    <definedName name="_1_" localSheetId="8">#REF!</definedName>
    <definedName name="_1_" localSheetId="21">#REF!</definedName>
    <definedName name="_1_" localSheetId="0">#REF!</definedName>
    <definedName name="_1_" localSheetId="1">#REF!</definedName>
    <definedName name="_1_">#REF!</definedName>
    <definedName name="_xlnm.Print_Titles" localSheetId="10">'May17-Exh10-WDA_ESI_2014'!$1:$3</definedName>
    <definedName name="_xlnm.Print_Titles" localSheetId="11">'May17-Exh11-TEFRA'!$1:$3</definedName>
    <definedName name="_xlnm.Print_Titles" localSheetId="12">'May17-Exh12-College_All_2013'!$1:$3</definedName>
    <definedName name="_xlnm.Print_Titles" localSheetId="13">'May17-Exh13-College_ESI_2014'!$1:$3</definedName>
    <definedName name="_xlnm.Print_Titles" localSheetId="14">'May17-Exh14-Foster_ESI'!$1:$3</definedName>
    <definedName name="_xlnm.Print_Titles" localSheetId="15">'May17-Exh15_NonProfit_ESI'!$1:$3</definedName>
    <definedName name="_xlnm.Print_Titles" localSheetId="16">'May17-Exh16-SCI'!$1:$3</definedName>
    <definedName name="_xlnm.Print_Titles" localSheetId="17">'May17-Exh17-NDWA_IP_2014'!$1:$3</definedName>
    <definedName name="_xlnm.Print_Titles" localSheetId="18">'May17-Exh18-WDA_IP_2014'!$1:$3</definedName>
    <definedName name="_xlnm.Print_Titles" localSheetId="19">'May17-Exh19-College_IP_2014'!$1:$3</definedName>
    <definedName name="_xlnm.Print_Titles" localSheetId="20">'May17-Exh20-Foster_IP'!$1:$3</definedName>
    <definedName name="_xlnm.Print_Titles" localSheetId="22">'May17-Exh22-HAN'!$1:$3</definedName>
    <definedName name="_xlnm.Print_Titles" localSheetId="23">'May17-Exh23-HMP'!$1:$2</definedName>
    <definedName name="_xlnm.Print_Titles" localSheetId="24">'May17-Exh24-ALL No RB'!$1:$3</definedName>
    <definedName name="_xlnm.Print_Titles" localSheetId="25">'May17-Exh24-ALL RB'!$1:$3</definedName>
    <definedName name="_xlnm.Print_Titles" localSheetId="26">'May17-Exh24-ALL RB SavLim'!$1:$3</definedName>
    <definedName name="_xlnm.Print_Titles" localSheetId="3">'May17-Exh3-TANFU'!$1:$3</definedName>
    <definedName name="_xlnm.Print_Titles" localSheetId="4">'May17-Exh4-TANFR'!$1:$3</definedName>
    <definedName name="_xlnm.Print_Titles" localSheetId="5">'May17-Exh5-ABDU'!$1:$3</definedName>
    <definedName name="_xlnm.Print_Titles" localSheetId="6">'May17-Exh6-ABDR'!$1:$3</definedName>
    <definedName name="_xlnm.Print_Titles" localSheetId="7">'May17-Exh7-NDWA_All_2013'!$1:$3</definedName>
    <definedName name="_xlnm.Print_Titles" localSheetId="8">'May17-Exh8-NDWA_ESI_2014'!$1:$3</definedName>
    <definedName name="_xlnm.Print_Titles" localSheetId="9">'May17-Exh9-WDA_All_2013'!$1:$3</definedName>
    <definedName name="_xlnm.Print_Titles" localSheetId="21">'May2017-Exh21-NonProfit_IP'!$1:$3</definedName>
  </definedNames>
  <calcPr calcId="152511"/>
</workbook>
</file>

<file path=xl/calcChain.xml><?xml version="1.0" encoding="utf-8"?>
<calcChain xmlns="http://schemas.openxmlformats.org/spreadsheetml/2006/main">
  <c r="AN15" i="93" l="1"/>
  <c r="AN14" i="93"/>
  <c r="D27" i="108" l="1"/>
  <c r="D26" i="108"/>
  <c r="D25" i="108"/>
  <c r="D24" i="108"/>
  <c r="D23" i="108"/>
  <c r="H22" i="108"/>
  <c r="D22" i="108"/>
  <c r="H21" i="108"/>
  <c r="D21" i="108"/>
  <c r="H20" i="108"/>
  <c r="D20" i="108"/>
  <c r="H19" i="108"/>
  <c r="D19" i="108"/>
  <c r="H18" i="108"/>
  <c r="D18" i="108"/>
  <c r="D17" i="108"/>
  <c r="G17" i="108" s="1"/>
  <c r="D16" i="108"/>
  <c r="G16" i="108" s="1"/>
  <c r="D15" i="108"/>
  <c r="G15" i="108" s="1"/>
  <c r="D14" i="108"/>
  <c r="G14" i="108" s="1"/>
  <c r="D13" i="108"/>
  <c r="G13" i="108" s="1"/>
  <c r="D12" i="108"/>
  <c r="G12" i="108" s="1"/>
  <c r="D11" i="108"/>
  <c r="G11" i="108" s="1"/>
  <c r="D10" i="108"/>
  <c r="G10" i="108" s="1"/>
  <c r="D27" i="67"/>
  <c r="G18" i="108" l="1"/>
  <c r="G22" i="108"/>
  <c r="G20" i="108"/>
  <c r="G19" i="108"/>
  <c r="G21" i="108"/>
  <c r="D27" i="106"/>
  <c r="D26" i="106"/>
  <c r="D25" i="106"/>
  <c r="D24" i="106"/>
  <c r="D23" i="106"/>
  <c r="H22" i="106"/>
  <c r="D22" i="106"/>
  <c r="H21" i="106"/>
  <c r="D21" i="106"/>
  <c r="H20" i="106"/>
  <c r="D20" i="106"/>
  <c r="H19" i="106"/>
  <c r="D19" i="106"/>
  <c r="H18" i="106"/>
  <c r="D18" i="106"/>
  <c r="D17" i="106"/>
  <c r="G17" i="106" s="1"/>
  <c r="D16" i="106"/>
  <c r="G16" i="106" s="1"/>
  <c r="D15" i="106"/>
  <c r="G15" i="106" s="1"/>
  <c r="D14" i="106"/>
  <c r="G14" i="106" s="1"/>
  <c r="D13" i="106"/>
  <c r="G13" i="106" s="1"/>
  <c r="D12" i="106"/>
  <c r="G12" i="106" s="1"/>
  <c r="D11" i="106"/>
  <c r="G11" i="106" s="1"/>
  <c r="D10" i="106"/>
  <c r="G10" i="106" s="1"/>
  <c r="AJ35" i="93"/>
  <c r="AJ34" i="93"/>
  <c r="AJ36" i="93" s="1"/>
  <c r="G19" i="106" l="1"/>
  <c r="G21" i="106"/>
  <c r="G18" i="106"/>
  <c r="G22" i="106"/>
  <c r="G20" i="106"/>
  <c r="AK10" i="93"/>
  <c r="AK9" i="93"/>
  <c r="AL16" i="93"/>
  <c r="AL10" i="93"/>
  <c r="AL9" i="93"/>
  <c r="AK20" i="93"/>
  <c r="AJ10" i="93"/>
  <c r="AJ20" i="93" s="1"/>
  <c r="AJ9" i="93"/>
  <c r="AJ19" i="93" s="1"/>
  <c r="AI10" i="93"/>
  <c r="AI20" i="93" s="1"/>
  <c r="AI9" i="93"/>
  <c r="AI19" i="93" s="1"/>
  <c r="AG10" i="93"/>
  <c r="AG20" i="93" s="1"/>
  <c r="AF10" i="93"/>
  <c r="AF20" i="93" s="1"/>
  <c r="AE10" i="93"/>
  <c r="AE20" i="93" s="1"/>
  <c r="AD10" i="93"/>
  <c r="AD20" i="93" s="1"/>
  <c r="AG9" i="93"/>
  <c r="AG11" i="93" s="1"/>
  <c r="AF9" i="93"/>
  <c r="AF11" i="93" s="1"/>
  <c r="AE9" i="93"/>
  <c r="AE11" i="93" s="1"/>
  <c r="AD9" i="93"/>
  <c r="AH10" i="93"/>
  <c r="AH20" i="93" s="1"/>
  <c r="AH9" i="93"/>
  <c r="AC10" i="93"/>
  <c r="AC20" i="93" s="1"/>
  <c r="AC9" i="93"/>
  <c r="AC19" i="93" s="1"/>
  <c r="AB10" i="93"/>
  <c r="AB20" i="93" s="1"/>
  <c r="AB9" i="93"/>
  <c r="AB19" i="93" s="1"/>
  <c r="AK16" i="93"/>
  <c r="AJ16" i="93"/>
  <c r="AI16" i="93"/>
  <c r="AH16" i="93"/>
  <c r="AG16" i="93"/>
  <c r="AF16" i="93"/>
  <c r="AE16" i="93"/>
  <c r="AD16" i="93"/>
  <c r="AC16" i="93"/>
  <c r="AB16" i="93"/>
  <c r="AA16" i="93"/>
  <c r="AI11" i="93"/>
  <c r="AA10" i="93"/>
  <c r="AA20" i="93" s="1"/>
  <c r="AA9" i="93"/>
  <c r="AL11" i="93" l="1"/>
  <c r="AA11" i="93"/>
  <c r="AJ30" i="93"/>
  <c r="AJ29" i="93"/>
  <c r="AA19" i="93"/>
  <c r="AL20" i="93"/>
  <c r="AK11" i="93"/>
  <c r="AL19" i="93"/>
  <c r="AK19" i="93"/>
  <c r="AJ11" i="93"/>
  <c r="AE19" i="93"/>
  <c r="AF19" i="93"/>
  <c r="AG19" i="93"/>
  <c r="AH11" i="93"/>
  <c r="AH19" i="93"/>
  <c r="AC11" i="93"/>
  <c r="AB11" i="93"/>
  <c r="AJ31" i="93" l="1"/>
  <c r="AH31" i="98" l="1"/>
  <c r="R31" i="98"/>
  <c r="P31" i="98"/>
  <c r="I31" i="98"/>
  <c r="C31" i="98"/>
  <c r="AK29" i="98"/>
  <c r="AJ29" i="98"/>
  <c r="Y29" i="98"/>
  <c r="X29" i="98"/>
  <c r="F29" i="98"/>
  <c r="E31" i="98" s="1"/>
  <c r="AJ28" i="98"/>
  <c r="L28" i="98"/>
  <c r="AK27" i="98"/>
  <c r="AJ27" i="98"/>
  <c r="Y27" i="98"/>
  <c r="X27" i="98"/>
  <c r="L27" i="98"/>
  <c r="N27" i="98" s="1"/>
  <c r="AJ26" i="98"/>
  <c r="L26" i="98"/>
  <c r="AK25" i="98"/>
  <c r="H30" i="85" s="1"/>
  <c r="AJ25" i="98"/>
  <c r="Y25" i="98"/>
  <c r="X25" i="98"/>
  <c r="M25" i="98"/>
  <c r="L25" i="98"/>
  <c r="AJ24" i="98"/>
  <c r="X24" i="98"/>
  <c r="D29" i="85" s="1"/>
  <c r="L24" i="98"/>
  <c r="AK23" i="98"/>
  <c r="H30" i="86" s="1"/>
  <c r="AJ23" i="98"/>
  <c r="Y23" i="98"/>
  <c r="X23" i="98"/>
  <c r="H23" i="98"/>
  <c r="L23" i="98" s="1"/>
  <c r="N23" i="98" s="1"/>
  <c r="AJ22" i="98"/>
  <c r="P22" i="98"/>
  <c r="X22" i="98" s="1"/>
  <c r="D29" i="86" s="1"/>
  <c r="L22" i="98"/>
  <c r="AK21" i="98"/>
  <c r="AJ21" i="98"/>
  <c r="Y21" i="98"/>
  <c r="H29" i="92" s="1"/>
  <c r="X21" i="98"/>
  <c r="L21" i="98"/>
  <c r="N21" i="98" s="1"/>
  <c r="AJ20" i="98"/>
  <c r="P20" i="98"/>
  <c r="X20" i="98" s="1"/>
  <c r="D29" i="92" s="1"/>
  <c r="L20" i="98"/>
  <c r="AK19" i="98"/>
  <c r="H30" i="34" s="1"/>
  <c r="AG19" i="98"/>
  <c r="AE19" i="98"/>
  <c r="AC19" i="98"/>
  <c r="Y19" i="98"/>
  <c r="H29" i="34" s="1"/>
  <c r="W19" i="98"/>
  <c r="X19" i="98" s="1"/>
  <c r="L19" i="98"/>
  <c r="N19" i="98" s="1"/>
  <c r="AJ18" i="98"/>
  <c r="D30" i="34" s="1"/>
  <c r="J17" i="37" s="1"/>
  <c r="X18" i="98"/>
  <c r="D29" i="34" s="1"/>
  <c r="I17" i="37" s="1"/>
  <c r="L18" i="98"/>
  <c r="AK17" i="98"/>
  <c r="H30" i="79" s="1"/>
  <c r="AE17" i="98"/>
  <c r="AJ17" i="98" s="1"/>
  <c r="Y17" i="98"/>
  <c r="H29" i="79" s="1"/>
  <c r="X17" i="98"/>
  <c r="M17" i="98"/>
  <c r="M31" i="98" s="1"/>
  <c r="L17" i="98"/>
  <c r="AJ16" i="98"/>
  <c r="X16" i="98"/>
  <c r="D29" i="79" s="1"/>
  <c r="L16" i="98"/>
  <c r="AK15" i="98"/>
  <c r="AJ15" i="98"/>
  <c r="Y15" i="98"/>
  <c r="H29" i="89" s="1"/>
  <c r="X15" i="98"/>
  <c r="L15" i="98"/>
  <c r="N15" i="98" s="1"/>
  <c r="AJ14" i="98"/>
  <c r="X14" i="98"/>
  <c r="D29" i="89" s="1"/>
  <c r="L14" i="98"/>
  <c r="AK13" i="98"/>
  <c r="AG13" i="98"/>
  <c r="AE13" i="98"/>
  <c r="AC13" i="98"/>
  <c r="Y13" i="98"/>
  <c r="W13" i="98"/>
  <c r="U13" i="98"/>
  <c r="X13" i="98" s="1"/>
  <c r="K13" i="98"/>
  <c r="L13" i="98" s="1"/>
  <c r="N13" i="98" s="1"/>
  <c r="AJ12" i="98"/>
  <c r="D30" i="32" s="1"/>
  <c r="J13" i="37" s="1"/>
  <c r="X12" i="98"/>
  <c r="D29" i="32" s="1"/>
  <c r="I13" i="37" s="1"/>
  <c r="L12" i="98"/>
  <c r="AK11" i="98"/>
  <c r="AG11" i="98"/>
  <c r="AE11" i="98"/>
  <c r="AC11" i="98"/>
  <c r="Y11" i="98"/>
  <c r="W11" i="98"/>
  <c r="U11" i="98"/>
  <c r="K11" i="98"/>
  <c r="L11" i="98" s="1"/>
  <c r="N11" i="98" s="1"/>
  <c r="AJ10" i="98"/>
  <c r="D30" i="31" s="1"/>
  <c r="X10" i="98"/>
  <c r="D29" i="31" s="1"/>
  <c r="I12" i="37" s="1"/>
  <c r="L10" i="98"/>
  <c r="AK9" i="98"/>
  <c r="AJ9" i="98"/>
  <c r="AG9" i="98"/>
  <c r="AE9" i="98"/>
  <c r="AC9" i="98"/>
  <c r="Y9" i="98"/>
  <c r="W9" i="98"/>
  <c r="U9" i="98"/>
  <c r="K9" i="98"/>
  <c r="L9" i="98" s="1"/>
  <c r="N9" i="98" s="1"/>
  <c r="AJ8" i="98"/>
  <c r="D30" i="30" s="1"/>
  <c r="J11" i="37" s="1"/>
  <c r="X8" i="98"/>
  <c r="D29" i="30" s="1"/>
  <c r="I11" i="37" s="1"/>
  <c r="L8" i="98"/>
  <c r="AK7" i="98"/>
  <c r="AG7" i="98"/>
  <c r="AE7" i="98"/>
  <c r="AC7" i="98"/>
  <c r="Y7" i="98"/>
  <c r="W7" i="98"/>
  <c r="X7" i="98" s="1"/>
  <c r="U7" i="98"/>
  <c r="K7" i="98"/>
  <c r="L7" i="98" s="1"/>
  <c r="N7" i="98" s="1"/>
  <c r="AJ6" i="98"/>
  <c r="D30" i="16" s="1"/>
  <c r="X6" i="98"/>
  <c r="L6" i="98"/>
  <c r="G29" i="34" l="1"/>
  <c r="AL23" i="98"/>
  <c r="AD31" i="98"/>
  <c r="Z15" i="98"/>
  <c r="J10" i="37"/>
  <c r="D30" i="108"/>
  <c r="D30" i="106"/>
  <c r="Z13" i="98"/>
  <c r="AJ19" i="98"/>
  <c r="AK34" i="93"/>
  <c r="D30" i="92"/>
  <c r="Z21" i="98"/>
  <c r="Z23" i="98"/>
  <c r="H29" i="86"/>
  <c r="N25" i="98"/>
  <c r="AL29" i="98"/>
  <c r="M30" i="69"/>
  <c r="AK29" i="93"/>
  <c r="AL29" i="93" s="1"/>
  <c r="D30" i="89"/>
  <c r="Z27" i="98"/>
  <c r="H29" i="67"/>
  <c r="D29" i="67" s="1"/>
  <c r="AK31" i="98"/>
  <c r="AL9" i="98"/>
  <c r="AJ7" i="98"/>
  <c r="X9" i="98"/>
  <c r="Z9" i="98" s="1"/>
  <c r="X11" i="98"/>
  <c r="Z11" i="98" s="1"/>
  <c r="T31" i="98"/>
  <c r="AL15" i="98"/>
  <c r="H30" i="89"/>
  <c r="Z17" i="98"/>
  <c r="G30" i="34"/>
  <c r="AK35" i="93"/>
  <c r="AL35" i="93" s="1"/>
  <c r="D30" i="86"/>
  <c r="G30" i="86" s="1"/>
  <c r="G31" i="86" s="1"/>
  <c r="G32" i="86" s="1"/>
  <c r="AL25" i="98"/>
  <c r="AL27" i="98"/>
  <c r="H30" i="67"/>
  <c r="D30" i="67" s="1"/>
  <c r="J12" i="37"/>
  <c r="AJ11" i="98"/>
  <c r="AL11" i="98" s="1"/>
  <c r="AJ13" i="98"/>
  <c r="AL13" i="98" s="1"/>
  <c r="AL17" i="98"/>
  <c r="AB31" i="98"/>
  <c r="AL21" i="98"/>
  <c r="H30" i="92"/>
  <c r="G30" i="92" s="1"/>
  <c r="D30" i="85"/>
  <c r="Z25" i="98"/>
  <c r="H29" i="85"/>
  <c r="Z29" i="98"/>
  <c r="AK30" i="93"/>
  <c r="D30" i="79"/>
  <c r="G30" i="79" s="1"/>
  <c r="AJ31" i="98"/>
  <c r="Z7" i="98"/>
  <c r="Z19" i="98"/>
  <c r="AL19" i="98"/>
  <c r="X31" i="98"/>
  <c r="G31" i="98"/>
  <c r="AF31" i="98"/>
  <c r="N17" i="98"/>
  <c r="Y31" i="98"/>
  <c r="L29" i="98"/>
  <c r="K31" i="98"/>
  <c r="AL7" i="98"/>
  <c r="G30" i="89" l="1"/>
  <c r="AK36" i="93"/>
  <c r="AL36" i="93" s="1"/>
  <c r="AL34" i="93"/>
  <c r="AL30" i="93"/>
  <c r="AK31" i="93"/>
  <c r="AL31" i="93" s="1"/>
  <c r="L31" i="98"/>
  <c r="N29" i="98"/>
  <c r="G19" i="32" l="1"/>
  <c r="N16" i="93" l="1"/>
  <c r="N10" i="93"/>
  <c r="N9" i="93"/>
  <c r="N11" i="93" l="1"/>
  <c r="Z10" i="93"/>
  <c r="Z20" i="93" s="1"/>
  <c r="Z26" i="93" s="1"/>
  <c r="Z9" i="93"/>
  <c r="Z19" i="93" s="1"/>
  <c r="Z25" i="93" s="1"/>
  <c r="Y10" i="93"/>
  <c r="Y20" i="93" s="1"/>
  <c r="Y26" i="93" s="1"/>
  <c r="X10" i="93"/>
  <c r="X20" i="93" s="1"/>
  <c r="X26" i="93" s="1"/>
  <c r="W10" i="93"/>
  <c r="V10" i="93"/>
  <c r="U10" i="93"/>
  <c r="T10" i="93"/>
  <c r="S10" i="93"/>
  <c r="R10" i="93"/>
  <c r="Q10" i="93"/>
  <c r="P10" i="93"/>
  <c r="O10" i="93"/>
  <c r="AN10" i="93" s="1"/>
  <c r="Y9" i="93"/>
  <c r="X9" i="93"/>
  <c r="X19" i="93" s="1"/>
  <c r="X25" i="93" s="1"/>
  <c r="W9" i="93"/>
  <c r="W11" i="93" s="1"/>
  <c r="V9" i="93"/>
  <c r="U9" i="93"/>
  <c r="T9" i="93"/>
  <c r="S9" i="93"/>
  <c r="S11" i="93" s="1"/>
  <c r="R9" i="93"/>
  <c r="Q9" i="93"/>
  <c r="P9" i="93"/>
  <c r="O9" i="93"/>
  <c r="Y16" i="93"/>
  <c r="X16" i="93"/>
  <c r="W16" i="93"/>
  <c r="V16" i="93"/>
  <c r="U16" i="93"/>
  <c r="T16" i="93"/>
  <c r="S16" i="93"/>
  <c r="R16" i="93"/>
  <c r="Q16" i="93"/>
  <c r="P16" i="93"/>
  <c r="O16" i="93"/>
  <c r="E34" i="98"/>
  <c r="C34" i="98"/>
  <c r="P32" i="98"/>
  <c r="D29" i="16"/>
  <c r="Q11" i="93" l="1"/>
  <c r="Y11" i="93"/>
  <c r="Y19" i="93"/>
  <c r="Y25" i="93" s="1"/>
  <c r="R11" i="93"/>
  <c r="V11" i="93"/>
  <c r="I10" i="37"/>
  <c r="D29" i="108"/>
  <c r="D29" i="106"/>
  <c r="O11" i="93"/>
  <c r="AN9" i="93"/>
  <c r="T11" i="93"/>
  <c r="P11" i="93"/>
  <c r="X11" i="93"/>
  <c r="U11" i="93"/>
  <c r="M29" i="69"/>
  <c r="M32" i="98" l="1"/>
  <c r="AP10" i="93" l="1"/>
  <c r="H28" i="79"/>
  <c r="AP9" i="93"/>
  <c r="H28" i="89"/>
  <c r="M28" i="69"/>
  <c r="H28" i="67"/>
  <c r="AP15" i="93"/>
  <c r="H28" i="86"/>
  <c r="H28" i="85"/>
  <c r="D28" i="85"/>
  <c r="D28" i="79"/>
  <c r="AP14" i="93"/>
  <c r="H28" i="92"/>
  <c r="D28" i="92"/>
  <c r="H28" i="34"/>
  <c r="D28" i="34"/>
  <c r="D28" i="89"/>
  <c r="D28" i="32"/>
  <c r="D28" i="31"/>
  <c r="D28" i="30"/>
  <c r="D28" i="16"/>
  <c r="D28" i="108" l="1"/>
  <c r="D28" i="106"/>
  <c r="D31" i="86"/>
  <c r="D32" i="86" s="1"/>
  <c r="D31" i="92"/>
  <c r="K19" i="37"/>
  <c r="K18" i="37"/>
  <c r="D32" i="92" l="1"/>
  <c r="I28" i="86"/>
  <c r="G29" i="86"/>
  <c r="G28" i="86"/>
  <c r="I28" i="92"/>
  <c r="G29" i="92"/>
  <c r="G31" i="92" s="1"/>
  <c r="G28" i="92"/>
  <c r="J16" i="37"/>
  <c r="I29" i="85"/>
  <c r="I28" i="85"/>
  <c r="G29" i="85"/>
  <c r="G28" i="85"/>
  <c r="I28" i="79"/>
  <c r="G29" i="79"/>
  <c r="G31" i="79" s="1"/>
  <c r="G32" i="79" s="1"/>
  <c r="G28" i="79"/>
  <c r="I28" i="89"/>
  <c r="G29" i="89"/>
  <c r="G31" i="89" s="1"/>
  <c r="G32" i="89" s="1"/>
  <c r="G28" i="89"/>
  <c r="G32" i="92" l="1"/>
  <c r="G30" i="85"/>
  <c r="G31" i="85" s="1"/>
  <c r="G32" i="85" s="1"/>
  <c r="M10" i="93"/>
  <c r="L10" i="93"/>
  <c r="M9" i="93"/>
  <c r="L9" i="93"/>
  <c r="Z16" i="93"/>
  <c r="M16" i="93"/>
  <c r="L16" i="93"/>
  <c r="Z11" i="93" l="1"/>
  <c r="M11" i="93"/>
  <c r="L11" i="93"/>
  <c r="H27" i="64"/>
  <c r="H26" i="64"/>
  <c r="K14" i="37" l="1"/>
  <c r="D31" i="89"/>
  <c r="D32" i="89" s="1"/>
  <c r="D31" i="79"/>
  <c r="K15" i="37"/>
  <c r="D32" i="79" l="1"/>
  <c r="H24" i="64"/>
  <c r="H25" i="16"/>
  <c r="P26" i="32" l="1"/>
  <c r="Q26" i="32" s="1"/>
  <c r="P25" i="32"/>
  <c r="P24" i="32"/>
  <c r="Q24" i="32" s="1"/>
  <c r="P23" i="32"/>
  <c r="Q23" i="32" s="1"/>
  <c r="P22" i="32"/>
  <c r="Q22" i="32" s="1"/>
  <c r="P21" i="32"/>
  <c r="Q21" i="32" s="1"/>
  <c r="P20" i="32"/>
  <c r="Q20" i="32" s="1"/>
  <c r="P19" i="32"/>
  <c r="Q19" i="32" s="1"/>
  <c r="P18" i="32"/>
  <c r="Q18" i="32" s="1"/>
  <c r="P26" i="31"/>
  <c r="P25" i="31"/>
  <c r="Q25" i="31" s="1"/>
  <c r="P24" i="31"/>
  <c r="Q24" i="31" s="1"/>
  <c r="P23" i="31"/>
  <c r="Q23" i="31" s="1"/>
  <c r="P22" i="31"/>
  <c r="Q22" i="31" s="1"/>
  <c r="P21" i="31"/>
  <c r="Q21" i="31" s="1"/>
  <c r="P20" i="31"/>
  <c r="Q20" i="31" s="1"/>
  <c r="P19" i="31"/>
  <c r="Q19" i="31" s="1"/>
  <c r="P18" i="31"/>
  <c r="P26" i="30"/>
  <c r="Q26" i="30" s="1"/>
  <c r="P25" i="30"/>
  <c r="Q25" i="30" s="1"/>
  <c r="P24" i="30"/>
  <c r="Q24" i="30" s="1"/>
  <c r="P23" i="30"/>
  <c r="Q23" i="30" s="1"/>
  <c r="P22" i="30"/>
  <c r="P21" i="30"/>
  <c r="Q21" i="30" s="1"/>
  <c r="P20" i="30"/>
  <c r="Q20" i="30" s="1"/>
  <c r="P19" i="30"/>
  <c r="Q19" i="30" s="1"/>
  <c r="P18" i="30"/>
  <c r="Q18" i="30" s="1"/>
  <c r="P25" i="16"/>
  <c r="P23" i="16"/>
  <c r="P22" i="16"/>
  <c r="P21" i="16"/>
  <c r="P20" i="16"/>
  <c r="P19" i="16"/>
  <c r="P18" i="16"/>
  <c r="Q25" i="32"/>
  <c r="Q26" i="31"/>
  <c r="Q18" i="31"/>
  <c r="Q22" i="30"/>
  <c r="H26" i="16" l="1"/>
  <c r="H26" i="108" s="1"/>
  <c r="G26" i="108" s="1"/>
  <c r="P26" i="16" l="1"/>
  <c r="Q26" i="16" s="1"/>
  <c r="H26" i="106"/>
  <c r="G26" i="106" s="1"/>
  <c r="G27" i="69"/>
  <c r="F27" i="69"/>
  <c r="E27" i="69"/>
  <c r="D27" i="69"/>
  <c r="D27" i="36"/>
  <c r="D32" i="91"/>
  <c r="D31" i="91"/>
  <c r="D30" i="91"/>
  <c r="H27" i="69" l="1"/>
  <c r="J27" i="69" s="1"/>
  <c r="H27" i="30" s="1"/>
  <c r="M31" i="69"/>
  <c r="M32" i="69" s="1"/>
  <c r="K16" i="93"/>
  <c r="J16" i="93"/>
  <c r="I16" i="93"/>
  <c r="H16" i="93"/>
  <c r="G16" i="93"/>
  <c r="F16" i="93"/>
  <c r="E16" i="93"/>
  <c r="D16" i="93"/>
  <c r="C16" i="93"/>
  <c r="K10" i="93"/>
  <c r="K9" i="93"/>
  <c r="J10" i="93"/>
  <c r="J9" i="93"/>
  <c r="I10" i="93"/>
  <c r="I9" i="93"/>
  <c r="H10" i="93"/>
  <c r="H9" i="93"/>
  <c r="G10" i="93"/>
  <c r="G9" i="93"/>
  <c r="F10" i="93"/>
  <c r="F9" i="93"/>
  <c r="E10" i="93"/>
  <c r="D9" i="93"/>
  <c r="D10" i="93"/>
  <c r="C10" i="93"/>
  <c r="E9" i="93"/>
  <c r="E11" i="93" s="1"/>
  <c r="C9" i="93"/>
  <c r="D6" i="93"/>
  <c r="E6" i="93" s="1"/>
  <c r="F6" i="93" s="1"/>
  <c r="G6" i="93" s="1"/>
  <c r="H6" i="93" s="1"/>
  <c r="I6" i="93" s="1"/>
  <c r="J6" i="93" s="1"/>
  <c r="K6" i="93" s="1"/>
  <c r="L6" i="93" s="1"/>
  <c r="M6" i="93" s="1"/>
  <c r="N6" i="93" s="1"/>
  <c r="O6" i="93" s="1"/>
  <c r="G11" i="93" l="1"/>
  <c r="K11" i="93"/>
  <c r="F11" i="93"/>
  <c r="H11" i="93"/>
  <c r="P6" i="93"/>
  <c r="Q6" i="93" s="1"/>
  <c r="R6" i="93" s="1"/>
  <c r="S6" i="93" s="1"/>
  <c r="T6" i="93" s="1"/>
  <c r="U6" i="93" s="1"/>
  <c r="V6" i="93" s="1"/>
  <c r="W6" i="93" s="1"/>
  <c r="X6" i="93" s="1"/>
  <c r="Y6" i="93" s="1"/>
  <c r="Z6" i="93" s="1"/>
  <c r="AA6" i="93" s="1"/>
  <c r="AB6" i="93" s="1"/>
  <c r="AC6" i="93" s="1"/>
  <c r="AD6" i="93" s="1"/>
  <c r="AE6" i="93" s="1"/>
  <c r="AF6" i="93" s="1"/>
  <c r="AG6" i="93" s="1"/>
  <c r="AH6" i="93" s="1"/>
  <c r="AI6" i="93" s="1"/>
  <c r="AJ6" i="93" s="1"/>
  <c r="AK6" i="93" s="1"/>
  <c r="AL6" i="93" s="1"/>
  <c r="I11" i="93"/>
  <c r="C11" i="93"/>
  <c r="D11" i="93"/>
  <c r="J11" i="93"/>
  <c r="AP16" i="93"/>
  <c r="AQ15" i="93" s="1"/>
  <c r="P27" i="30"/>
  <c r="Q27" i="30" s="1"/>
  <c r="R27" i="30" s="1"/>
  <c r="I27" i="69"/>
  <c r="H27" i="16" s="1"/>
  <c r="K27" i="69"/>
  <c r="L27" i="69"/>
  <c r="AQ14" i="93" l="1"/>
  <c r="AQ16" i="93" s="1"/>
  <c r="H27" i="32"/>
  <c r="P27" i="32" s="1"/>
  <c r="Q27" i="32" s="1"/>
  <c r="R27" i="32" s="1"/>
  <c r="H27" i="31"/>
  <c r="P27" i="31" s="1"/>
  <c r="Q27" i="31" s="1"/>
  <c r="R27" i="31" s="1"/>
  <c r="AP11" i="93"/>
  <c r="AQ10" i="93" s="1"/>
  <c r="H27" i="108" l="1"/>
  <c r="G27" i="108" s="1"/>
  <c r="P27" i="16"/>
  <c r="Q27" i="16" s="1"/>
  <c r="H27" i="106"/>
  <c r="G27" i="106" s="1"/>
  <c r="AQ9" i="93"/>
  <c r="G17" i="37"/>
  <c r="F17" i="37"/>
  <c r="E17" i="37"/>
  <c r="D17" i="37"/>
  <c r="K17" i="37" s="1"/>
  <c r="H16" i="37"/>
  <c r="G16" i="37"/>
  <c r="F16" i="37"/>
  <c r="E16" i="37"/>
  <c r="D16" i="37"/>
  <c r="G13" i="37"/>
  <c r="F13" i="37"/>
  <c r="E13" i="37"/>
  <c r="D13" i="37"/>
  <c r="K13" i="37" s="1"/>
  <c r="G12" i="37"/>
  <c r="F12" i="37"/>
  <c r="E12" i="37"/>
  <c r="D12" i="37"/>
  <c r="K12" i="37" s="1"/>
  <c r="D31" i="31" s="1"/>
  <c r="D32" i="31" s="1"/>
  <c r="G11" i="37"/>
  <c r="F11" i="37"/>
  <c r="E11" i="37"/>
  <c r="D11" i="37"/>
  <c r="K11" i="37" s="1"/>
  <c r="G10" i="37"/>
  <c r="F10" i="37"/>
  <c r="E10" i="37"/>
  <c r="D10" i="37"/>
  <c r="K10" i="37" s="1"/>
  <c r="F27" i="32"/>
  <c r="I27" i="32" s="1"/>
  <c r="F27" i="31"/>
  <c r="F27" i="30"/>
  <c r="I27" i="30" s="1"/>
  <c r="F27" i="16"/>
  <c r="I27" i="34"/>
  <c r="I28" i="34"/>
  <c r="G27" i="34"/>
  <c r="I27" i="66"/>
  <c r="G27" i="66"/>
  <c r="G27" i="35"/>
  <c r="I27" i="35"/>
  <c r="F27" i="108" l="1"/>
  <c r="I27" i="31"/>
  <c r="F27" i="106"/>
  <c r="D31" i="67"/>
  <c r="AQ11" i="93"/>
  <c r="F27" i="36"/>
  <c r="E27" i="36" s="1"/>
  <c r="G29" i="91"/>
  <c r="H29" i="91" s="1"/>
  <c r="I29" i="91" s="1"/>
  <c r="J29" i="91" s="1"/>
  <c r="I27" i="64"/>
  <c r="G27" i="64"/>
  <c r="K16" i="37"/>
  <c r="G27" i="32"/>
  <c r="G27" i="31"/>
  <c r="G27" i="30"/>
  <c r="G27" i="16"/>
  <c r="I27" i="67"/>
  <c r="G27" i="67"/>
  <c r="D26" i="67"/>
  <c r="H17" i="37"/>
  <c r="E27" i="108" l="1"/>
  <c r="I27" i="108"/>
  <c r="J27" i="108" s="1"/>
  <c r="D32" i="67"/>
  <c r="D34" i="67" s="1"/>
  <c r="H31" i="67"/>
  <c r="I27" i="106"/>
  <c r="E27" i="106"/>
  <c r="D28" i="36"/>
  <c r="D28" i="69"/>
  <c r="F28" i="16"/>
  <c r="H10" i="37"/>
  <c r="F29" i="16" s="1"/>
  <c r="E28" i="69"/>
  <c r="F28" i="30"/>
  <c r="H11" i="37"/>
  <c r="G28" i="69"/>
  <c r="F28" i="32"/>
  <c r="H13" i="37"/>
  <c r="H27" i="36"/>
  <c r="F28" i="69"/>
  <c r="F28" i="31"/>
  <c r="H12" i="37"/>
  <c r="D28" i="67"/>
  <c r="I28" i="67"/>
  <c r="I27" i="16"/>
  <c r="G28" i="34"/>
  <c r="D31" i="34"/>
  <c r="D32" i="34" s="1"/>
  <c r="I30" i="85"/>
  <c r="G30" i="91"/>
  <c r="I29" i="86"/>
  <c r="I29" i="92"/>
  <c r="F28" i="108" l="1"/>
  <c r="E28" i="108" s="1"/>
  <c r="D35" i="67"/>
  <c r="H34" i="67"/>
  <c r="F28" i="106"/>
  <c r="I30" i="86"/>
  <c r="G31" i="34"/>
  <c r="G32" i="34" s="1"/>
  <c r="I29" i="34"/>
  <c r="D29" i="69"/>
  <c r="D29" i="36"/>
  <c r="I27" i="36"/>
  <c r="G27" i="36"/>
  <c r="H28" i="69"/>
  <c r="J28" i="69" s="1"/>
  <c r="H28" i="30" s="1"/>
  <c r="F29" i="69"/>
  <c r="F29" i="31"/>
  <c r="F30" i="31"/>
  <c r="G28" i="67"/>
  <c r="G29" i="69"/>
  <c r="F29" i="32"/>
  <c r="E29" i="69"/>
  <c r="F30" i="30"/>
  <c r="F29" i="30"/>
  <c r="F28" i="36"/>
  <c r="I29" i="79"/>
  <c r="I29" i="89"/>
  <c r="F29" i="108" l="1"/>
  <c r="E29" i="108" s="1"/>
  <c r="D36" i="67"/>
  <c r="H36" i="67" s="1"/>
  <c r="H35" i="67"/>
  <c r="F29" i="106"/>
  <c r="E28" i="106"/>
  <c r="H29" i="69"/>
  <c r="L29" i="69" s="1"/>
  <c r="H29" i="32" s="1"/>
  <c r="I30" i="92"/>
  <c r="F29" i="36"/>
  <c r="E29" i="36" s="1"/>
  <c r="G28" i="30"/>
  <c r="I28" i="69"/>
  <c r="K28" i="69"/>
  <c r="H28" i="31" s="1"/>
  <c r="D30" i="36"/>
  <c r="L28" i="69"/>
  <c r="H28" i="32" s="1"/>
  <c r="E28" i="36"/>
  <c r="I29" i="67"/>
  <c r="F30" i="32"/>
  <c r="D31" i="32"/>
  <c r="D32" i="32" s="1"/>
  <c r="D33" i="32" s="1"/>
  <c r="I30" i="79"/>
  <c r="H31" i="86"/>
  <c r="I31" i="86" s="1"/>
  <c r="H31" i="92"/>
  <c r="H28" i="16" l="1"/>
  <c r="H28" i="108" s="1"/>
  <c r="I31" i="92"/>
  <c r="E29" i="106"/>
  <c r="J29" i="69"/>
  <c r="H29" i="30" s="1"/>
  <c r="K29" i="69"/>
  <c r="H29" i="31" s="1"/>
  <c r="I29" i="69"/>
  <c r="H29" i="16" s="1"/>
  <c r="G29" i="32"/>
  <c r="H28" i="36"/>
  <c r="I28" i="30"/>
  <c r="G28" i="31"/>
  <c r="I28" i="31"/>
  <c r="G28" i="16"/>
  <c r="I28" i="16"/>
  <c r="G28" i="32"/>
  <c r="I28" i="32"/>
  <c r="I30" i="67"/>
  <c r="H31" i="79"/>
  <c r="I31" i="79" s="1"/>
  <c r="H32" i="86"/>
  <c r="I32" i="86" s="1"/>
  <c r="H32" i="92"/>
  <c r="H28" i="106" l="1"/>
  <c r="G28" i="106" s="1"/>
  <c r="I28" i="108"/>
  <c r="J28" i="108" s="1"/>
  <c r="G28" i="108"/>
  <c r="I32" i="92"/>
  <c r="G29" i="31"/>
  <c r="G29" i="30"/>
  <c r="I29" i="32"/>
  <c r="I29" i="31"/>
  <c r="G28" i="36"/>
  <c r="I28" i="36"/>
  <c r="H32" i="89"/>
  <c r="H32" i="79"/>
  <c r="I32" i="79" s="1"/>
  <c r="I28" i="106" l="1"/>
  <c r="G29" i="16"/>
  <c r="H29" i="108"/>
  <c r="H29" i="106"/>
  <c r="I29" i="30"/>
  <c r="I29" i="16"/>
  <c r="H29" i="36"/>
  <c r="I32" i="89"/>
  <c r="D26" i="36"/>
  <c r="Q25" i="16"/>
  <c r="Q23" i="16"/>
  <c r="Q22" i="16"/>
  <c r="Q21" i="16"/>
  <c r="Q20" i="16"/>
  <c r="Q19" i="16"/>
  <c r="Q18" i="16"/>
  <c r="H25" i="64"/>
  <c r="H23" i="64"/>
  <c r="G26" i="66"/>
  <c r="G26" i="16"/>
  <c r="G30" i="69"/>
  <c r="G26" i="67"/>
  <c r="G25" i="16"/>
  <c r="H24" i="16"/>
  <c r="H24" i="108" s="1"/>
  <c r="G24" i="108" s="1"/>
  <c r="H18" i="36"/>
  <c r="H19" i="36"/>
  <c r="H20" i="36"/>
  <c r="H21" i="36"/>
  <c r="H22" i="36"/>
  <c r="F24" i="32"/>
  <c r="I24" i="32" s="1"/>
  <c r="E31" i="31"/>
  <c r="E32" i="31" s="1"/>
  <c r="F24" i="30"/>
  <c r="I24" i="30" s="1"/>
  <c r="F25" i="30"/>
  <c r="I25" i="30" s="1"/>
  <c r="E31" i="16"/>
  <c r="E32" i="16" s="1"/>
  <c r="F25" i="16"/>
  <c r="G24" i="67"/>
  <c r="I24" i="67"/>
  <c r="J24" i="67" s="1"/>
  <c r="G25" i="67"/>
  <c r="I25" i="67"/>
  <c r="I26" i="67"/>
  <c r="I19" i="34"/>
  <c r="J19" i="34" s="1"/>
  <c r="I20" i="66"/>
  <c r="I21" i="66"/>
  <c r="I22" i="66"/>
  <c r="G23" i="66"/>
  <c r="I23" i="66"/>
  <c r="G24" i="66"/>
  <c r="I24" i="66"/>
  <c r="G25" i="66"/>
  <c r="I25" i="66"/>
  <c r="I26" i="66"/>
  <c r="G26" i="35"/>
  <c r="G24" i="64"/>
  <c r="G20" i="64"/>
  <c r="I20" i="64"/>
  <c r="J20" i="64" s="1"/>
  <c r="G21" i="64"/>
  <c r="I21" i="64"/>
  <c r="G22" i="64"/>
  <c r="I22" i="64"/>
  <c r="G26" i="32"/>
  <c r="G26" i="31"/>
  <c r="G26" i="30"/>
  <c r="G25" i="30"/>
  <c r="F22" i="16"/>
  <c r="D22" i="36"/>
  <c r="F21" i="16"/>
  <c r="D21" i="36"/>
  <c r="F20" i="16"/>
  <c r="I20" i="16" s="1"/>
  <c r="D20" i="36"/>
  <c r="F19" i="16"/>
  <c r="D19" i="36"/>
  <c r="F18" i="16"/>
  <c r="D18" i="36"/>
  <c r="F17" i="16"/>
  <c r="D17" i="36"/>
  <c r="G17" i="36" s="1"/>
  <c r="D16" i="36"/>
  <c r="G16" i="36" s="1"/>
  <c r="F15" i="16"/>
  <c r="D15" i="36"/>
  <c r="G15" i="36" s="1"/>
  <c r="F14" i="16"/>
  <c r="D14" i="36"/>
  <c r="G14" i="36" s="1"/>
  <c r="D13" i="36"/>
  <c r="G13" i="36" s="1"/>
  <c r="F13" i="16"/>
  <c r="D12" i="36"/>
  <c r="G12" i="36" s="1"/>
  <c r="F11" i="16"/>
  <c r="D11" i="36"/>
  <c r="G11" i="36" s="1"/>
  <c r="D10" i="36"/>
  <c r="G10" i="36" s="1"/>
  <c r="F12" i="16"/>
  <c r="F16" i="16"/>
  <c r="F10" i="16"/>
  <c r="I24" i="35"/>
  <c r="I23" i="35"/>
  <c r="J23" i="35"/>
  <c r="G24" i="35"/>
  <c r="I24" i="34"/>
  <c r="I23" i="34"/>
  <c r="I22" i="34"/>
  <c r="G22" i="34"/>
  <c r="I21" i="34"/>
  <c r="G21" i="34"/>
  <c r="I20" i="34"/>
  <c r="G20" i="34"/>
  <c r="G23" i="34"/>
  <c r="G24" i="34"/>
  <c r="G22" i="32"/>
  <c r="F22" i="32"/>
  <c r="I22" i="32" s="1"/>
  <c r="G21" i="32"/>
  <c r="F21" i="32"/>
  <c r="I21" i="32" s="1"/>
  <c r="G20" i="32"/>
  <c r="F20" i="32"/>
  <c r="I20" i="32" s="1"/>
  <c r="F19" i="32"/>
  <c r="I19" i="32" s="1"/>
  <c r="G18" i="32"/>
  <c r="F18" i="32"/>
  <c r="I18" i="32" s="1"/>
  <c r="J18" i="32" s="1"/>
  <c r="F17" i="32"/>
  <c r="F16" i="32"/>
  <c r="F15" i="32"/>
  <c r="F14" i="32"/>
  <c r="F13" i="32"/>
  <c r="F23" i="32"/>
  <c r="I23" i="32"/>
  <c r="G23" i="32"/>
  <c r="G24" i="32"/>
  <c r="F23" i="31"/>
  <c r="G23" i="31"/>
  <c r="G22" i="31"/>
  <c r="F22" i="31"/>
  <c r="G21" i="31"/>
  <c r="F21" i="31"/>
  <c r="I21" i="31" s="1"/>
  <c r="G20" i="31"/>
  <c r="F20" i="31"/>
  <c r="G19" i="31"/>
  <c r="F19" i="31"/>
  <c r="G18" i="31"/>
  <c r="F18" i="31"/>
  <c r="I18" i="31" s="1"/>
  <c r="J18" i="31" s="1"/>
  <c r="F17" i="31"/>
  <c r="F16" i="31"/>
  <c r="F15" i="31"/>
  <c r="F14" i="31"/>
  <c r="F13" i="31"/>
  <c r="G24" i="31"/>
  <c r="F23" i="30"/>
  <c r="I23" i="30" s="1"/>
  <c r="G23" i="30"/>
  <c r="G22" i="30"/>
  <c r="F22" i="30"/>
  <c r="I22" i="30" s="1"/>
  <c r="G21" i="30"/>
  <c r="F21" i="30"/>
  <c r="I21" i="30" s="1"/>
  <c r="G20" i="30"/>
  <c r="F20" i="30"/>
  <c r="I20" i="30" s="1"/>
  <c r="G19" i="30"/>
  <c r="F19" i="30"/>
  <c r="I19" i="30" s="1"/>
  <c r="G18" i="30"/>
  <c r="F18" i="30"/>
  <c r="F17" i="30"/>
  <c r="F16" i="30"/>
  <c r="F15" i="30"/>
  <c r="F14" i="30"/>
  <c r="F13" i="30"/>
  <c r="F12" i="30"/>
  <c r="F11" i="30"/>
  <c r="F10" i="30"/>
  <c r="G24" i="30"/>
  <c r="D24" i="36"/>
  <c r="G19" i="16"/>
  <c r="G18" i="16"/>
  <c r="D23" i="36"/>
  <c r="F24" i="16"/>
  <c r="G23" i="16"/>
  <c r="G20" i="16"/>
  <c r="G21" i="16"/>
  <c r="G22" i="16"/>
  <c r="F23" i="16"/>
  <c r="I18" i="30"/>
  <c r="I25" i="34"/>
  <c r="G25" i="34"/>
  <c r="G25" i="31"/>
  <c r="G25" i="32"/>
  <c r="D25" i="36"/>
  <c r="G25" i="35"/>
  <c r="I25" i="35"/>
  <c r="J18" i="30"/>
  <c r="I26" i="35"/>
  <c r="I26" i="34"/>
  <c r="G23" i="35"/>
  <c r="F16" i="108" l="1"/>
  <c r="F11" i="108"/>
  <c r="F11" i="106"/>
  <c r="F18" i="108"/>
  <c r="F20" i="108"/>
  <c r="I22" i="16"/>
  <c r="F22" i="108"/>
  <c r="F10" i="108"/>
  <c r="F10" i="106"/>
  <c r="F15" i="108"/>
  <c r="H25" i="108"/>
  <c r="G25" i="108" s="1"/>
  <c r="H25" i="106"/>
  <c r="G25" i="106" s="1"/>
  <c r="I23" i="16"/>
  <c r="F23" i="108"/>
  <c r="F10" i="36"/>
  <c r="I10" i="36" s="1"/>
  <c r="J10" i="36" s="1"/>
  <c r="F12" i="108"/>
  <c r="F12" i="106"/>
  <c r="F14" i="108"/>
  <c r="F13" i="108"/>
  <c r="F17" i="108"/>
  <c r="I19" i="16"/>
  <c r="F19" i="108"/>
  <c r="I21" i="16"/>
  <c r="F21" i="108"/>
  <c r="H23" i="108"/>
  <c r="G23" i="108" s="1"/>
  <c r="H23" i="106"/>
  <c r="G23" i="106" s="1"/>
  <c r="G29" i="36"/>
  <c r="I29" i="108"/>
  <c r="J29" i="108" s="1"/>
  <c r="G29" i="108"/>
  <c r="H24" i="106"/>
  <c r="G24" i="106" s="1"/>
  <c r="I19" i="31"/>
  <c r="J19" i="31" s="1"/>
  <c r="F19" i="106"/>
  <c r="F13" i="106"/>
  <c r="F17" i="106"/>
  <c r="I23" i="31"/>
  <c r="F23" i="106"/>
  <c r="G29" i="106"/>
  <c r="I29" i="106"/>
  <c r="F15" i="106"/>
  <c r="F16" i="106"/>
  <c r="F21" i="106"/>
  <c r="F14" i="106"/>
  <c r="F18" i="106"/>
  <c r="I20" i="31"/>
  <c r="F20" i="106"/>
  <c r="I22" i="31"/>
  <c r="F22" i="106"/>
  <c r="F20" i="36"/>
  <c r="I20" i="36" s="1"/>
  <c r="I29" i="36"/>
  <c r="F13" i="36"/>
  <c r="I13" i="36" s="1"/>
  <c r="P24" i="16"/>
  <c r="Q24" i="16" s="1"/>
  <c r="R27" i="16" s="1"/>
  <c r="J25" i="67"/>
  <c r="J26" i="67" s="1"/>
  <c r="J27" i="67" s="1"/>
  <c r="J28" i="67" s="1"/>
  <c r="J29" i="67" s="1"/>
  <c r="J30" i="67" s="1"/>
  <c r="F15" i="36"/>
  <c r="I15" i="36" s="1"/>
  <c r="F19" i="36"/>
  <c r="I19" i="36" s="1"/>
  <c r="F14" i="36"/>
  <c r="E14" i="36" s="1"/>
  <c r="F21" i="36"/>
  <c r="I21" i="36" s="1"/>
  <c r="J20" i="34"/>
  <c r="J21" i="34" s="1"/>
  <c r="J22" i="34" s="1"/>
  <c r="J23" i="34" s="1"/>
  <c r="J24" i="34" s="1"/>
  <c r="J25" i="34" s="1"/>
  <c r="J26" i="34" s="1"/>
  <c r="J27" i="34" s="1"/>
  <c r="J28" i="34" s="1"/>
  <c r="J29" i="34" s="1"/>
  <c r="J19" i="30"/>
  <c r="J20" i="30" s="1"/>
  <c r="J21" i="30" s="1"/>
  <c r="J22" i="30" s="1"/>
  <c r="J23" i="30" s="1"/>
  <c r="J24" i="30" s="1"/>
  <c r="J25" i="30" s="1"/>
  <c r="J19" i="32"/>
  <c r="J20" i="32" s="1"/>
  <c r="J21" i="32" s="1"/>
  <c r="J22" i="32" s="1"/>
  <c r="J23" i="32" s="1"/>
  <c r="J24" i="32" s="1"/>
  <c r="J24" i="35"/>
  <c r="J25" i="35" s="1"/>
  <c r="F18" i="36"/>
  <c r="E18" i="36" s="1"/>
  <c r="G20" i="36"/>
  <c r="G18" i="36"/>
  <c r="H23" i="36"/>
  <c r="G23" i="36" s="1"/>
  <c r="I23" i="64"/>
  <c r="G23" i="64"/>
  <c r="G21" i="36"/>
  <c r="G22" i="36"/>
  <c r="G19" i="36"/>
  <c r="I30" i="89"/>
  <c r="H30" i="91"/>
  <c r="I30" i="91" s="1"/>
  <c r="J30" i="91" s="1"/>
  <c r="J26" i="35"/>
  <c r="J27" i="35" s="1"/>
  <c r="D31" i="30"/>
  <c r="E30" i="69"/>
  <c r="I25" i="64"/>
  <c r="G25" i="64"/>
  <c r="G24" i="16"/>
  <c r="I25" i="16"/>
  <c r="H24" i="36"/>
  <c r="F30" i="69"/>
  <c r="J21" i="64"/>
  <c r="J22" i="64" s="1"/>
  <c r="H25" i="36"/>
  <c r="G25" i="36" s="1"/>
  <c r="J20" i="66"/>
  <c r="J21" i="66" s="1"/>
  <c r="J22" i="66" s="1"/>
  <c r="J23" i="66" s="1"/>
  <c r="J24" i="66" s="1"/>
  <c r="J25" i="66" s="1"/>
  <c r="J26" i="66" s="1"/>
  <c r="J27" i="66" s="1"/>
  <c r="J28" i="85" s="1"/>
  <c r="J29" i="85" s="1"/>
  <c r="F24" i="31"/>
  <c r="F24" i="108" s="1"/>
  <c r="E15" i="36"/>
  <c r="F23" i="36"/>
  <c r="F17" i="36"/>
  <c r="F16" i="36"/>
  <c r="F11" i="36"/>
  <c r="F25" i="31"/>
  <c r="I24" i="64"/>
  <c r="G26" i="34"/>
  <c r="I24" i="16"/>
  <c r="F22" i="36"/>
  <c r="I18" i="16"/>
  <c r="J18" i="16" s="1"/>
  <c r="J19" i="16" s="1"/>
  <c r="J20" i="16" s="1"/>
  <c r="J21" i="16" s="1"/>
  <c r="J22" i="16" s="1"/>
  <c r="J23" i="16" s="1"/>
  <c r="F12" i="36"/>
  <c r="I26" i="64"/>
  <c r="G26" i="64"/>
  <c r="F25" i="32"/>
  <c r="I25" i="32" s="1"/>
  <c r="H26" i="36"/>
  <c r="G31" i="69"/>
  <c r="F26" i="16"/>
  <c r="F26" i="31"/>
  <c r="F25" i="108" l="1"/>
  <c r="E20" i="36"/>
  <c r="E10" i="36"/>
  <c r="E24" i="108"/>
  <c r="I24" i="108"/>
  <c r="E25" i="108"/>
  <c r="I25" i="108"/>
  <c r="E12" i="108"/>
  <c r="I12" i="108"/>
  <c r="E10" i="108"/>
  <c r="I10" i="108"/>
  <c r="J10" i="108" s="1"/>
  <c r="I22" i="108"/>
  <c r="E22" i="108"/>
  <c r="I11" i="106"/>
  <c r="E11" i="106"/>
  <c r="I19" i="108"/>
  <c r="E19" i="108"/>
  <c r="I18" i="108"/>
  <c r="E18" i="108"/>
  <c r="I21" i="108"/>
  <c r="E21" i="108"/>
  <c r="I17" i="108"/>
  <c r="E17" i="108"/>
  <c r="E14" i="108"/>
  <c r="I14" i="108"/>
  <c r="I23" i="108"/>
  <c r="E23" i="108"/>
  <c r="I15" i="108"/>
  <c r="E15" i="108"/>
  <c r="I11" i="108"/>
  <c r="E11" i="108"/>
  <c r="I13" i="108"/>
  <c r="E13" i="108"/>
  <c r="E12" i="106"/>
  <c r="I12" i="106"/>
  <c r="E10" i="106"/>
  <c r="I10" i="106"/>
  <c r="J10" i="106" s="1"/>
  <c r="I20" i="108"/>
  <c r="E20" i="108"/>
  <c r="E16" i="108"/>
  <c r="I16" i="108"/>
  <c r="I24" i="31"/>
  <c r="F24" i="106"/>
  <c r="I20" i="106"/>
  <c r="E20" i="106"/>
  <c r="I22" i="106"/>
  <c r="E22" i="106"/>
  <c r="I17" i="106"/>
  <c r="E17" i="106"/>
  <c r="I21" i="106"/>
  <c r="E21" i="106"/>
  <c r="I23" i="106"/>
  <c r="E23" i="106"/>
  <c r="F25" i="106"/>
  <c r="E16" i="106"/>
  <c r="I16" i="106"/>
  <c r="E14" i="106"/>
  <c r="I14" i="106"/>
  <c r="I19" i="106"/>
  <c r="E19" i="106"/>
  <c r="I26" i="31"/>
  <c r="J20" i="31"/>
  <c r="J21" i="31" s="1"/>
  <c r="J22" i="31" s="1"/>
  <c r="J23" i="31" s="1"/>
  <c r="I18" i="106"/>
  <c r="E18" i="106"/>
  <c r="I15" i="106"/>
  <c r="E15" i="106"/>
  <c r="I13" i="106"/>
  <c r="E13" i="106"/>
  <c r="J28" i="86"/>
  <c r="J29" i="86" s="1"/>
  <c r="J30" i="86" s="1"/>
  <c r="J31" i="86" s="1"/>
  <c r="J32" i="86" s="1"/>
  <c r="J28" i="92"/>
  <c r="J29" i="92" s="1"/>
  <c r="J30" i="92" s="1"/>
  <c r="J31" i="92" s="1"/>
  <c r="J32" i="92" s="1"/>
  <c r="F24" i="36"/>
  <c r="I24" i="36" s="1"/>
  <c r="E13" i="36"/>
  <c r="J30" i="85"/>
  <c r="E21" i="36"/>
  <c r="J23" i="64"/>
  <c r="J24" i="64" s="1"/>
  <c r="J25" i="64" s="1"/>
  <c r="J26" i="64" s="1"/>
  <c r="J27" i="64" s="1"/>
  <c r="I14" i="36"/>
  <c r="E19" i="36"/>
  <c r="I18" i="36"/>
  <c r="G26" i="36"/>
  <c r="E31" i="69"/>
  <c r="G31" i="91"/>
  <c r="H31" i="85"/>
  <c r="I31" i="85" s="1"/>
  <c r="F30" i="16"/>
  <c r="G24" i="36"/>
  <c r="J25" i="32"/>
  <c r="I30" i="34"/>
  <c r="J30" i="34" s="1"/>
  <c r="I23" i="36"/>
  <c r="E23" i="36"/>
  <c r="I11" i="36"/>
  <c r="J11" i="36" s="1"/>
  <c r="E11" i="36"/>
  <c r="D32" i="30"/>
  <c r="D33" i="30" s="1"/>
  <c r="J24" i="16"/>
  <c r="J25" i="16" s="1"/>
  <c r="E16" i="36"/>
  <c r="I16" i="36"/>
  <c r="F26" i="30"/>
  <c r="I26" i="30" s="1"/>
  <c r="J26" i="30" s="1"/>
  <c r="J27" i="30" s="1"/>
  <c r="J28" i="30" s="1"/>
  <c r="J29" i="30" s="1"/>
  <c r="G32" i="69"/>
  <c r="F26" i="32"/>
  <c r="I26" i="32" s="1"/>
  <c r="E22" i="36"/>
  <c r="I22" i="36"/>
  <c r="F25" i="36"/>
  <c r="I25" i="31"/>
  <c r="I17" i="36"/>
  <c r="E17" i="36"/>
  <c r="H32" i="85"/>
  <c r="I32" i="85" s="1"/>
  <c r="I26" i="16"/>
  <c r="E12" i="36"/>
  <c r="I12" i="36"/>
  <c r="J11" i="106" l="1"/>
  <c r="J12" i="106" s="1"/>
  <c r="J13" i="106" s="1"/>
  <c r="J14" i="106" s="1"/>
  <c r="J15" i="106" s="1"/>
  <c r="J16" i="106" s="1"/>
  <c r="J17" i="106" s="1"/>
  <c r="J18" i="106" s="1"/>
  <c r="J19" i="106" s="1"/>
  <c r="J20" i="106" s="1"/>
  <c r="J21" i="106" s="1"/>
  <c r="J22" i="106" s="1"/>
  <c r="J23" i="106" s="1"/>
  <c r="J11" i="108"/>
  <c r="J12" i="108" s="1"/>
  <c r="J13" i="108" s="1"/>
  <c r="J14" i="108" s="1"/>
  <c r="J15" i="108" s="1"/>
  <c r="J16" i="108" s="1"/>
  <c r="J17" i="108" s="1"/>
  <c r="J18" i="108" s="1"/>
  <c r="J19" i="108" s="1"/>
  <c r="J20" i="108" s="1"/>
  <c r="J21" i="108" s="1"/>
  <c r="J22" i="108" s="1"/>
  <c r="J23" i="108" s="1"/>
  <c r="J24" i="108" s="1"/>
  <c r="J25" i="108" s="1"/>
  <c r="F26" i="106"/>
  <c r="I26" i="106" s="1"/>
  <c r="J24" i="31"/>
  <c r="J25" i="31" s="1"/>
  <c r="J26" i="31" s="1"/>
  <c r="J27" i="31" s="1"/>
  <c r="J28" i="31" s="1"/>
  <c r="J29" i="31" s="1"/>
  <c r="F26" i="108"/>
  <c r="F30" i="36"/>
  <c r="E30" i="36" s="1"/>
  <c r="F30" i="108"/>
  <c r="E30" i="108" s="1"/>
  <c r="F30" i="106"/>
  <c r="E30" i="106" s="1"/>
  <c r="E24" i="106"/>
  <c r="I24" i="106"/>
  <c r="I25" i="106"/>
  <c r="E25" i="106"/>
  <c r="E24" i="36"/>
  <c r="J28" i="79"/>
  <c r="J29" i="79" s="1"/>
  <c r="J30" i="79" s="1"/>
  <c r="J31" i="79" s="1"/>
  <c r="J32" i="79" s="1"/>
  <c r="J28" i="89"/>
  <c r="J29" i="89" s="1"/>
  <c r="J31" i="85"/>
  <c r="J32" i="85" s="1"/>
  <c r="J26" i="32"/>
  <c r="J27" i="32" s="1"/>
  <c r="J28" i="32" s="1"/>
  <c r="J29" i="32" s="1"/>
  <c r="E32" i="69"/>
  <c r="F31" i="69"/>
  <c r="F31" i="31"/>
  <c r="G32" i="91"/>
  <c r="H32" i="91" s="1"/>
  <c r="D31" i="16"/>
  <c r="D30" i="69"/>
  <c r="F26" i="36"/>
  <c r="I26" i="36" s="1"/>
  <c r="J26" i="16"/>
  <c r="J27" i="16" s="1"/>
  <c r="J28" i="16" s="1"/>
  <c r="J29" i="16" s="1"/>
  <c r="J12" i="36"/>
  <c r="J13" i="36" s="1"/>
  <c r="J14" i="36" s="1"/>
  <c r="J15" i="36" s="1"/>
  <c r="J16" i="36" s="1"/>
  <c r="J17" i="36" s="1"/>
  <c r="E31" i="32"/>
  <c r="F31" i="32" s="1"/>
  <c r="I25" i="36"/>
  <c r="E25" i="36"/>
  <c r="E31" i="30"/>
  <c r="F31" i="30" s="1"/>
  <c r="H32" i="34"/>
  <c r="H31" i="34"/>
  <c r="I31" i="34" s="1"/>
  <c r="J31" i="34" s="1"/>
  <c r="E26" i="106" l="1"/>
  <c r="J24" i="106"/>
  <c r="D31" i="36"/>
  <c r="D31" i="108"/>
  <c r="D31" i="106"/>
  <c r="I26" i="108"/>
  <c r="J26" i="108" s="1"/>
  <c r="E26" i="108"/>
  <c r="J25" i="106"/>
  <c r="J26" i="106" s="1"/>
  <c r="J27" i="106" s="1"/>
  <c r="J28" i="106" s="1"/>
  <c r="J29" i="106" s="1"/>
  <c r="I32" i="34"/>
  <c r="D33" i="31"/>
  <c r="I32" i="91"/>
  <c r="J30" i="89"/>
  <c r="J18" i="36"/>
  <c r="J19" i="36" s="1"/>
  <c r="J20" i="36" s="1"/>
  <c r="J21" i="36" s="1"/>
  <c r="J22" i="36" s="1"/>
  <c r="J23" i="36" s="1"/>
  <c r="J24" i="36" s="1"/>
  <c r="J25" i="36" s="1"/>
  <c r="J26" i="36" s="1"/>
  <c r="J27" i="36" s="1"/>
  <c r="J28" i="36" s="1"/>
  <c r="J29" i="36" s="1"/>
  <c r="J32" i="34"/>
  <c r="F32" i="69"/>
  <c r="F32" i="31"/>
  <c r="F31" i="16"/>
  <c r="F31" i="106" s="1"/>
  <c r="H30" i="69"/>
  <c r="D32" i="16"/>
  <c r="D33" i="16" s="1"/>
  <c r="D31" i="69"/>
  <c r="E26" i="36"/>
  <c r="E32" i="30"/>
  <c r="F32" i="30" s="1"/>
  <c r="E32" i="32"/>
  <c r="F32" i="32" s="1"/>
  <c r="E31" i="106" l="1"/>
  <c r="F31" i="36"/>
  <c r="E31" i="36" s="1"/>
  <c r="F31" i="108"/>
  <c r="E31" i="108" s="1"/>
  <c r="D32" i="108"/>
  <c r="D32" i="106"/>
  <c r="D32" i="69"/>
  <c r="H32" i="69" s="1"/>
  <c r="I32" i="69" s="1"/>
  <c r="D32" i="36"/>
  <c r="F32" i="16"/>
  <c r="F32" i="36" s="1"/>
  <c r="H31" i="91"/>
  <c r="I31" i="91" s="1"/>
  <c r="J31" i="91" s="1"/>
  <c r="J32" i="91" s="1"/>
  <c r="H31" i="89"/>
  <c r="I31" i="89" s="1"/>
  <c r="J31" i="89" s="1"/>
  <c r="J32" i="89" s="1"/>
  <c r="J30" i="69"/>
  <c r="L30" i="69"/>
  <c r="K30" i="69"/>
  <c r="H31" i="69"/>
  <c r="I31" i="69" s="1"/>
  <c r="I30" i="69"/>
  <c r="H30" i="16" s="1"/>
  <c r="H30" i="32" l="1"/>
  <c r="H30" i="31"/>
  <c r="G30" i="31" s="1"/>
  <c r="H30" i="30"/>
  <c r="K32" i="69"/>
  <c r="E32" i="36"/>
  <c r="J32" i="69"/>
  <c r="L32" i="69"/>
  <c r="J31" i="69"/>
  <c r="L31" i="69"/>
  <c r="K31" i="69"/>
  <c r="G31" i="31" l="1"/>
  <c r="G32" i="31" s="1"/>
  <c r="H30" i="108"/>
  <c r="I30" i="108" s="1"/>
  <c r="J30" i="108" s="1"/>
  <c r="H30" i="36"/>
  <c r="I30" i="32"/>
  <c r="J30" i="32" s="1"/>
  <c r="G30" i="32"/>
  <c r="G31" i="32" s="1"/>
  <c r="G32" i="32" s="1"/>
  <c r="E33" i="31"/>
  <c r="G30" i="16"/>
  <c r="G31" i="16" s="1"/>
  <c r="G32" i="16" s="1"/>
  <c r="H30" i="106"/>
  <c r="I30" i="31"/>
  <c r="J30" i="31" s="1"/>
  <c r="I30" i="30"/>
  <c r="J30" i="30" s="1"/>
  <c r="G30" i="30"/>
  <c r="G31" i="30" s="1"/>
  <c r="G32" i="30" s="1"/>
  <c r="I30" i="16"/>
  <c r="J30" i="16" s="1"/>
  <c r="G30" i="108" l="1"/>
  <c r="E33" i="32"/>
  <c r="G30" i="106"/>
  <c r="I30" i="106"/>
  <c r="J30" i="106" s="1"/>
  <c r="G33" i="30"/>
  <c r="E33" i="30"/>
  <c r="E33" i="16"/>
  <c r="G30" i="36"/>
  <c r="I30" i="36"/>
  <c r="J30" i="36" s="1"/>
  <c r="H32" i="67"/>
  <c r="I32" i="67" s="1"/>
  <c r="I31" i="67"/>
  <c r="J31" i="67" s="1"/>
  <c r="H32" i="30" l="1"/>
  <c r="F33" i="16"/>
  <c r="F33" i="32"/>
  <c r="H31" i="32"/>
  <c r="I31" i="32" s="1"/>
  <c r="J31" i="32" s="1"/>
  <c r="J32" i="67"/>
  <c r="H31" i="30"/>
  <c r="I31" i="30" s="1"/>
  <c r="J31" i="30" s="1"/>
  <c r="H31" i="16"/>
  <c r="F33" i="31"/>
  <c r="H31" i="31"/>
  <c r="I31" i="31" s="1"/>
  <c r="J31" i="31" s="1"/>
  <c r="F33" i="30"/>
  <c r="I32" i="30"/>
  <c r="H33" i="30"/>
  <c r="AD11" i="93"/>
  <c r="AD19" i="93"/>
  <c r="F32" i="108" l="1"/>
  <c r="E32" i="108" s="1"/>
  <c r="I31" i="16"/>
  <c r="J31" i="16" s="1"/>
  <c r="H31" i="108"/>
  <c r="I33" i="30"/>
  <c r="J33" i="30" s="1"/>
  <c r="G33" i="32"/>
  <c r="H32" i="32"/>
  <c r="J32" i="30"/>
  <c r="F32" i="106"/>
  <c r="E32" i="106" s="1"/>
  <c r="H31" i="106"/>
  <c r="G31" i="106" s="1"/>
  <c r="H31" i="36"/>
  <c r="G33" i="31"/>
  <c r="H32" i="31"/>
  <c r="G33" i="16"/>
  <c r="H32" i="16"/>
  <c r="G31" i="108" l="1"/>
  <c r="I31" i="108"/>
  <c r="J31" i="108" s="1"/>
  <c r="H33" i="32"/>
  <c r="I33" i="32" s="1"/>
  <c r="J33" i="32" s="1"/>
  <c r="I32" i="32"/>
  <c r="J32" i="32" s="1"/>
  <c r="I31" i="106"/>
  <c r="J31" i="106" s="1"/>
  <c r="G31" i="36"/>
  <c r="I31" i="36"/>
  <c r="J31" i="36" s="1"/>
  <c r="H33" i="16"/>
  <c r="H32" i="36"/>
  <c r="I32" i="16"/>
  <c r="J32" i="16" s="1"/>
  <c r="H33" i="31"/>
  <c r="I32" i="31"/>
  <c r="J32" i="31" s="1"/>
  <c r="I33" i="16" l="1"/>
  <c r="J33" i="16" s="1"/>
  <c r="H32" i="108"/>
  <c r="I33" i="31"/>
  <c r="J33" i="31" s="1"/>
  <c r="H32" i="106"/>
  <c r="I32" i="106" s="1"/>
  <c r="J32" i="106" s="1"/>
  <c r="I32" i="36"/>
  <c r="J32" i="36" s="1"/>
  <c r="G32" i="36"/>
  <c r="G32" i="108" l="1"/>
  <c r="I32" i="108"/>
  <c r="J32" i="108" s="1"/>
  <c r="G32" i="106"/>
  <c r="I34" i="67" l="1"/>
  <c r="J34" i="67" s="1"/>
  <c r="I36" i="67" l="1"/>
  <c r="I35" i="67"/>
  <c r="J35" i="67" s="1"/>
  <c r="J36" i="67" s="1"/>
</calcChain>
</file>

<file path=xl/comments1.xml><?xml version="1.0" encoding="utf-8"?>
<comments xmlns="http://schemas.openxmlformats.org/spreadsheetml/2006/main">
  <authors>
    <author>Andrew Cohen</author>
  </authors>
  <commentList>
    <comment ref="D21" authorId="0">
      <text>
        <r>
          <rPr>
            <b/>
            <sz val="8"/>
            <color indexed="81"/>
            <rFont val="Tahoma"/>
            <family val="2"/>
          </rPr>
          <t>WDA member months data not available prior to 2009</t>
        </r>
        <r>
          <rPr>
            <sz val="8"/>
            <color indexed="81"/>
            <rFont val="Tahoma"/>
            <family val="2"/>
          </rPr>
          <t xml:space="preserve">
</t>
        </r>
      </text>
    </comment>
    <comment ref="D22" authorId="0">
      <text>
        <r>
          <rPr>
            <b/>
            <sz val="8"/>
            <color indexed="81"/>
            <rFont val="Tahoma"/>
            <family val="2"/>
          </rPr>
          <t>WDA member months data not available prior to 2009</t>
        </r>
        <r>
          <rPr>
            <sz val="8"/>
            <color indexed="81"/>
            <rFont val="Tahoma"/>
            <family val="2"/>
          </rPr>
          <t xml:space="preserve">
</t>
        </r>
      </text>
    </comment>
  </commentList>
</comments>
</file>

<file path=xl/comments2.xml><?xml version="1.0" encoding="utf-8"?>
<comments xmlns="http://schemas.openxmlformats.org/spreadsheetml/2006/main">
  <authors>
    <author>Bev Reed</author>
  </authors>
  <commentList>
    <comment ref="A14" authorId="0">
      <text>
        <r>
          <rPr>
            <b/>
            <sz val="9"/>
            <color indexed="81"/>
            <rFont val="Tahoma"/>
            <family val="2"/>
          </rPr>
          <t>Bev Reed:</t>
        </r>
        <r>
          <rPr>
            <sz val="9"/>
            <color indexed="81"/>
            <rFont val="Tahoma"/>
            <family val="2"/>
          </rPr>
          <t xml:space="preserve">
Andy prorates for 2014.</t>
        </r>
      </text>
    </comment>
    <comment ref="A20" authorId="0">
      <text>
        <r>
          <rPr>
            <b/>
            <sz val="9"/>
            <color indexed="81"/>
            <rFont val="Tahoma"/>
            <family val="2"/>
          </rPr>
          <t>Bev Reed:</t>
        </r>
        <r>
          <rPr>
            <sz val="9"/>
            <color indexed="81"/>
            <rFont val="Tahoma"/>
            <family val="2"/>
          </rPr>
          <t xml:space="preserve">
Andy prorates for 2014 and 2015.</t>
        </r>
      </text>
    </comment>
    <comment ref="A24" authorId="0">
      <text>
        <r>
          <rPr>
            <b/>
            <sz val="9"/>
            <color indexed="81"/>
            <rFont val="Tahoma"/>
            <family val="2"/>
          </rPr>
          <t>Bev Reed:</t>
        </r>
        <r>
          <rPr>
            <sz val="9"/>
            <color indexed="81"/>
            <rFont val="Tahoma"/>
            <family val="2"/>
          </rPr>
          <t xml:space="preserve">
Andy prorates for 2014.</t>
        </r>
      </text>
    </comment>
  </commentList>
</comments>
</file>

<file path=xl/sharedStrings.xml><?xml version="1.0" encoding="utf-8"?>
<sst xmlns="http://schemas.openxmlformats.org/spreadsheetml/2006/main" count="704" uniqueCount="159">
  <si>
    <t xml:space="preserve">SOONERCARE BUDGET NEUTRALITY </t>
  </si>
  <si>
    <t>Budget Neutrality Limit</t>
  </si>
  <si>
    <t>Actual/Projected Expenditures</t>
  </si>
  <si>
    <t>DY</t>
  </si>
  <si>
    <t>CY</t>
  </si>
  <si>
    <t>PMPM</t>
  </si>
  <si>
    <t>Aggregate</t>
  </si>
  <si>
    <t>Savings/          (Deficit)</t>
  </si>
  <si>
    <t>Cumulative Savings/     (Deficit)</t>
  </si>
  <si>
    <t xml:space="preserve"> </t>
  </si>
  <si>
    <r>
      <t xml:space="preserve">HISTORICAL AND PROJECTED MEMBER MONTHS AND EXPENDITURES - </t>
    </r>
    <r>
      <rPr>
        <b/>
        <i/>
        <sz val="14"/>
        <rFont val="Arial"/>
        <family val="2"/>
      </rPr>
      <t>BY MEG</t>
    </r>
  </si>
  <si>
    <t>TEFRA CHILDREN MEG</t>
  </si>
  <si>
    <t>TREND FACTORS</t>
  </si>
  <si>
    <t>MEG</t>
  </si>
  <si>
    <t>Factor</t>
  </si>
  <si>
    <t>TANF-U</t>
  </si>
  <si>
    <t>TANF-R</t>
  </si>
  <si>
    <t>ABD-U</t>
  </si>
  <si>
    <t>ABD-R</t>
  </si>
  <si>
    <t>TEFRA</t>
  </si>
  <si>
    <t>SOONERCARE 1115 BUDGET NEUTRALITY</t>
  </si>
  <si>
    <t>TANF URBAN MEG</t>
  </si>
  <si>
    <t>TANF RURAL MEG</t>
  </si>
  <si>
    <t>ABD URBAN MEG</t>
  </si>
  <si>
    <t>ABD RURAL MEG</t>
  </si>
  <si>
    <t>Member Months</t>
  </si>
  <si>
    <t>Annual Trend</t>
  </si>
  <si>
    <t>PMPM Trend Factors</t>
  </si>
  <si>
    <t>College Students</t>
  </si>
  <si>
    <t>Trending 
Years</t>
  </si>
  <si>
    <t>TANF - Urban</t>
  </si>
  <si>
    <t>TANF - Rural</t>
  </si>
  <si>
    <t>ABD - Urban</t>
  </si>
  <si>
    <t>ABD - Rural</t>
  </si>
  <si>
    <t>Extension</t>
  </si>
  <si>
    <t>Difference (C Report minus BN table)</t>
  </si>
  <si>
    <t>Cumulative Deviation by Renewal Period</t>
  </si>
  <si>
    <t>HAN MEG</t>
  </si>
  <si>
    <t>Client Months</t>
  </si>
  <si>
    <t>2010 (6 mos)</t>
  </si>
  <si>
    <t xml:space="preserve">MEG Enrollment Trend Calculation </t>
  </si>
  <si>
    <t>WDA</t>
  </si>
  <si>
    <t>Total Client Months</t>
  </si>
  <si>
    <t>HEALTH MANAGEMENT PROGRAM (HMP) EXPENDITURES - DISTRIBUTION BY MEG</t>
  </si>
  <si>
    <t>Traditional MEG Client Months</t>
  </si>
  <si>
    <t>HMP Expenditures (Prorated across MEGs based on Client Months)</t>
  </si>
  <si>
    <t>Total Expenditures</t>
  </si>
  <si>
    <t>Total</t>
  </si>
  <si>
    <t>Historical and Current</t>
  </si>
  <si>
    <t>2017 (proj)</t>
  </si>
  <si>
    <t>2018 (proj)</t>
  </si>
  <si>
    <t>Historical</t>
  </si>
  <si>
    <t>Current</t>
  </si>
  <si>
    <t xml:space="preserve">DOCUMENTATION OF IOK 2014 ENROLLMENT - ESI and IP </t>
  </si>
  <si>
    <t>ESI</t>
  </si>
  <si>
    <t>IP</t>
  </si>
  <si>
    <t>Percent</t>
  </si>
  <si>
    <t>FOSTER PARENT MEG - ESI PROJECTIONS</t>
  </si>
  <si>
    <t>EMPLOYEES OF NON-PROFIT ORGANIZATIONS MEG - ESI PROJECTIONS</t>
  </si>
  <si>
    <t>FOSTER PARENT MEG - IP PROJECTIONS</t>
  </si>
  <si>
    <t>EMPLOYEES OF  NON-PROFIT ORGANIZATIONS MEG - IP PROJECTIONS</t>
  </si>
  <si>
    <t>SOONERCARE CHOICE - AGGREGATE (ALL MEGS)</t>
  </si>
  <si>
    <t>NDWA</t>
  </si>
  <si>
    <t>NON-DISABLED WORKING ADULTS MEG - ESI &amp; IP</t>
  </si>
  <si>
    <t xml:space="preserve">NON-DISABLED WORKING ADULTS MEG - ESI PROJECTIONS </t>
  </si>
  <si>
    <t>WORKING DISABLED ADULTS MEG - ESI &amp; IP</t>
  </si>
  <si>
    <t>WORKING DISABLED ADULTS MEG - ESI PROJECTIONS</t>
  </si>
  <si>
    <t>FULL TIME COLLEGE STUDENT MEG - ESI PROJECTIONS</t>
  </si>
  <si>
    <t>FULL TIME COLLEGE STUDENT MEG - ESI &amp; IP</t>
  </si>
  <si>
    <t>NON-DISABLED WORKING ADULTS MEG - IP PROJECTIONS</t>
  </si>
  <si>
    <t>WORKING DISABLED ADULTS MEG - IP PROJECTIONS</t>
  </si>
  <si>
    <t>FULL TIME COLLEGE STUDENT MEG - IP PROJECTIONS</t>
  </si>
  <si>
    <t>Comparison with HAN expenditures included in, and HMP expenditures excluded from, TANF-U amounts</t>
  </si>
  <si>
    <t>TANF-R without HMP</t>
  </si>
  <si>
    <t>Comparison with HMP expenditures excluded from TANF-R amounts</t>
  </si>
  <si>
    <t>TANF-U with HAN and without HMP</t>
  </si>
  <si>
    <t>ABD-U without HMP</t>
  </si>
  <si>
    <t>Comparison with HMP expenditures excluded from ABD-U amounts</t>
  </si>
  <si>
    <t>ABD-R without HMP</t>
  </si>
  <si>
    <t>NDWA - ESI</t>
  </si>
  <si>
    <t>NDWA - IP</t>
  </si>
  <si>
    <t>College - ESI</t>
  </si>
  <si>
    <t>College - IP</t>
  </si>
  <si>
    <t>See IOK_ESI-IP Tab</t>
  </si>
  <si>
    <t>Difference</t>
  </si>
  <si>
    <t>Dollars</t>
  </si>
  <si>
    <t>FFY Q2-14</t>
  </si>
  <si>
    <t>FFY Q3-14</t>
  </si>
  <si>
    <t>FFY Q4-14</t>
  </si>
  <si>
    <t>FFY Q1-15</t>
  </si>
  <si>
    <t>FFY Q2-15</t>
  </si>
  <si>
    <t>FFY Q3-15</t>
  </si>
  <si>
    <t>FFY Q4-15</t>
  </si>
  <si>
    <t>Jan-Mar 2014</t>
  </si>
  <si>
    <t>PQ Adj.</t>
  </si>
  <si>
    <t>Apr-June 2014</t>
  </si>
  <si>
    <t>July-Sept 2014</t>
  </si>
  <si>
    <t>Oct-Dec 2014</t>
  </si>
  <si>
    <t>PQ Adj. Q2-15</t>
  </si>
  <si>
    <t>Total Calendar Yr 2014</t>
  </si>
  <si>
    <t>Per Schedule C</t>
  </si>
  <si>
    <t>Jan-Mar 2015</t>
  </si>
  <si>
    <t>Apr-June</t>
  </si>
  <si>
    <t>July-Sept</t>
  </si>
  <si>
    <t>TANF Urban-Member Months</t>
  </si>
  <si>
    <t>TANF Urban-Expenditures</t>
  </si>
  <si>
    <t>TANF Rural-Member Months</t>
  </si>
  <si>
    <t>TANF Rural-Expenditures</t>
  </si>
  <si>
    <t>ABD Urban-Member Months</t>
  </si>
  <si>
    <t>ABD Urban-Expenditures</t>
  </si>
  <si>
    <t>ABD Rural-Member Months</t>
  </si>
  <si>
    <t>ABD Rural-Expenditures</t>
  </si>
  <si>
    <t>IO ESI Non-disabled Working Adults- Member Months</t>
  </si>
  <si>
    <t>IO ESI Non-disabled Working Adults-Expenditures</t>
  </si>
  <si>
    <t>IO IP Non-disabled Working Adults-Member Months</t>
  </si>
  <si>
    <t>IO IP Non-disabled Working Adults- Expenditures</t>
  </si>
  <si>
    <t>TEFRA-Member Months</t>
  </si>
  <si>
    <t>TEFRA-Expenditures</t>
  </si>
  <si>
    <t>IO ESI College Students-Member Months</t>
  </si>
  <si>
    <t>IO ESI College Students-Expenditures</t>
  </si>
  <si>
    <t>IO IP College Students-Member Months</t>
  </si>
  <si>
    <t>IO IP College Students-Expenditures</t>
  </si>
  <si>
    <t>IO IP Working Disabled Adults-Member Months</t>
  </si>
  <si>
    <t>IO IP Working Disabled Adults-Expenditures</t>
  </si>
  <si>
    <t>HAN Client Months</t>
  </si>
  <si>
    <t>HAN Expenditures</t>
  </si>
  <si>
    <t>HMP Member Months</t>
  </si>
  <si>
    <t>HMP Expenditures</t>
  </si>
  <si>
    <t>Annual MM Trend</t>
  </si>
  <si>
    <t>Allocation of Cumulative Expenditures through 2013</t>
  </si>
  <si>
    <t>FFY Q1-16</t>
  </si>
  <si>
    <t>Oct-Dec</t>
  </si>
  <si>
    <t>12 months 2015</t>
  </si>
  <si>
    <t>SPONSOR'S CHOICE INSURANCE PROJECTIONS</t>
  </si>
  <si>
    <t>(DIVIDER TAB - NO DATA)</t>
  </si>
  <si>
    <t>FFY Q2-16</t>
  </si>
  <si>
    <t>FFY Q3-16</t>
  </si>
  <si>
    <t>FFY Q4-16</t>
  </si>
  <si>
    <t>FFY Q1-17</t>
  </si>
  <si>
    <t>Jan-Mar 2016</t>
  </si>
  <si>
    <t>Apr-June 2016</t>
  </si>
  <si>
    <t>July-Sept 2016</t>
  </si>
  <si>
    <t>Oct-Dec 2016</t>
  </si>
  <si>
    <t>Total Calendar Yr 2016</t>
  </si>
  <si>
    <t>2010 - 2016</t>
  </si>
  <si>
    <t>Per Jan '16 Fast Facts</t>
  </si>
  <si>
    <t>Totals</t>
  </si>
  <si>
    <t>Diff</t>
  </si>
  <si>
    <t>Per Aug'16 Fast Facts</t>
  </si>
  <si>
    <t>C-REPORT DATA FOR CY 2014 through CY 2016</t>
  </si>
  <si>
    <t>CY16 Member Months</t>
  </si>
  <si>
    <t>Fast Facts</t>
  </si>
  <si>
    <t>Schedule C</t>
  </si>
  <si>
    <t>Changed OHCA C Report AH16 from 1369 to 13669</t>
  </si>
  <si>
    <t>RB</t>
  </si>
  <si>
    <t>2019 (proj)</t>
  </si>
  <si>
    <t>2020 (proj)</t>
  </si>
  <si>
    <t>2021 (proj)</t>
  </si>
  <si>
    <t>(without rebase)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</si>
</sst>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0.0%"/>
    <numFmt numFmtId="168" formatCode="[$-409]mmm\-yy;@"/>
    <numFmt numFmtId="169" formatCode="&quot;$&quot;#,##0.0_);\(&quot;$&quot;#,##0.0\)"/>
    <numFmt numFmtId="170" formatCode="General_)"/>
    <numFmt numFmtId="171" formatCode="#."/>
    <numFmt numFmtId="172" formatCode="0.000%"/>
  </numFmts>
  <fonts count="66"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9"/>
      <name val="Arial"/>
      <family val="2"/>
    </font>
    <font>
      <b/>
      <sz val="14"/>
      <name val="Arial"/>
      <family val="2"/>
    </font>
    <font>
      <b/>
      <i/>
      <sz val="14"/>
      <name val="Arial"/>
      <family val="2"/>
    </font>
    <font>
      <sz val="9"/>
      <color indexed="9"/>
      <name val="Arial"/>
      <family val="2"/>
    </font>
    <font>
      <b/>
      <sz val="1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color indexed="8"/>
      <name val="Arial"/>
      <family val="2"/>
    </font>
    <font>
      <sz val="10"/>
      <color indexed="8"/>
      <name val="Arial"/>
      <family val="2"/>
    </font>
    <font>
      <sz val="9"/>
      <name val="Arial"/>
      <family val="2"/>
    </font>
    <font>
      <i/>
      <sz val="10"/>
      <name val="Arial"/>
      <family val="2"/>
    </font>
    <font>
      <sz val="8"/>
      <color indexed="81"/>
      <name val="Tahoma"/>
      <family val="2"/>
    </font>
    <font>
      <b/>
      <sz val="8"/>
      <color indexed="81"/>
      <name val="Tahoma"/>
      <family val="2"/>
    </font>
    <font>
      <b/>
      <sz val="10"/>
      <color rgb="FFFF0000"/>
      <name val="Arial"/>
      <family val="2"/>
    </font>
    <font>
      <u val="singleAccounting"/>
      <sz val="10"/>
      <name val="Arial"/>
      <family val="2"/>
    </font>
    <font>
      <sz val="9"/>
      <color theme="0" tint="-0.499984740745262"/>
      <name val="Arial"/>
      <family val="2"/>
    </font>
    <font>
      <sz val="10"/>
      <color theme="0" tint="-0.499984740745262"/>
      <name val="Arial"/>
      <family val="2"/>
    </font>
    <font>
      <b/>
      <u/>
      <sz val="10"/>
      <name val="Arial"/>
      <family val="2"/>
    </font>
    <font>
      <b/>
      <sz val="10"/>
      <color theme="0"/>
      <name val="Arial"/>
      <family val="2"/>
    </font>
    <font>
      <b/>
      <sz val="8"/>
      <color theme="0"/>
      <name val="Arial"/>
      <family val="2"/>
    </font>
    <font>
      <sz val="9"/>
      <color theme="0" tint="-0.14999847407452621"/>
      <name val="Arial"/>
      <family val="2"/>
    </font>
    <font>
      <sz val="10"/>
      <color theme="0" tint="-0.14999847407452621"/>
      <name val="Arial"/>
      <family val="2"/>
    </font>
    <font>
      <sz val="10"/>
      <color rgb="FFFF0000"/>
      <name val="Arial"/>
      <family val="2"/>
    </font>
    <font>
      <sz val="9"/>
      <color rgb="FF000000"/>
      <name val="Arial"/>
      <family val="2"/>
    </font>
    <font>
      <sz val="9"/>
      <color rgb="FFFF0000"/>
      <name val="Arial"/>
      <family val="2"/>
    </font>
    <font>
      <sz val="10"/>
      <color theme="1"/>
      <name val="Times New Roman"/>
      <family val="2"/>
    </font>
    <font>
      <sz val="12"/>
      <color theme="1"/>
      <name val="Times New Roman"/>
      <family val="2"/>
    </font>
    <font>
      <b/>
      <sz val="12"/>
      <color theme="1"/>
      <name val="Times New Roman"/>
      <family val="1"/>
    </font>
    <font>
      <b/>
      <sz val="12"/>
      <name val="Times New Roman"/>
      <family val="1"/>
    </font>
    <font>
      <sz val="12"/>
      <name val="Times New Roman"/>
      <family val="2"/>
    </font>
    <font>
      <sz val="12"/>
      <color theme="1"/>
      <name val="Times New Roman"/>
      <family val="1"/>
    </font>
    <font>
      <sz val="12"/>
      <name val="Times New Roman"/>
      <family val="1"/>
    </font>
    <font>
      <sz val="10"/>
      <color theme="1"/>
      <name val="Times New Roman"/>
      <family val="1"/>
    </font>
    <font>
      <b/>
      <sz val="9"/>
      <color indexed="81"/>
      <name val="Tahoma"/>
      <family val="2"/>
    </font>
    <font>
      <sz val="9"/>
      <color indexed="81"/>
      <name val="Tahoma"/>
      <family val="2"/>
    </font>
    <font>
      <b/>
      <sz val="12"/>
      <name val="Arial"/>
      <family val="2"/>
    </font>
    <font>
      <b/>
      <i/>
      <sz val="10"/>
      <name val="Arial"/>
      <family val="2"/>
    </font>
    <font>
      <sz val="6"/>
      <name val="Arial"/>
      <family val="2"/>
    </font>
    <font>
      <sz val="10"/>
      <name val="Times New Roman"/>
      <family val="1"/>
    </font>
    <font>
      <b/>
      <sz val="12"/>
      <color indexed="8"/>
      <name val="Arial"/>
      <family val="2"/>
    </font>
    <font>
      <sz val="1"/>
      <color indexed="16"/>
      <name val="Courier"/>
      <family val="3"/>
    </font>
    <font>
      <b/>
      <sz val="1"/>
      <color indexed="16"/>
      <name val="Courier"/>
      <family val="3"/>
    </font>
    <font>
      <i/>
      <sz val="1"/>
      <color indexed="16"/>
      <name val="Courier"/>
      <family val="3"/>
    </font>
    <font>
      <sz val="12"/>
      <name val="Courier"/>
      <family val="3"/>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3A75C4"/>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3" tint="0.79998168889431442"/>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hair">
        <color indexed="64"/>
      </left>
      <right style="hair">
        <color indexed="64"/>
      </right>
      <top style="medium">
        <color indexed="64"/>
      </top>
      <bottom/>
      <diagonal/>
    </border>
    <border>
      <left/>
      <right style="medium">
        <color indexed="64"/>
      </right>
      <top/>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diagonal/>
    </border>
    <border>
      <left/>
      <right style="medium">
        <color indexed="64"/>
      </right>
      <top style="dotted">
        <color indexed="64"/>
      </top>
      <bottom/>
      <diagonal/>
    </border>
    <border>
      <left/>
      <right style="medium">
        <color indexed="64"/>
      </right>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hair">
        <color indexed="64"/>
      </left>
      <right/>
      <top/>
      <bottom/>
      <diagonal/>
    </border>
    <border>
      <left style="thin">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diagonal/>
    </border>
    <border>
      <left style="medium">
        <color indexed="64"/>
      </left>
      <right/>
      <top style="medium">
        <color indexed="64"/>
      </top>
      <bottom style="hair">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medium">
        <color indexed="64"/>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hair">
        <color indexed="64"/>
      </right>
      <top/>
      <bottom style="medium">
        <color indexed="64"/>
      </bottom>
      <diagonal/>
    </border>
  </borders>
  <cellStyleXfs count="10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3" fillId="0" borderId="0" applyFont="0" applyFill="0" applyBorder="0" applyAlignment="0" applyProtection="0"/>
    <xf numFmtId="43" fontId="28" fillId="0" borderId="0" applyFont="0" applyFill="0" applyBorder="0" applyAlignment="0" applyProtection="0"/>
    <xf numFmtId="44" fontId="3"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28" fillId="0" borderId="0"/>
    <xf numFmtId="0" fontId="3" fillId="23" borderId="7" applyNumberFormat="0" applyFont="0" applyAlignment="0" applyProtection="0"/>
    <xf numFmtId="0" fontId="24" fillId="20" borderId="8" applyNumberFormat="0" applyAlignment="0" applyProtection="0"/>
    <xf numFmtId="9" fontId="3"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0" fontId="3" fillId="0" borderId="0"/>
    <xf numFmtId="0" fontId="47"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59" fillId="0" borderId="0"/>
    <xf numFmtId="43" fontId="3" fillId="0" borderId="0" applyFont="0" applyFill="0" applyBorder="0" applyAlignment="0" applyProtection="0"/>
    <xf numFmtId="0" fontId="3" fillId="0" borderId="0"/>
    <xf numFmtId="169" fontId="60" fillId="0" borderId="0">
      <alignment horizontal="left" indent="1"/>
    </xf>
    <xf numFmtId="170" fontId="3" fillId="0" borderId="0" applyNumberFormat="0" applyFont="0" applyBorder="0">
      <alignment horizontal="center"/>
    </xf>
    <xf numFmtId="170" fontId="61" fillId="0" borderId="0" applyNumberFormat="0" applyFont="0" applyBorder="0" applyAlignment="0">
      <alignment horizontal="center" wrapText="1"/>
    </xf>
    <xf numFmtId="44" fontId="1" fillId="0" borderId="0" applyFont="0" applyFill="0" applyBorder="0" applyAlignment="0" applyProtection="0"/>
    <xf numFmtId="44" fontId="3" fillId="0" borderId="0" applyFont="0" applyFill="0" applyBorder="0" applyAlignment="0" applyProtection="0"/>
    <xf numFmtId="171" fontId="62" fillId="0" borderId="0">
      <protection locked="0"/>
    </xf>
    <xf numFmtId="171" fontId="62" fillId="0" borderId="0">
      <protection locked="0"/>
    </xf>
    <xf numFmtId="171" fontId="63" fillId="0" borderId="0">
      <protection locked="0"/>
    </xf>
    <xf numFmtId="171" fontId="62" fillId="0" borderId="0">
      <protection locked="0"/>
    </xf>
    <xf numFmtId="171" fontId="62" fillId="0" borderId="0">
      <protection locked="0"/>
    </xf>
    <xf numFmtId="171" fontId="62" fillId="0" borderId="0">
      <protection locked="0"/>
    </xf>
    <xf numFmtId="171" fontId="64" fillId="0" borderId="0">
      <protection locked="0"/>
    </xf>
    <xf numFmtId="170" fontId="3" fillId="0" borderId="0">
      <alignment horizontal="left" indent="1"/>
    </xf>
    <xf numFmtId="170" fontId="3" fillId="0" borderId="0">
      <alignment horizontal="left" indent="2"/>
    </xf>
    <xf numFmtId="170" fontId="30" fillId="0" borderId="0">
      <alignment horizontal="left" indent="3"/>
    </xf>
    <xf numFmtId="170" fontId="30" fillId="0" borderId="0">
      <alignment horizontal="left" indent="4"/>
    </xf>
    <xf numFmtId="170" fontId="30" fillId="0" borderId="0">
      <alignment horizontal="left" indent="5"/>
    </xf>
    <xf numFmtId="170" fontId="65" fillId="0" borderId="0" applyNumberFormat="0" applyFont="0" applyBorder="0">
      <alignment horizontal="center"/>
    </xf>
    <xf numFmtId="0" fontId="1" fillId="0" borderId="0"/>
    <xf numFmtId="0" fontId="47" fillId="0" borderId="0"/>
    <xf numFmtId="0" fontId="1" fillId="0" borderId="0"/>
    <xf numFmtId="0" fontId="1" fillId="0" borderId="0"/>
    <xf numFmtId="0" fontId="1" fillId="0" borderId="0"/>
    <xf numFmtId="9" fontId="1"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170" fontId="3" fillId="0" borderId="80" applyNumberFormat="0" applyFont="0" applyBorder="0">
      <alignment horizontal="right"/>
    </xf>
    <xf numFmtId="43" fontId="59" fillId="0" borderId="0" applyFont="0" applyFill="0" applyBorder="0" applyAlignment="0" applyProtection="0"/>
  </cellStyleXfs>
  <cellXfs count="514">
    <xf numFmtId="0" fontId="0" fillId="0" borderId="0" xfId="0"/>
    <xf numFmtId="0" fontId="5" fillId="0" borderId="0" xfId="0" applyFont="1"/>
    <xf numFmtId="0" fontId="6" fillId="0" borderId="16" xfId="0" applyFont="1" applyBorder="1" applyAlignment="1">
      <alignment horizontal="center" vertical="center"/>
    </xf>
    <xf numFmtId="0" fontId="6" fillId="0" borderId="17" xfId="0" applyFont="1" applyBorder="1" applyAlignment="1">
      <alignment horizontal="center" vertical="center"/>
    </xf>
    <xf numFmtId="165" fontId="6" fillId="0" borderId="17" xfId="28" applyNumberFormat="1" applyFont="1" applyBorder="1" applyAlignment="1">
      <alignment vertical="center"/>
    </xf>
    <xf numFmtId="44" fontId="6" fillId="0" borderId="17" xfId="30" applyFont="1" applyBorder="1" applyAlignment="1">
      <alignment vertical="center"/>
    </xf>
    <xf numFmtId="164" fontId="6" fillId="0" borderId="17" xfId="30" applyNumberFormat="1" applyFont="1" applyBorder="1" applyAlignment="1">
      <alignment vertical="center"/>
    </xf>
    <xf numFmtId="164" fontId="6" fillId="0" borderId="17" xfId="0" applyNumberFormat="1" applyFont="1" applyBorder="1" applyAlignment="1">
      <alignment vertical="center"/>
    </xf>
    <xf numFmtId="164" fontId="6" fillId="0" borderId="18" xfId="0" applyNumberFormat="1" applyFont="1" applyBorder="1" applyAlignment="1">
      <alignment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165" fontId="6" fillId="0" borderId="20" xfId="28" applyNumberFormat="1" applyFont="1" applyBorder="1" applyAlignment="1">
      <alignment vertical="center"/>
    </xf>
    <xf numFmtId="44" fontId="6" fillId="0" borderId="20" xfId="30" applyFont="1" applyBorder="1" applyAlignment="1">
      <alignment vertical="center"/>
    </xf>
    <xf numFmtId="164" fontId="6" fillId="0" borderId="20" xfId="30" applyNumberFormat="1" applyFont="1" applyBorder="1" applyAlignment="1">
      <alignment vertical="center"/>
    </xf>
    <xf numFmtId="164" fontId="6" fillId="0" borderId="20" xfId="0" applyNumberFormat="1" applyFont="1" applyBorder="1" applyAlignment="1">
      <alignment vertical="center"/>
    </xf>
    <xf numFmtId="164" fontId="6" fillId="0" borderId="21" xfId="0" applyNumberFormat="1" applyFont="1" applyBorder="1" applyAlignment="1">
      <alignment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165" fontId="6" fillId="0" borderId="20" xfId="28" applyNumberFormat="1" applyFont="1" applyFill="1" applyBorder="1" applyAlignment="1">
      <alignment vertical="center"/>
    </xf>
    <xf numFmtId="164" fontId="6" fillId="0" borderId="20" xfId="30" applyNumberFormat="1" applyFont="1" applyFill="1" applyBorder="1" applyAlignment="1">
      <alignment vertical="center"/>
    </xf>
    <xf numFmtId="44" fontId="6" fillId="0" borderId="20" xfId="30" applyFont="1" applyFill="1" applyBorder="1" applyAlignment="1">
      <alignment vertical="center"/>
    </xf>
    <xf numFmtId="164" fontId="6" fillId="0" borderId="20" xfId="0" applyNumberFormat="1" applyFont="1" applyFill="1" applyBorder="1" applyAlignment="1">
      <alignment vertical="center"/>
    </xf>
    <xf numFmtId="164" fontId="6" fillId="0" borderId="21" xfId="0" applyNumberFormat="1" applyFont="1" applyFill="1" applyBorder="1" applyAlignment="1">
      <alignment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165" fontId="6" fillId="0" borderId="23" xfId="28" applyNumberFormat="1" applyFont="1" applyFill="1" applyBorder="1" applyAlignment="1">
      <alignment vertical="center"/>
    </xf>
    <xf numFmtId="44" fontId="6" fillId="0" borderId="23" xfId="30" applyFont="1" applyFill="1" applyBorder="1" applyAlignment="1">
      <alignment vertical="center"/>
    </xf>
    <xf numFmtId="164" fontId="6" fillId="0" borderId="23" xfId="30" applyNumberFormat="1" applyFont="1" applyFill="1" applyBorder="1" applyAlignment="1">
      <alignment vertical="center"/>
    </xf>
    <xf numFmtId="164" fontId="6" fillId="0" borderId="23" xfId="0" applyNumberFormat="1" applyFont="1" applyFill="1" applyBorder="1" applyAlignment="1">
      <alignment vertical="center"/>
    </xf>
    <xf numFmtId="164" fontId="6" fillId="0" borderId="24" xfId="0" applyNumberFormat="1" applyFont="1" applyFill="1" applyBorder="1" applyAlignment="1">
      <alignment vertical="center"/>
    </xf>
    <xf numFmtId="165" fontId="6" fillId="0" borderId="26" xfId="28" applyNumberFormat="1" applyFont="1" applyFill="1" applyBorder="1" applyAlignment="1">
      <alignment vertical="center"/>
    </xf>
    <xf numFmtId="44" fontId="6" fillId="0" borderId="26" xfId="30" applyFont="1" applyFill="1" applyBorder="1" applyAlignment="1">
      <alignment vertical="center"/>
    </xf>
    <xf numFmtId="164" fontId="6" fillId="0" borderId="26" xfId="30" applyNumberFormat="1" applyFont="1" applyFill="1" applyBorder="1" applyAlignment="1">
      <alignment vertical="center"/>
    </xf>
    <xf numFmtId="0" fontId="6" fillId="0" borderId="28" xfId="0" applyFont="1" applyFill="1" applyBorder="1" applyAlignment="1">
      <alignment horizontal="center" vertical="center"/>
    </xf>
    <xf numFmtId="164" fontId="6" fillId="0" borderId="29" xfId="0" applyNumberFormat="1" applyFont="1" applyFill="1" applyBorder="1" applyAlignment="1">
      <alignment vertical="center"/>
    </xf>
    <xf numFmtId="0" fontId="6" fillId="0" borderId="30" xfId="0" applyFont="1" applyFill="1" applyBorder="1" applyAlignment="1">
      <alignment horizontal="center" vertical="center"/>
    </xf>
    <xf numFmtId="164" fontId="6" fillId="0" borderId="31" xfId="0" applyNumberFormat="1" applyFont="1" applyFill="1" applyBorder="1" applyAlignment="1">
      <alignment vertical="center"/>
    </xf>
    <xf numFmtId="0" fontId="7" fillId="0" borderId="0" xfId="0" applyFont="1" applyFill="1"/>
    <xf numFmtId="0" fontId="6" fillId="0" borderId="33" xfId="0" applyFont="1" applyFill="1" applyBorder="1" applyAlignment="1">
      <alignment horizontal="center" vertical="center"/>
    </xf>
    <xf numFmtId="164" fontId="6" fillId="0" borderId="34" xfId="0" applyNumberFormat="1" applyFont="1" applyFill="1" applyBorder="1" applyAlignment="1">
      <alignment vertical="center"/>
    </xf>
    <xf numFmtId="44" fontId="9" fillId="0" borderId="20" xfId="30" applyFont="1" applyFill="1" applyBorder="1" applyAlignment="1">
      <alignment vertical="center"/>
    </xf>
    <xf numFmtId="164" fontId="9" fillId="0" borderId="20" xfId="30" applyNumberFormat="1" applyFont="1" applyFill="1" applyBorder="1" applyAlignment="1">
      <alignment vertical="center"/>
    </xf>
    <xf numFmtId="44" fontId="9" fillId="0" borderId="23" xfId="30" applyFont="1" applyFill="1" applyBorder="1" applyAlignment="1">
      <alignment vertical="center"/>
    </xf>
    <xf numFmtId="164" fontId="9" fillId="0" borderId="23" xfId="30" applyNumberFormat="1" applyFont="1" applyFill="1" applyBorder="1" applyAlignment="1">
      <alignment vertical="center"/>
    </xf>
    <xf numFmtId="0" fontId="0" fillId="0" borderId="30" xfId="0" applyBorder="1"/>
    <xf numFmtId="166" fontId="0" fillId="0" borderId="31" xfId="0" applyNumberFormat="1" applyBorder="1"/>
    <xf numFmtId="44" fontId="6" fillId="0" borderId="20" xfId="30" applyNumberFormat="1" applyFont="1" applyBorder="1" applyAlignment="1">
      <alignment vertical="center"/>
    </xf>
    <xf numFmtId="0" fontId="7" fillId="0" borderId="0" xfId="0" applyFont="1"/>
    <xf numFmtId="0" fontId="0" fillId="0" borderId="0" xfId="0" applyFill="1"/>
    <xf numFmtId="0" fontId="29" fillId="0" borderId="0" xfId="0" applyFont="1" applyFill="1" applyAlignment="1">
      <alignment horizontal="center"/>
    </xf>
    <xf numFmtId="0" fontId="30" fillId="0" borderId="0" xfId="0" applyFont="1" applyFill="1"/>
    <xf numFmtId="10" fontId="30" fillId="0" borderId="0" xfId="43" applyNumberFormat="1" applyFont="1" applyFill="1" applyBorder="1"/>
    <xf numFmtId="0" fontId="6" fillId="0" borderId="23" xfId="0" applyFont="1" applyFill="1" applyBorder="1" applyAlignment="1">
      <alignment horizontal="center" vertical="center" wrapText="1"/>
    </xf>
    <xf numFmtId="0" fontId="31" fillId="0" borderId="0" xfId="0" applyFont="1"/>
    <xf numFmtId="0" fontId="0" fillId="24" borderId="38" xfId="0" applyFill="1" applyBorder="1"/>
    <xf numFmtId="0" fontId="0" fillId="24" borderId="25" xfId="0" applyFill="1" applyBorder="1"/>
    <xf numFmtId="164" fontId="6" fillId="0" borderId="37" xfId="30" applyNumberFormat="1" applyFont="1" applyBorder="1" applyAlignment="1">
      <alignment vertical="center"/>
    </xf>
    <xf numFmtId="166" fontId="0" fillId="24" borderId="40" xfId="0" applyNumberFormat="1" applyFill="1" applyBorder="1"/>
    <xf numFmtId="166" fontId="0" fillId="24" borderId="27" xfId="0" applyNumberFormat="1" applyFill="1" applyBorder="1"/>
    <xf numFmtId="0" fontId="6" fillId="0" borderId="20" xfId="0" applyFont="1" applyFill="1" applyBorder="1" applyAlignment="1">
      <alignment horizontal="center" vertical="center" wrapText="1"/>
    </xf>
    <xf numFmtId="165" fontId="0" fillId="0" borderId="0" xfId="28" applyNumberFormat="1" applyFont="1"/>
    <xf numFmtId="0" fontId="6" fillId="0" borderId="10" xfId="0" applyFont="1" applyFill="1" applyBorder="1" applyAlignment="1">
      <alignment horizontal="center" vertical="center"/>
    </xf>
    <xf numFmtId="0" fontId="6" fillId="0" borderId="17" xfId="0" applyFont="1" applyFill="1" applyBorder="1" applyAlignment="1">
      <alignment horizontal="center" vertical="center"/>
    </xf>
    <xf numFmtId="165" fontId="6" fillId="0" borderId="17" xfId="28" applyNumberFormat="1" applyFont="1" applyFill="1" applyBorder="1" applyAlignment="1">
      <alignment vertical="center"/>
    </xf>
    <xf numFmtId="44" fontId="6" fillId="0" borderId="17" xfId="30" applyFont="1" applyFill="1" applyBorder="1" applyAlignment="1">
      <alignment vertical="center"/>
    </xf>
    <xf numFmtId="164" fontId="6" fillId="0" borderId="17" xfId="30" applyNumberFormat="1" applyFont="1" applyFill="1" applyBorder="1" applyAlignment="1">
      <alignment vertical="center"/>
    </xf>
    <xf numFmtId="164" fontId="6" fillId="0" borderId="17" xfId="0" applyNumberFormat="1" applyFont="1" applyFill="1" applyBorder="1" applyAlignment="1">
      <alignment vertical="center"/>
    </xf>
    <xf numFmtId="164" fontId="6" fillId="0" borderId="41" xfId="0" applyNumberFormat="1" applyFont="1" applyFill="1" applyBorder="1" applyAlignment="1">
      <alignment vertical="center"/>
    </xf>
    <xf numFmtId="0" fontId="6" fillId="0" borderId="25" xfId="0" applyFont="1" applyBorder="1" applyAlignment="1">
      <alignment horizontal="center" vertical="center"/>
    </xf>
    <xf numFmtId="0" fontId="6" fillId="0" borderId="26" xfId="0" applyFont="1" applyBorder="1" applyAlignment="1">
      <alignment vertical="center"/>
    </xf>
    <xf numFmtId="0" fontId="6" fillId="0" borderId="26" xfId="0" applyFont="1" applyBorder="1" applyAlignment="1">
      <alignment horizontal="center" vertical="center"/>
    </xf>
    <xf numFmtId="44" fontId="6" fillId="0" borderId="26" xfId="30" applyFont="1" applyBorder="1" applyAlignment="1">
      <alignment vertical="center"/>
    </xf>
    <xf numFmtId="0" fontId="0" fillId="0" borderId="30" xfId="0" applyBorder="1" applyAlignment="1">
      <alignment horizontal="center" vertical="center"/>
    </xf>
    <xf numFmtId="0" fontId="31" fillId="0" borderId="20" xfId="0" applyFont="1" applyBorder="1" applyAlignment="1">
      <alignment horizontal="center" vertical="center"/>
    </xf>
    <xf numFmtId="0" fontId="6" fillId="0" borderId="30" xfId="0" applyFont="1" applyBorder="1" applyAlignment="1">
      <alignment horizontal="center" vertical="center"/>
    </xf>
    <xf numFmtId="165" fontId="6" fillId="0" borderId="26" xfId="28" applyNumberFormat="1" applyFont="1" applyBorder="1" applyAlignment="1">
      <alignment vertical="center"/>
    </xf>
    <xf numFmtId="164" fontId="6" fillId="0" borderId="26" xfId="30" applyNumberFormat="1" applyFont="1" applyBorder="1" applyAlignment="1">
      <alignment vertical="center"/>
    </xf>
    <xf numFmtId="164" fontId="6" fillId="0" borderId="27" xfId="30" applyNumberFormat="1" applyFont="1" applyBorder="1" applyAlignment="1">
      <alignment vertical="center"/>
    </xf>
    <xf numFmtId="164" fontId="6" fillId="0" borderId="31" xfId="30" applyNumberFormat="1" applyFont="1" applyBorder="1" applyAlignment="1">
      <alignment vertical="center"/>
    </xf>
    <xf numFmtId="44" fontId="6" fillId="0" borderId="26" xfId="30" applyNumberFormat="1" applyFont="1" applyBorder="1" applyAlignment="1">
      <alignment vertical="center"/>
    </xf>
    <xf numFmtId="164" fontId="6" fillId="0" borderId="31" xfId="30" applyNumberFormat="1" applyFont="1" applyFill="1" applyBorder="1" applyAlignment="1">
      <alignment vertical="center"/>
    </xf>
    <xf numFmtId="43" fontId="0" fillId="0" borderId="0" xfId="0" applyNumberFormat="1"/>
    <xf numFmtId="164" fontId="6" fillId="0" borderId="11" xfId="0" applyNumberFormat="1" applyFont="1" applyBorder="1" applyAlignment="1">
      <alignment vertical="center"/>
    </xf>
    <xf numFmtId="164" fontId="6" fillId="0" borderId="42" xfId="0" applyNumberFormat="1" applyFont="1" applyBorder="1" applyAlignment="1">
      <alignment vertical="center"/>
    </xf>
    <xf numFmtId="164" fontId="6" fillId="0" borderId="42" xfId="0" applyNumberFormat="1" applyFont="1" applyFill="1" applyBorder="1" applyAlignment="1">
      <alignment vertical="center"/>
    </xf>
    <xf numFmtId="164" fontId="6" fillId="0" borderId="43" xfId="0" applyNumberFormat="1" applyFont="1" applyFill="1" applyBorder="1" applyAlignment="1">
      <alignment vertical="center"/>
    </xf>
    <xf numFmtId="164" fontId="6" fillId="0" borderId="44" xfId="0" applyNumberFormat="1" applyFont="1" applyFill="1" applyBorder="1" applyAlignment="1">
      <alignment vertical="center"/>
    </xf>
    <xf numFmtId="164" fontId="6" fillId="0" borderId="11" xfId="0" applyNumberFormat="1" applyFont="1" applyFill="1" applyBorder="1" applyAlignment="1">
      <alignment vertical="center"/>
    </xf>
    <xf numFmtId="164" fontId="6" fillId="0" borderId="42" xfId="30" applyNumberFormat="1" applyFont="1" applyBorder="1" applyAlignment="1">
      <alignment vertical="center"/>
    </xf>
    <xf numFmtId="164" fontId="6" fillId="0" borderId="44" xfId="30" applyNumberFormat="1" applyFont="1" applyBorder="1" applyAlignment="1">
      <alignment vertical="center"/>
    </xf>
    <xf numFmtId="0" fontId="6" fillId="0" borderId="0" xfId="0" applyFont="1" applyAlignment="1">
      <alignment vertical="center"/>
    </xf>
    <xf numFmtId="164" fontId="6" fillId="0" borderId="0" xfId="0" applyNumberFormat="1" applyFont="1" applyAlignment="1">
      <alignment vertical="center"/>
    </xf>
    <xf numFmtId="0" fontId="6" fillId="0" borderId="45" xfId="0" applyFont="1" applyFill="1" applyBorder="1" applyAlignment="1">
      <alignment horizontal="center" vertical="center"/>
    </xf>
    <xf numFmtId="165" fontId="6" fillId="0" borderId="45" xfId="28" applyNumberFormat="1" applyFont="1" applyFill="1" applyBorder="1" applyAlignment="1">
      <alignment vertical="center"/>
    </xf>
    <xf numFmtId="44" fontId="6" fillId="0" borderId="45" xfId="30" applyFont="1" applyFill="1" applyBorder="1" applyAlignment="1">
      <alignment vertical="center"/>
    </xf>
    <xf numFmtId="164" fontId="6" fillId="0" borderId="45" xfId="30" applyNumberFormat="1" applyFont="1" applyFill="1" applyBorder="1" applyAlignment="1">
      <alignment vertical="center"/>
    </xf>
    <xf numFmtId="164" fontId="6" fillId="0" borderId="45" xfId="0" applyNumberFormat="1" applyFont="1" applyFill="1" applyBorder="1" applyAlignment="1">
      <alignment vertical="center"/>
    </xf>
    <xf numFmtId="44" fontId="9" fillId="0" borderId="45" xfId="30" applyFont="1" applyFill="1" applyBorder="1" applyAlignment="1">
      <alignment vertical="center"/>
    </xf>
    <xf numFmtId="164" fontId="9" fillId="0" borderId="45" xfId="30" applyNumberFormat="1" applyFont="1" applyFill="1" applyBorder="1" applyAlignment="1">
      <alignment vertical="center"/>
    </xf>
    <xf numFmtId="44" fontId="6" fillId="0" borderId="20" xfId="30" applyNumberFormat="1" applyFont="1" applyFill="1" applyBorder="1" applyAlignment="1">
      <alignment vertical="center"/>
    </xf>
    <xf numFmtId="0" fontId="10" fillId="0" borderId="0" xfId="0" applyFont="1" applyFill="1"/>
    <xf numFmtId="164" fontId="6" fillId="0" borderId="18" xfId="0" applyNumberFormat="1" applyFont="1" applyFill="1" applyBorder="1" applyAlignment="1">
      <alignment vertical="center"/>
    </xf>
    <xf numFmtId="164" fontId="6" fillId="0" borderId="27" xfId="30" applyNumberFormat="1" applyFont="1" applyFill="1" applyBorder="1" applyAlignment="1">
      <alignment vertical="center"/>
    </xf>
    <xf numFmtId="166" fontId="0" fillId="0" borderId="31" xfId="0" applyNumberFormat="1" applyFill="1" applyBorder="1"/>
    <xf numFmtId="0" fontId="0" fillId="0" borderId="38" xfId="0" applyFill="1" applyBorder="1"/>
    <xf numFmtId="166" fontId="0" fillId="0" borderId="40" xfId="0" applyNumberFormat="1" applyFill="1" applyBorder="1"/>
    <xf numFmtId="44" fontId="6" fillId="0" borderId="20" xfId="0" applyNumberFormat="1" applyFont="1" applyFill="1" applyBorder="1" applyAlignment="1">
      <alignment vertical="center"/>
    </xf>
    <xf numFmtId="0" fontId="6" fillId="0" borderId="26" xfId="0" applyFont="1" applyFill="1" applyBorder="1" applyAlignment="1">
      <alignment horizontal="center" vertical="center"/>
    </xf>
    <xf numFmtId="44" fontId="6" fillId="0" borderId="45" xfId="30" applyFont="1" applyBorder="1" applyAlignment="1">
      <alignment vertical="center"/>
    </xf>
    <xf numFmtId="164" fontId="6" fillId="0" borderId="53" xfId="30" applyNumberFormat="1" applyFont="1" applyBorder="1" applyAlignment="1">
      <alignment vertical="center"/>
    </xf>
    <xf numFmtId="164" fontId="6" fillId="0" borderId="29" xfId="30" applyNumberFormat="1" applyFont="1" applyFill="1" applyBorder="1" applyAlignment="1">
      <alignment vertical="center"/>
    </xf>
    <xf numFmtId="164" fontId="6" fillId="0" borderId="53" xfId="30" applyNumberFormat="1" applyFont="1" applyFill="1" applyBorder="1" applyAlignment="1">
      <alignment vertical="center"/>
    </xf>
    <xf numFmtId="164" fontId="6" fillId="0" borderId="54" xfId="30" applyNumberFormat="1" applyFont="1" applyBorder="1" applyAlignment="1">
      <alignment vertical="center"/>
    </xf>
    <xf numFmtId="164" fontId="6" fillId="0" borderId="55" xfId="30" applyNumberFormat="1" applyFont="1" applyBorder="1" applyAlignment="1">
      <alignment vertical="center"/>
    </xf>
    <xf numFmtId="164" fontId="6" fillId="0" borderId="55" xfId="30" applyNumberFormat="1" applyFont="1" applyFill="1" applyBorder="1" applyAlignment="1">
      <alignment vertical="center"/>
    </xf>
    <xf numFmtId="164" fontId="6" fillId="0" borderId="56" xfId="30" applyNumberFormat="1" applyFont="1" applyFill="1" applyBorder="1" applyAlignment="1">
      <alignment vertical="center"/>
    </xf>
    <xf numFmtId="164" fontId="6" fillId="0" borderId="58" xfId="30" applyNumberFormat="1" applyFont="1" applyFill="1" applyBorder="1" applyAlignment="1">
      <alignment vertical="center"/>
    </xf>
    <xf numFmtId="165" fontId="6" fillId="0" borderId="54" xfId="28" applyNumberFormat="1" applyFont="1" applyFill="1" applyBorder="1" applyAlignment="1">
      <alignment vertical="center"/>
    </xf>
    <xf numFmtId="165" fontId="6" fillId="0" borderId="55" xfId="28" applyNumberFormat="1" applyFont="1" applyFill="1" applyBorder="1" applyAlignment="1">
      <alignment vertical="center"/>
    </xf>
    <xf numFmtId="165" fontId="6" fillId="0" borderId="57" xfId="28" applyNumberFormat="1" applyFont="1" applyFill="1" applyBorder="1" applyAlignment="1">
      <alignment vertical="center"/>
    </xf>
    <xf numFmtId="44" fontId="6" fillId="0" borderId="59" xfId="30" applyFont="1" applyBorder="1" applyAlignment="1">
      <alignment vertical="center"/>
    </xf>
    <xf numFmtId="44" fontId="6" fillId="0" borderId="60" xfId="30" applyFont="1" applyBorder="1" applyAlignment="1">
      <alignment vertical="center"/>
    </xf>
    <xf numFmtId="44" fontId="6" fillId="0" borderId="60" xfId="30" applyFont="1" applyFill="1" applyBorder="1" applyAlignment="1">
      <alignment vertical="center"/>
    </xf>
    <xf numFmtId="44" fontId="6" fillId="0" borderId="61" xfId="30" applyFont="1" applyFill="1" applyBorder="1" applyAlignment="1">
      <alignment vertical="center"/>
    </xf>
    <xf numFmtId="44" fontId="6" fillId="0" borderId="63" xfId="30" applyFont="1" applyFill="1" applyBorder="1" applyAlignment="1">
      <alignment vertical="center"/>
    </xf>
    <xf numFmtId="164" fontId="6" fillId="0" borderId="59" xfId="30" applyNumberFormat="1" applyFont="1" applyFill="1" applyBorder="1" applyAlignment="1">
      <alignment vertical="center"/>
    </xf>
    <xf numFmtId="164" fontId="6" fillId="0" borderId="60" xfId="0" applyNumberFormat="1" applyFont="1" applyFill="1" applyBorder="1" applyAlignment="1">
      <alignment vertical="center"/>
    </xf>
    <xf numFmtId="164" fontId="6" fillId="0" borderId="62" xfId="30" applyNumberFormat="1" applyFont="1" applyFill="1" applyBorder="1" applyAlignment="1">
      <alignment vertical="center"/>
    </xf>
    <xf numFmtId="44" fontId="6" fillId="0" borderId="37" xfId="30" applyFont="1" applyFill="1" applyBorder="1" applyAlignment="1">
      <alignment vertical="center"/>
    </xf>
    <xf numFmtId="164" fontId="3" fillId="0" borderId="0" xfId="0" applyNumberFormat="1" applyFont="1"/>
    <xf numFmtId="0" fontId="3" fillId="0" borderId="0" xfId="0" applyFont="1"/>
    <xf numFmtId="0" fontId="7" fillId="0" borderId="0" xfId="47" applyFont="1" applyFill="1"/>
    <xf numFmtId="0" fontId="35" fillId="0" borderId="0" xfId="0" applyFont="1"/>
    <xf numFmtId="165" fontId="36" fillId="0" borderId="0" xfId="28" applyNumberFormat="1" applyFont="1"/>
    <xf numFmtId="0" fontId="6" fillId="0" borderId="16" xfId="0" applyFont="1" applyFill="1" applyBorder="1" applyAlignment="1">
      <alignment horizontal="center" vertical="center"/>
    </xf>
    <xf numFmtId="0" fontId="28" fillId="0" borderId="18" xfId="0" applyFont="1" applyBorder="1" applyAlignment="1">
      <alignment vertical="center" textRotation="90"/>
    </xf>
    <xf numFmtId="0" fontId="28" fillId="0" borderId="47" xfId="0" applyFont="1" applyBorder="1" applyAlignment="1">
      <alignment vertical="center" textRotation="90"/>
    </xf>
    <xf numFmtId="0" fontId="3" fillId="0" borderId="18" xfId="0" applyFont="1" applyBorder="1" applyAlignment="1">
      <alignment vertical="center" textRotation="90"/>
    </xf>
    <xf numFmtId="0" fontId="3" fillId="0" borderId="47" xfId="0" applyFont="1" applyBorder="1" applyAlignment="1">
      <alignment vertical="center" textRotation="90"/>
    </xf>
    <xf numFmtId="0" fontId="6" fillId="0" borderId="45" xfId="0" applyFont="1" applyFill="1" applyBorder="1" applyAlignment="1">
      <alignment horizontal="center" vertical="center" wrapText="1"/>
    </xf>
    <xf numFmtId="44" fontId="6" fillId="24" borderId="20" xfId="30" applyFont="1" applyFill="1" applyBorder="1" applyAlignment="1">
      <alignment vertical="center"/>
    </xf>
    <xf numFmtId="0" fontId="6" fillId="0" borderId="38" xfId="0" applyFont="1" applyFill="1" applyBorder="1" applyAlignment="1">
      <alignment horizontal="center" vertical="center"/>
    </xf>
    <xf numFmtId="0" fontId="6" fillId="0" borderId="39" xfId="0" applyFont="1" applyFill="1" applyBorder="1" applyAlignment="1">
      <alignment horizontal="center" vertical="center" wrapText="1"/>
    </xf>
    <xf numFmtId="165" fontId="6" fillId="0" borderId="39" xfId="28" applyNumberFormat="1" applyFont="1" applyFill="1" applyBorder="1" applyAlignment="1">
      <alignment vertical="center"/>
    </xf>
    <xf numFmtId="44" fontId="6" fillId="0" borderId="39" xfId="30" applyFont="1" applyFill="1" applyBorder="1" applyAlignment="1">
      <alignment vertical="center"/>
    </xf>
    <xf numFmtId="164" fontId="6" fillId="0" borderId="39" xfId="30" applyNumberFormat="1" applyFont="1" applyFill="1" applyBorder="1" applyAlignment="1">
      <alignment vertical="center"/>
    </xf>
    <xf numFmtId="164" fontId="6" fillId="0" borderId="39" xfId="0" applyNumberFormat="1" applyFont="1" applyFill="1" applyBorder="1" applyAlignment="1">
      <alignment vertical="center"/>
    </xf>
    <xf numFmtId="164" fontId="6" fillId="0" borderId="40" xfId="0" applyNumberFormat="1" applyFont="1" applyFill="1" applyBorder="1" applyAlignment="1">
      <alignment vertical="center"/>
    </xf>
    <xf numFmtId="164" fontId="6" fillId="0" borderId="65" xfId="30" applyNumberFormat="1" applyFont="1" applyFill="1" applyBorder="1" applyAlignment="1">
      <alignment vertical="center"/>
    </xf>
    <xf numFmtId="44" fontId="6" fillId="0" borderId="66" xfId="30" applyFont="1" applyFill="1" applyBorder="1" applyAlignment="1">
      <alignment vertical="center"/>
    </xf>
    <xf numFmtId="44" fontId="9" fillId="0" borderId="39" xfId="30" applyFont="1" applyFill="1" applyBorder="1" applyAlignment="1">
      <alignment vertical="center"/>
    </xf>
    <xf numFmtId="164" fontId="9" fillId="0" borderId="39" xfId="30" applyNumberFormat="1" applyFont="1" applyFill="1" applyBorder="1" applyAlignment="1">
      <alignment vertical="center"/>
    </xf>
    <xf numFmtId="0" fontId="6" fillId="0" borderId="64" xfId="0" applyFont="1" applyFill="1" applyBorder="1" applyAlignment="1">
      <alignment horizontal="center" vertical="center"/>
    </xf>
    <xf numFmtId="0" fontId="6" fillId="0" borderId="37" xfId="0" applyFont="1" applyFill="1" applyBorder="1" applyAlignment="1">
      <alignment horizontal="center" vertical="center" wrapText="1"/>
    </xf>
    <xf numFmtId="165" fontId="6" fillId="0" borderId="37" xfId="28" applyNumberFormat="1" applyFont="1" applyFill="1" applyBorder="1" applyAlignment="1">
      <alignment vertical="center"/>
    </xf>
    <xf numFmtId="164" fontId="6" fillId="0" borderId="37" xfId="30" applyNumberFormat="1" applyFont="1" applyFill="1" applyBorder="1" applyAlignment="1">
      <alignment vertical="center"/>
    </xf>
    <xf numFmtId="164" fontId="6" fillId="0" borderId="37" xfId="0" applyNumberFormat="1" applyFont="1" applyFill="1" applyBorder="1" applyAlignment="1">
      <alignment vertical="center"/>
    </xf>
    <xf numFmtId="164" fontId="6" fillId="0" borderId="67" xfId="0" applyNumberFormat="1" applyFont="1" applyFill="1" applyBorder="1" applyAlignment="1">
      <alignment vertical="center"/>
    </xf>
    <xf numFmtId="44" fontId="9" fillId="0" borderId="37" xfId="30" applyFont="1" applyFill="1" applyBorder="1" applyAlignment="1">
      <alignment vertical="center"/>
    </xf>
    <xf numFmtId="164" fontId="9" fillId="0" borderId="37" xfId="30" applyNumberFormat="1" applyFont="1" applyFill="1" applyBorder="1" applyAlignment="1">
      <alignment vertical="center"/>
    </xf>
    <xf numFmtId="164" fontId="6" fillId="0" borderId="71" xfId="0" applyNumberFormat="1" applyFont="1" applyFill="1" applyBorder="1" applyAlignment="1">
      <alignment vertical="center"/>
    </xf>
    <xf numFmtId="164" fontId="6" fillId="0" borderId="32" xfId="0" applyNumberFormat="1" applyFont="1" applyBorder="1" applyAlignment="1">
      <alignment vertical="center"/>
    </xf>
    <xf numFmtId="164" fontId="6" fillId="0" borderId="72" xfId="0" applyNumberFormat="1" applyFont="1" applyFill="1" applyBorder="1" applyAlignment="1">
      <alignment vertical="center"/>
    </xf>
    <xf numFmtId="164" fontId="6" fillId="0" borderId="72" xfId="0" applyNumberFormat="1" applyFont="1" applyBorder="1" applyAlignment="1">
      <alignment vertical="center"/>
    </xf>
    <xf numFmtId="164" fontId="6" fillId="0" borderId="24" xfId="0" applyNumberFormat="1" applyFont="1" applyBorder="1" applyAlignment="1">
      <alignment vertical="center"/>
    </xf>
    <xf numFmtId="164" fontId="6" fillId="0" borderId="36" xfId="30" applyNumberFormat="1" applyFont="1" applyFill="1" applyBorder="1" applyAlignment="1">
      <alignment vertical="center"/>
    </xf>
    <xf numFmtId="164" fontId="6" fillId="0" borderId="40" xfId="30" applyNumberFormat="1" applyFont="1" applyFill="1" applyBorder="1" applyAlignment="1">
      <alignment vertical="center"/>
    </xf>
    <xf numFmtId="165" fontId="37" fillId="0" borderId="17" xfId="28" applyNumberFormat="1" applyFont="1" applyFill="1" applyBorder="1" applyAlignment="1">
      <alignment vertical="center"/>
    </xf>
    <xf numFmtId="44" fontId="37" fillId="0" borderId="17" xfId="30" applyFont="1" applyFill="1" applyBorder="1" applyAlignment="1">
      <alignment vertical="center"/>
    </xf>
    <xf numFmtId="164" fontId="37" fillId="0" borderId="17" xfId="30" applyNumberFormat="1" applyFont="1" applyFill="1" applyBorder="1" applyAlignment="1">
      <alignment vertical="center"/>
    </xf>
    <xf numFmtId="164" fontId="37" fillId="0" borderId="17" xfId="0" applyNumberFormat="1" applyFont="1" applyFill="1" applyBorder="1" applyAlignment="1">
      <alignment vertical="center"/>
    </xf>
    <xf numFmtId="164" fontId="37" fillId="0" borderId="41" xfId="0" applyNumberFormat="1" applyFont="1" applyFill="1" applyBorder="1" applyAlignment="1">
      <alignment vertical="center"/>
    </xf>
    <xf numFmtId="164" fontId="37" fillId="0" borderId="20" xfId="30" applyNumberFormat="1" applyFont="1" applyBorder="1" applyAlignment="1">
      <alignment vertical="center"/>
    </xf>
    <xf numFmtId="165" fontId="37" fillId="0" borderId="26" xfId="28" applyNumberFormat="1" applyFont="1" applyBorder="1" applyAlignment="1">
      <alignment vertical="center"/>
    </xf>
    <xf numFmtId="44" fontId="37" fillId="0" borderId="26" xfId="30" applyFont="1" applyBorder="1" applyAlignment="1">
      <alignment vertical="center"/>
    </xf>
    <xf numFmtId="164" fontId="37" fillId="0" borderId="26" xfId="30" applyNumberFormat="1" applyFont="1" applyBorder="1" applyAlignment="1">
      <alignment vertical="center"/>
    </xf>
    <xf numFmtId="164" fontId="37" fillId="0" borderId="27" xfId="30" applyNumberFormat="1" applyFont="1" applyBorder="1" applyAlignment="1">
      <alignment vertical="center"/>
    </xf>
    <xf numFmtId="165" fontId="37" fillId="0" borderId="20" xfId="28" applyNumberFormat="1" applyFont="1" applyBorder="1" applyAlignment="1">
      <alignment vertical="center"/>
    </xf>
    <xf numFmtId="44" fontId="37" fillId="0" borderId="20" xfId="30" applyFont="1" applyBorder="1" applyAlignment="1">
      <alignment vertical="center"/>
    </xf>
    <xf numFmtId="164" fontId="37" fillId="0" borderId="31" xfId="30" applyNumberFormat="1" applyFont="1" applyBorder="1" applyAlignment="1">
      <alignment vertical="center"/>
    </xf>
    <xf numFmtId="165" fontId="37" fillId="0" borderId="20" xfId="28" applyNumberFormat="1" applyFont="1" applyFill="1" applyBorder="1" applyAlignment="1">
      <alignment vertical="center"/>
    </xf>
    <xf numFmtId="165" fontId="37" fillId="0" borderId="26" xfId="28" applyNumberFormat="1" applyFont="1" applyFill="1" applyBorder="1" applyAlignment="1">
      <alignment vertical="center"/>
    </xf>
    <xf numFmtId="0" fontId="38" fillId="0" borderId="20" xfId="0" applyFont="1" applyFill="1" applyBorder="1" applyAlignment="1">
      <alignment vertical="center"/>
    </xf>
    <xf numFmtId="0" fontId="37" fillId="0" borderId="26" xfId="0" applyFont="1" applyFill="1" applyBorder="1" applyAlignment="1">
      <alignment vertical="center"/>
    </xf>
    <xf numFmtId="0" fontId="38" fillId="0" borderId="20" xfId="0" applyFont="1" applyBorder="1" applyAlignment="1">
      <alignment vertical="center"/>
    </xf>
    <xf numFmtId="0" fontId="37" fillId="0" borderId="26" xfId="0" applyFont="1" applyBorder="1" applyAlignment="1">
      <alignment vertical="center"/>
    </xf>
    <xf numFmtId="44" fontId="37" fillId="0" borderId="20" xfId="0" applyNumberFormat="1" applyFont="1" applyBorder="1" applyAlignment="1">
      <alignment vertical="center"/>
    </xf>
    <xf numFmtId="165" fontId="6" fillId="0" borderId="20" xfId="3" applyNumberFormat="1" applyFont="1" applyFill="1" applyBorder="1" applyAlignment="1">
      <alignment vertical="center"/>
    </xf>
    <xf numFmtId="168" fontId="39" fillId="0" borderId="0" xfId="0" applyNumberFormat="1" applyFont="1" applyAlignment="1">
      <alignment horizontal="right"/>
    </xf>
    <xf numFmtId="0" fontId="39" fillId="0" borderId="0" xfId="0" applyFont="1" applyAlignment="1">
      <alignment horizontal="right"/>
    </xf>
    <xf numFmtId="167" fontId="0" fillId="0" borderId="0" xfId="43" applyNumberFormat="1" applyFont="1"/>
    <xf numFmtId="167" fontId="36" fillId="0" borderId="0" xfId="43" applyNumberFormat="1" applyFont="1"/>
    <xf numFmtId="0" fontId="3" fillId="0" borderId="20" xfId="0" applyFont="1" applyBorder="1" applyAlignment="1">
      <alignment vertical="center"/>
    </xf>
    <xf numFmtId="165" fontId="6" fillId="0" borderId="68" xfId="28" applyNumberFormat="1" applyFont="1" applyFill="1" applyBorder="1" applyAlignment="1">
      <alignment vertical="center"/>
    </xf>
    <xf numFmtId="165" fontId="6" fillId="0" borderId="58" xfId="28" applyNumberFormat="1" applyFont="1" applyFill="1" applyBorder="1" applyAlignment="1">
      <alignment vertical="center"/>
    </xf>
    <xf numFmtId="0" fontId="3" fillId="0" borderId="30" xfId="0" applyFont="1" applyFill="1" applyBorder="1"/>
    <xf numFmtId="164" fontId="6" fillId="0" borderId="69" xfId="30" applyNumberFormat="1" applyFont="1" applyFill="1" applyBorder="1" applyAlignment="1">
      <alignment vertical="center"/>
    </xf>
    <xf numFmtId="164" fontId="6" fillId="0" borderId="60" xfId="30" applyNumberFormat="1" applyFont="1" applyFill="1" applyBorder="1" applyAlignment="1">
      <alignment vertical="center"/>
    </xf>
    <xf numFmtId="164" fontId="6" fillId="0" borderId="63" xfId="30" applyNumberFormat="1" applyFont="1" applyFill="1" applyBorder="1" applyAlignment="1">
      <alignment vertical="center"/>
    </xf>
    <xf numFmtId="44" fontId="6" fillId="25" borderId="37" xfId="30" applyFont="1" applyFill="1" applyBorder="1" applyAlignment="1">
      <alignment vertical="center"/>
    </xf>
    <xf numFmtId="164" fontId="6" fillId="0" borderId="73" xfId="0" applyNumberFormat="1" applyFont="1" applyBorder="1" applyAlignment="1">
      <alignment vertical="center"/>
    </xf>
    <xf numFmtId="0" fontId="40" fillId="26" borderId="35" xfId="0" applyFont="1" applyFill="1" applyBorder="1" applyAlignment="1">
      <alignment horizontal="center" vertical="center"/>
    </xf>
    <xf numFmtId="0" fontId="40" fillId="26" borderId="37" xfId="0" applyFont="1" applyFill="1" applyBorder="1" applyAlignment="1">
      <alignment horizontal="center" vertical="center"/>
    </xf>
    <xf numFmtId="0" fontId="40" fillId="26" borderId="37" xfId="0" applyFont="1" applyFill="1" applyBorder="1" applyAlignment="1">
      <alignment horizontal="center" vertical="center" wrapText="1"/>
    </xf>
    <xf numFmtId="0" fontId="40" fillId="26" borderId="36" xfId="0" applyFont="1" applyFill="1" applyBorder="1" applyAlignment="1">
      <alignment horizontal="center" vertical="center" wrapText="1"/>
    </xf>
    <xf numFmtId="0" fontId="40" fillId="26" borderId="36" xfId="0" applyFont="1" applyFill="1" applyBorder="1" applyAlignment="1">
      <alignment horizontal="center" vertical="center"/>
    </xf>
    <xf numFmtId="0" fontId="41" fillId="26" borderId="10" xfId="0" applyFont="1" applyFill="1" applyBorder="1"/>
    <xf numFmtId="0" fontId="41" fillId="26" borderId="11" xfId="0" applyFont="1" applyFill="1" applyBorder="1"/>
    <xf numFmtId="0" fontId="41" fillId="26" borderId="12" xfId="0" applyFont="1" applyFill="1" applyBorder="1"/>
    <xf numFmtId="0" fontId="41" fillId="26" borderId="13" xfId="0" applyFont="1" applyFill="1" applyBorder="1" applyAlignment="1">
      <alignment horizontal="center"/>
    </xf>
    <xf numFmtId="0" fontId="41" fillId="26" borderId="14" xfId="0" applyFont="1" applyFill="1" applyBorder="1" applyAlignment="1">
      <alignment horizontal="center"/>
    </xf>
    <xf numFmtId="0" fontId="41" fillId="26" borderId="14" xfId="0" applyFont="1" applyFill="1" applyBorder="1" applyAlignment="1">
      <alignment horizontal="center" wrapText="1"/>
    </xf>
    <xf numFmtId="0" fontId="41" fillId="26" borderId="15" xfId="0" applyFont="1" applyFill="1" applyBorder="1" applyAlignment="1">
      <alignment horizontal="center" wrapText="1"/>
    </xf>
    <xf numFmtId="0" fontId="41" fillId="26" borderId="52" xfId="0" applyFont="1" applyFill="1" applyBorder="1" applyAlignment="1">
      <alignment horizontal="center" wrapText="1"/>
    </xf>
    <xf numFmtId="0" fontId="41" fillId="26" borderId="51" xfId="0" applyFont="1" applyFill="1" applyBorder="1" applyAlignment="1">
      <alignment horizontal="center" wrapText="1"/>
    </xf>
    <xf numFmtId="0" fontId="0" fillId="0" borderId="30" xfId="0" applyBorder="1" applyAlignment="1">
      <alignment vertical="center"/>
    </xf>
    <xf numFmtId="165" fontId="0" fillId="0" borderId="20" xfId="28" applyNumberFormat="1" applyFont="1" applyBorder="1" applyAlignment="1">
      <alignment vertical="center"/>
    </xf>
    <xf numFmtId="10" fontId="0" fillId="0" borderId="20" xfId="0" applyNumberFormat="1" applyBorder="1" applyAlignment="1">
      <alignment vertical="center"/>
    </xf>
    <xf numFmtId="0" fontId="32" fillId="0" borderId="31" xfId="0" applyFont="1" applyBorder="1" applyAlignment="1">
      <alignment horizontal="center" vertical="center"/>
    </xf>
    <xf numFmtId="0" fontId="3" fillId="0" borderId="30" xfId="0" applyFont="1" applyFill="1" applyBorder="1" applyAlignment="1">
      <alignment vertical="center"/>
    </xf>
    <xf numFmtId="10" fontId="0" fillId="0" borderId="20" xfId="0" applyNumberFormat="1" applyFill="1" applyBorder="1" applyAlignment="1">
      <alignment vertical="center"/>
    </xf>
    <xf numFmtId="0" fontId="0" fillId="0" borderId="30" xfId="0" applyFill="1" applyBorder="1" applyAlignment="1">
      <alignment vertical="center"/>
    </xf>
    <xf numFmtId="0" fontId="0" fillId="24" borderId="30" xfId="0" applyFill="1" applyBorder="1" applyAlignment="1">
      <alignment vertical="center"/>
    </xf>
    <xf numFmtId="165" fontId="0" fillId="24" borderId="20" xfId="28" applyNumberFormat="1" applyFont="1" applyFill="1" applyBorder="1" applyAlignment="1">
      <alignment vertical="center"/>
    </xf>
    <xf numFmtId="10" fontId="0" fillId="0" borderId="26" xfId="43" applyNumberFormat="1" applyFont="1" applyFill="1" applyBorder="1" applyAlignment="1">
      <alignment vertical="center"/>
    </xf>
    <xf numFmtId="44" fontId="6" fillId="27" borderId="17" xfId="30" applyFont="1" applyFill="1" applyBorder="1" applyAlignment="1">
      <alignment vertical="center"/>
    </xf>
    <xf numFmtId="164" fontId="6" fillId="27" borderId="17" xfId="30" applyNumberFormat="1" applyFont="1" applyFill="1" applyBorder="1" applyAlignment="1">
      <alignment vertical="center"/>
    </xf>
    <xf numFmtId="164" fontId="6" fillId="27" borderId="17" xfId="0" applyNumberFormat="1" applyFont="1" applyFill="1" applyBorder="1" applyAlignment="1">
      <alignment vertical="center"/>
    </xf>
    <xf numFmtId="164" fontId="6" fillId="27" borderId="18" xfId="0" applyNumberFormat="1" applyFont="1" applyFill="1" applyBorder="1" applyAlignment="1">
      <alignment vertical="center"/>
    </xf>
    <xf numFmtId="44" fontId="6" fillId="27" borderId="20" xfId="30" applyFont="1" applyFill="1" applyBorder="1" applyAlignment="1">
      <alignment vertical="center"/>
    </xf>
    <xf numFmtId="164" fontId="6" fillId="27" borderId="20" xfId="30" applyNumberFormat="1" applyFont="1" applyFill="1" applyBorder="1" applyAlignment="1">
      <alignment vertical="center"/>
    </xf>
    <xf numFmtId="164" fontId="6" fillId="27" borderId="20" xfId="0" applyNumberFormat="1" applyFont="1" applyFill="1" applyBorder="1" applyAlignment="1">
      <alignment vertical="center"/>
    </xf>
    <xf numFmtId="164" fontId="6" fillId="27" borderId="21" xfId="0" applyNumberFormat="1" applyFont="1" applyFill="1" applyBorder="1" applyAlignment="1">
      <alignment vertical="center"/>
    </xf>
    <xf numFmtId="165" fontId="42" fillId="27" borderId="45" xfId="28" applyNumberFormat="1" applyFont="1" applyFill="1" applyBorder="1" applyAlignment="1">
      <alignment vertical="center"/>
    </xf>
    <xf numFmtId="44" fontId="42" fillId="27" borderId="45" xfId="30" applyFont="1" applyFill="1" applyBorder="1" applyAlignment="1">
      <alignment vertical="center"/>
    </xf>
    <xf numFmtId="164" fontId="42" fillId="27" borderId="45" xfId="30" applyNumberFormat="1" applyFont="1" applyFill="1" applyBorder="1" applyAlignment="1">
      <alignment vertical="center"/>
    </xf>
    <xf numFmtId="164" fontId="42" fillId="27" borderId="45" xfId="0" applyNumberFormat="1" applyFont="1" applyFill="1" applyBorder="1" applyAlignment="1">
      <alignment vertical="center"/>
    </xf>
    <xf numFmtId="164" fontId="42" fillId="27" borderId="18" xfId="0" applyNumberFormat="1" applyFont="1" applyFill="1" applyBorder="1" applyAlignment="1">
      <alignment vertical="center"/>
    </xf>
    <xf numFmtId="165" fontId="42" fillId="27" borderId="17" xfId="28" applyNumberFormat="1" applyFont="1" applyFill="1" applyBorder="1" applyAlignment="1">
      <alignment vertical="center"/>
    </xf>
    <xf numFmtId="44" fontId="42" fillId="27" borderId="17" xfId="30" applyFont="1" applyFill="1" applyBorder="1" applyAlignment="1">
      <alignment vertical="center"/>
    </xf>
    <xf numFmtId="164" fontId="42" fillId="27" borderId="17" xfId="30" applyNumberFormat="1" applyFont="1" applyFill="1" applyBorder="1" applyAlignment="1">
      <alignment vertical="center"/>
    </xf>
    <xf numFmtId="164" fontId="42" fillId="27" borderId="17" xfId="0" applyNumberFormat="1" applyFont="1" applyFill="1" applyBorder="1" applyAlignment="1">
      <alignment vertical="center"/>
    </xf>
    <xf numFmtId="164" fontId="42" fillId="27" borderId="41" xfId="0" applyNumberFormat="1" applyFont="1" applyFill="1" applyBorder="1" applyAlignment="1">
      <alignment vertical="center"/>
    </xf>
    <xf numFmtId="165" fontId="42" fillId="27" borderId="20" xfId="28" applyNumberFormat="1" applyFont="1" applyFill="1" applyBorder="1" applyAlignment="1">
      <alignment vertical="center"/>
    </xf>
    <xf numFmtId="0" fontId="43" fillId="27" borderId="20" xfId="0" applyFont="1" applyFill="1" applyBorder="1" applyAlignment="1">
      <alignment vertical="center"/>
    </xf>
    <xf numFmtId="44" fontId="42" fillId="27" borderId="20" xfId="30" applyFont="1" applyFill="1" applyBorder="1" applyAlignment="1">
      <alignment vertical="center"/>
    </xf>
    <xf numFmtId="164" fontId="42" fillId="27" borderId="20" xfId="30" applyNumberFormat="1" applyFont="1" applyFill="1" applyBorder="1" applyAlignment="1">
      <alignment vertical="center"/>
    </xf>
    <xf numFmtId="164" fontId="42" fillId="27" borderId="31" xfId="30" applyNumberFormat="1" applyFont="1" applyFill="1" applyBorder="1" applyAlignment="1">
      <alignment vertical="center"/>
    </xf>
    <xf numFmtId="165" fontId="42" fillId="27" borderId="26" xfId="28" applyNumberFormat="1" applyFont="1" applyFill="1" applyBorder="1" applyAlignment="1">
      <alignment vertical="center"/>
    </xf>
    <xf numFmtId="0" fontId="42" fillId="27" borderId="26" xfId="0" applyFont="1" applyFill="1" applyBorder="1" applyAlignment="1">
      <alignment vertical="center"/>
    </xf>
    <xf numFmtId="44" fontId="42" fillId="27" borderId="26" xfId="30" applyFont="1" applyFill="1" applyBorder="1" applyAlignment="1">
      <alignment vertical="center"/>
    </xf>
    <xf numFmtId="164" fontId="42" fillId="27" borderId="26" xfId="30" applyNumberFormat="1" applyFont="1" applyFill="1" applyBorder="1" applyAlignment="1">
      <alignment vertical="center"/>
    </xf>
    <xf numFmtId="164" fontId="42" fillId="27" borderId="27" xfId="30" applyNumberFormat="1" applyFont="1" applyFill="1" applyBorder="1" applyAlignment="1">
      <alignment vertical="center"/>
    </xf>
    <xf numFmtId="44" fontId="42" fillId="27" borderId="20" xfId="0" applyNumberFormat="1" applyFont="1" applyFill="1" applyBorder="1" applyAlignment="1">
      <alignment vertical="center"/>
    </xf>
    <xf numFmtId="0" fontId="44" fillId="0" borderId="0" xfId="0" applyFont="1"/>
    <xf numFmtId="44" fontId="6" fillId="25" borderId="20" xfId="30" applyFont="1" applyFill="1" applyBorder="1" applyAlignment="1">
      <alignment vertical="center"/>
    </xf>
    <xf numFmtId="44" fontId="6" fillId="25" borderId="26" xfId="30" applyFont="1" applyFill="1" applyBorder="1" applyAlignment="1">
      <alignment vertical="center"/>
    </xf>
    <xf numFmtId="0" fontId="32" fillId="0" borderId="40" xfId="0" applyFont="1" applyBorder="1" applyAlignment="1">
      <alignment horizontal="center" vertical="center"/>
    </xf>
    <xf numFmtId="0" fontId="3" fillId="24" borderId="38" xfId="0" applyFont="1" applyFill="1" applyBorder="1" applyAlignment="1">
      <alignment vertical="center"/>
    </xf>
    <xf numFmtId="0" fontId="3" fillId="24" borderId="25" xfId="0" applyFont="1" applyFill="1" applyBorder="1" applyAlignment="1">
      <alignment vertical="center"/>
    </xf>
    <xf numFmtId="10" fontId="3" fillId="0" borderId="20" xfId="0" applyNumberFormat="1" applyFont="1" applyFill="1" applyBorder="1" applyAlignment="1">
      <alignment vertical="center"/>
    </xf>
    <xf numFmtId="0" fontId="32" fillId="0" borderId="31" xfId="0" applyFont="1" applyFill="1" applyBorder="1" applyAlignment="1">
      <alignment horizontal="center" vertical="center"/>
    </xf>
    <xf numFmtId="0" fontId="32" fillId="0" borderId="27" xfId="0" applyFont="1" applyFill="1" applyBorder="1" applyAlignment="1">
      <alignment horizontal="center" vertical="center"/>
    </xf>
    <xf numFmtId="165" fontId="6" fillId="25" borderId="17" xfId="28" applyNumberFormat="1" applyFont="1" applyFill="1" applyBorder="1" applyAlignment="1">
      <alignment vertical="center"/>
    </xf>
    <xf numFmtId="165" fontId="6" fillId="25" borderId="20" xfId="28" applyNumberFormat="1" applyFont="1" applyFill="1" applyBorder="1" applyAlignment="1">
      <alignment vertical="center"/>
    </xf>
    <xf numFmtId="165" fontId="6" fillId="25" borderId="26" xfId="28" applyNumberFormat="1" applyFont="1" applyFill="1" applyBorder="1" applyAlignment="1">
      <alignment vertical="center"/>
    </xf>
    <xf numFmtId="164" fontId="6" fillId="25" borderId="20" xfId="30" applyNumberFormat="1" applyFont="1" applyFill="1" applyBorder="1" applyAlignment="1">
      <alignment vertical="center"/>
    </xf>
    <xf numFmtId="44" fontId="37" fillId="25" borderId="17" xfId="30" applyFont="1" applyFill="1" applyBorder="1" applyAlignment="1">
      <alignment vertical="center"/>
    </xf>
    <xf numFmtId="164" fontId="37" fillId="25" borderId="17" xfId="30" applyNumberFormat="1" applyFont="1" applyFill="1" applyBorder="1" applyAlignment="1">
      <alignment vertical="center"/>
    </xf>
    <xf numFmtId="44" fontId="6" fillId="25" borderId="17" xfId="30" applyFont="1" applyFill="1" applyBorder="1" applyAlignment="1">
      <alignment vertical="center"/>
    </xf>
    <xf numFmtId="164" fontId="6" fillId="25" borderId="17" xfId="30" applyNumberFormat="1" applyFont="1" applyFill="1" applyBorder="1" applyAlignment="1">
      <alignment vertical="center"/>
    </xf>
    <xf numFmtId="164" fontId="6" fillId="25" borderId="17" xfId="0" applyNumberFormat="1" applyFont="1" applyFill="1" applyBorder="1" applyAlignment="1">
      <alignment vertical="center"/>
    </xf>
    <xf numFmtId="164" fontId="6" fillId="25" borderId="41" xfId="0" applyNumberFormat="1" applyFont="1" applyFill="1" applyBorder="1" applyAlignment="1">
      <alignment vertical="center"/>
    </xf>
    <xf numFmtId="0" fontId="38" fillId="25" borderId="20" xfId="0" applyFont="1" applyFill="1" applyBorder="1" applyAlignment="1">
      <alignment vertical="center"/>
    </xf>
    <xf numFmtId="164" fontId="6" fillId="25" borderId="31" xfId="30" applyNumberFormat="1" applyFont="1" applyFill="1" applyBorder="1" applyAlignment="1">
      <alignment vertical="center"/>
    </xf>
    <xf numFmtId="0" fontId="37" fillId="25" borderId="26" xfId="0" applyFont="1" applyFill="1" applyBorder="1" applyAlignment="1">
      <alignment vertical="center"/>
    </xf>
    <xf numFmtId="164" fontId="6" fillId="25" borderId="26" xfId="30" applyNumberFormat="1" applyFont="1" applyFill="1" applyBorder="1" applyAlignment="1">
      <alignment vertical="center"/>
    </xf>
    <xf numFmtId="164" fontId="6" fillId="25" borderId="27" xfId="30" applyNumberFormat="1" applyFont="1" applyFill="1" applyBorder="1" applyAlignment="1">
      <alignment vertical="center"/>
    </xf>
    <xf numFmtId="165" fontId="6" fillId="25" borderId="45" xfId="28" applyNumberFormat="1" applyFont="1" applyFill="1" applyBorder="1" applyAlignment="1">
      <alignment vertical="center"/>
    </xf>
    <xf numFmtId="0" fontId="6" fillId="0" borderId="0" xfId="0" applyFont="1"/>
    <xf numFmtId="0" fontId="46" fillId="0" borderId="0" xfId="0" applyFont="1" applyAlignment="1">
      <alignment horizontal="left" vertical="center" readingOrder="1"/>
    </xf>
    <xf numFmtId="164" fontId="45" fillId="0" borderId="0" xfId="0" applyNumberFormat="1" applyFont="1" applyAlignment="1">
      <alignment horizontal="left" vertical="center" readingOrder="1"/>
    </xf>
    <xf numFmtId="10" fontId="0" fillId="0" borderId="0" xfId="0" applyNumberFormat="1" applyFill="1" applyBorder="1" applyAlignment="1">
      <alignment vertical="center"/>
    </xf>
    <xf numFmtId="0" fontId="0" fillId="0" borderId="0" xfId="0" applyFill="1" applyBorder="1"/>
    <xf numFmtId="0" fontId="39" fillId="0" borderId="0" xfId="0" applyFont="1" applyBorder="1" applyAlignment="1">
      <alignment horizontal="right" wrapText="1"/>
    </xf>
    <xf numFmtId="164" fontId="0" fillId="0" borderId="0" xfId="30" applyNumberFormat="1" applyFont="1"/>
    <xf numFmtId="164" fontId="36" fillId="0" borderId="0" xfId="30" applyNumberFormat="1" applyFont="1"/>
    <xf numFmtId="164" fontId="4" fillId="0" borderId="0" xfId="0" applyNumberFormat="1" applyFont="1" applyFill="1"/>
    <xf numFmtId="0" fontId="48" fillId="0" borderId="0" xfId="48" applyFont="1" applyFill="1"/>
    <xf numFmtId="0" fontId="49" fillId="0" borderId="0" xfId="48" applyFont="1" applyFill="1" applyAlignment="1">
      <alignment horizontal="center"/>
    </xf>
    <xf numFmtId="0" fontId="49" fillId="0" borderId="0" xfId="48" applyFont="1" applyFill="1"/>
    <xf numFmtId="0" fontId="52" fillId="0" borderId="0" xfId="48" applyFont="1" applyFill="1"/>
    <xf numFmtId="0" fontId="52" fillId="0" borderId="0" xfId="48" applyFont="1" applyFill="1" applyAlignment="1">
      <alignment wrapText="1"/>
    </xf>
    <xf numFmtId="0" fontId="48" fillId="0" borderId="0" xfId="48" applyFont="1" applyFill="1" applyAlignment="1">
      <alignment wrapText="1"/>
    </xf>
    <xf numFmtId="0" fontId="47" fillId="0" borderId="0" xfId="48"/>
    <xf numFmtId="0" fontId="57" fillId="0" borderId="0" xfId="47" applyFont="1" applyFill="1"/>
    <xf numFmtId="165" fontId="0" fillId="25" borderId="0" xfId="28" applyNumberFormat="1" applyFont="1" applyFill="1"/>
    <xf numFmtId="0" fontId="0" fillId="0" borderId="0" xfId="0" applyBorder="1"/>
    <xf numFmtId="164" fontId="6" fillId="0" borderId="36" xfId="0" applyNumberFormat="1" applyFont="1" applyFill="1" applyBorder="1" applyAlignment="1">
      <alignment vertical="center"/>
    </xf>
    <xf numFmtId="164" fontId="42" fillId="27" borderId="34" xfId="0" applyNumberFormat="1" applyFont="1" applyFill="1" applyBorder="1" applyAlignment="1">
      <alignment vertical="center"/>
    </xf>
    <xf numFmtId="164" fontId="42" fillId="27" borderId="36" xfId="0" applyNumberFormat="1" applyFont="1" applyFill="1" applyBorder="1" applyAlignment="1">
      <alignment vertical="center"/>
    </xf>
    <xf numFmtId="0" fontId="0" fillId="0" borderId="16" xfId="0" applyBorder="1"/>
    <xf numFmtId="0" fontId="0" fillId="0" borderId="16" xfId="0" applyFill="1" applyBorder="1"/>
    <xf numFmtId="0" fontId="48" fillId="0" borderId="0" xfId="0" applyFont="1" applyFill="1"/>
    <xf numFmtId="165" fontId="48" fillId="0" borderId="0" xfId="28" applyNumberFormat="1" applyFont="1" applyFill="1"/>
    <xf numFmtId="165" fontId="50" fillId="0" borderId="0" xfId="28" applyNumberFormat="1" applyFont="1" applyFill="1"/>
    <xf numFmtId="165" fontId="51" fillId="28" borderId="0" xfId="28" applyNumberFormat="1" applyFont="1" applyFill="1"/>
    <xf numFmtId="165" fontId="51" fillId="29" borderId="0" xfId="28" applyNumberFormat="1" applyFont="1" applyFill="1"/>
    <xf numFmtId="165" fontId="51" fillId="27" borderId="0" xfId="28" applyNumberFormat="1" applyFont="1" applyFill="1"/>
    <xf numFmtId="3" fontId="49" fillId="0" borderId="0" xfId="0" applyNumberFormat="1" applyFont="1" applyFill="1"/>
    <xf numFmtId="0" fontId="48" fillId="28" borderId="0" xfId="0" applyFont="1" applyFill="1"/>
    <xf numFmtId="0" fontId="52" fillId="0" borderId="0" xfId="0" applyFont="1" applyFill="1"/>
    <xf numFmtId="165" fontId="52" fillId="30" borderId="78" xfId="28" applyNumberFormat="1" applyFont="1" applyFill="1" applyBorder="1"/>
    <xf numFmtId="165" fontId="52" fillId="31" borderId="78" xfId="28" applyNumberFormat="1" applyFont="1" applyFill="1" applyBorder="1"/>
    <xf numFmtId="165" fontId="48" fillId="30" borderId="78" xfId="28" applyNumberFormat="1" applyFont="1" applyFill="1" applyBorder="1"/>
    <xf numFmtId="165" fontId="48" fillId="31" borderId="78" xfId="28" applyNumberFormat="1" applyFont="1" applyFill="1" applyBorder="1"/>
    <xf numFmtId="165" fontId="48" fillId="32" borderId="78" xfId="28" applyNumberFormat="1" applyFont="1" applyFill="1" applyBorder="1"/>
    <xf numFmtId="164" fontId="53" fillId="30" borderId="78" xfId="0" applyNumberFormat="1" applyFont="1" applyFill="1" applyBorder="1"/>
    <xf numFmtId="164" fontId="53" fillId="28" borderId="78" xfId="30" applyNumberFormat="1" applyFont="1" applyFill="1" applyBorder="1"/>
    <xf numFmtId="164" fontId="53" fillId="29" borderId="78" xfId="30" applyNumberFormat="1" applyFont="1" applyFill="1" applyBorder="1"/>
    <xf numFmtId="164" fontId="53" fillId="27" borderId="79" xfId="30" applyNumberFormat="1" applyFont="1" applyFill="1" applyBorder="1"/>
    <xf numFmtId="164" fontId="49" fillId="30" borderId="78" xfId="30" applyNumberFormat="1" applyFont="1" applyFill="1" applyBorder="1"/>
    <xf numFmtId="164" fontId="48" fillId="28" borderId="78" xfId="30" applyNumberFormat="1" applyFont="1" applyFill="1" applyBorder="1"/>
    <xf numFmtId="164" fontId="51" fillId="29" borderId="78" xfId="30" applyNumberFormat="1" applyFont="1" applyFill="1" applyBorder="1"/>
    <xf numFmtId="165" fontId="52" fillId="0" borderId="0" xfId="28" applyNumberFormat="1" applyFont="1" applyFill="1"/>
    <xf numFmtId="165" fontId="52" fillId="0" borderId="0" xfId="28" applyNumberFormat="1" applyFont="1" applyFill="1" applyBorder="1"/>
    <xf numFmtId="165" fontId="48" fillId="32" borderId="0" xfId="28" applyNumberFormat="1" applyFont="1" applyFill="1"/>
    <xf numFmtId="165" fontId="53" fillId="0" borderId="0" xfId="28" applyNumberFormat="1" applyFont="1" applyFill="1"/>
    <xf numFmtId="165" fontId="53" fillId="27" borderId="0" xfId="28" applyNumberFormat="1" applyFont="1" applyFill="1"/>
    <xf numFmtId="165" fontId="48" fillId="0" borderId="0" xfId="28" applyNumberFormat="1" applyFont="1" applyFill="1" applyBorder="1"/>
    <xf numFmtId="165" fontId="51" fillId="0" borderId="0" xfId="28" applyNumberFormat="1" applyFont="1" applyFill="1"/>
    <xf numFmtId="3" fontId="52" fillId="0" borderId="0" xfId="0" applyNumberFormat="1" applyFont="1" applyFill="1"/>
    <xf numFmtId="3" fontId="52" fillId="27" borderId="0" xfId="0" applyNumberFormat="1" applyFont="1" applyFill="1"/>
    <xf numFmtId="3" fontId="48" fillId="0" borderId="0" xfId="0" applyNumberFormat="1" applyFont="1" applyFill="1"/>
    <xf numFmtId="0" fontId="52" fillId="0" borderId="0" xfId="0" applyFont="1" applyFill="1" applyAlignment="1">
      <alignment wrapText="1"/>
    </xf>
    <xf numFmtId="165" fontId="52" fillId="0" borderId="0" xfId="28" applyNumberFormat="1" applyFont="1" applyFill="1" applyAlignment="1">
      <alignment wrapText="1"/>
    </xf>
    <xf numFmtId="0" fontId="52" fillId="27" borderId="0" xfId="0" applyFont="1" applyFill="1"/>
    <xf numFmtId="165" fontId="48" fillId="0" borderId="0" xfId="28" applyNumberFormat="1" applyFont="1" applyFill="1" applyAlignment="1">
      <alignment wrapText="1"/>
    </xf>
    <xf numFmtId="165" fontId="51" fillId="0" borderId="0" xfId="28" applyNumberFormat="1" applyFont="1" applyFill="1" applyBorder="1" applyAlignment="1">
      <alignment horizontal="center" wrapText="1"/>
    </xf>
    <xf numFmtId="165" fontId="52" fillId="31" borderId="78" xfId="28" applyNumberFormat="1" applyFont="1" applyFill="1" applyBorder="1" applyAlignment="1">
      <alignment wrapText="1"/>
    </xf>
    <xf numFmtId="165" fontId="52" fillId="30" borderId="78" xfId="28" applyNumberFormat="1" applyFont="1" applyFill="1" applyBorder="1" applyAlignment="1">
      <alignment wrapText="1"/>
    </xf>
    <xf numFmtId="165" fontId="48" fillId="31" borderId="78" xfId="28" applyNumberFormat="1" applyFont="1" applyFill="1" applyBorder="1" applyAlignment="1">
      <alignment wrapText="1"/>
    </xf>
    <xf numFmtId="165" fontId="48" fillId="32" borderId="78" xfId="28" applyNumberFormat="1" applyFont="1" applyFill="1" applyBorder="1" applyAlignment="1">
      <alignment wrapText="1"/>
    </xf>
    <xf numFmtId="164" fontId="48" fillId="28" borderId="78" xfId="0" applyNumberFormat="1" applyFont="1" applyFill="1" applyBorder="1"/>
    <xf numFmtId="165" fontId="48" fillId="32" borderId="0" xfId="28" applyNumberFormat="1" applyFont="1" applyFill="1" applyAlignment="1">
      <alignment wrapText="1"/>
    </xf>
    <xf numFmtId="3" fontId="53" fillId="0" borderId="0" xfId="0" applyNumberFormat="1" applyFont="1" applyFill="1" applyBorder="1" applyAlignment="1">
      <alignment horizontal="center" vertical="center" wrapText="1"/>
    </xf>
    <xf numFmtId="3" fontId="53" fillId="27" borderId="0" xfId="0" applyNumberFormat="1" applyFont="1" applyFill="1" applyBorder="1" applyAlignment="1">
      <alignment horizontal="center" vertical="center" wrapText="1"/>
    </xf>
    <xf numFmtId="3" fontId="51" fillId="0" borderId="0" xfId="0" applyNumberFormat="1" applyFont="1" applyFill="1" applyBorder="1" applyAlignment="1">
      <alignment horizontal="center" vertical="center" wrapText="1"/>
    </xf>
    <xf numFmtId="0" fontId="48" fillId="0" borderId="0" xfId="0" applyFont="1" applyFill="1" applyAlignment="1">
      <alignment wrapText="1"/>
    </xf>
    <xf numFmtId="0" fontId="54" fillId="0" borderId="0" xfId="0" applyFont="1" applyFill="1"/>
    <xf numFmtId="0" fontId="54" fillId="31" borderId="0" xfId="0" applyFont="1" applyFill="1"/>
    <xf numFmtId="0" fontId="0" fillId="31" borderId="0" xfId="0" applyFill="1"/>
    <xf numFmtId="0" fontId="0" fillId="32" borderId="0" xfId="0" applyFill="1"/>
    <xf numFmtId="0" fontId="54" fillId="0" borderId="0" xfId="0" applyFont="1"/>
    <xf numFmtId="165" fontId="49" fillId="28" borderId="0" xfId="0" applyNumberFormat="1" applyFont="1" applyFill="1"/>
    <xf numFmtId="0" fontId="54" fillId="29" borderId="0" xfId="0" applyFont="1" applyFill="1"/>
    <xf numFmtId="0" fontId="54" fillId="27" borderId="0" xfId="0" applyFont="1" applyFill="1"/>
    <xf numFmtId="0" fontId="0" fillId="28" borderId="0" xfId="0" applyFill="1"/>
    <xf numFmtId="0" fontId="0" fillId="29" borderId="0" xfId="0" applyFill="1"/>
    <xf numFmtId="0" fontId="49" fillId="0" borderId="0" xfId="0" applyFont="1" applyFill="1" applyAlignment="1">
      <alignment horizontal="center"/>
    </xf>
    <xf numFmtId="165" fontId="48" fillId="0" borderId="0" xfId="0" applyNumberFormat="1" applyFont="1" applyFill="1"/>
    <xf numFmtId="165" fontId="49" fillId="0" borderId="0" xfId="28" applyNumberFormat="1" applyFont="1" applyFill="1"/>
    <xf numFmtId="43" fontId="48" fillId="33" borderId="0" xfId="28" applyFont="1" applyFill="1"/>
    <xf numFmtId="0" fontId="49" fillId="0" borderId="0" xfId="0" applyFont="1" applyFill="1"/>
    <xf numFmtId="0" fontId="49" fillId="28" borderId="0" xfId="0" applyFont="1" applyFill="1" applyAlignment="1">
      <alignment horizontal="center"/>
    </xf>
    <xf numFmtId="0" fontId="49" fillId="29" borderId="0" xfId="0" applyFont="1" applyFill="1" applyAlignment="1">
      <alignment horizontal="center"/>
    </xf>
    <xf numFmtId="165" fontId="49" fillId="0" borderId="0" xfId="0" applyNumberFormat="1" applyFont="1"/>
    <xf numFmtId="0" fontId="7" fillId="0" borderId="0" xfId="58" applyFont="1" applyFill="1"/>
    <xf numFmtId="0" fontId="3" fillId="0" borderId="0" xfId="58"/>
    <xf numFmtId="0" fontId="5" fillId="0" borderId="0" xfId="58" applyFont="1"/>
    <xf numFmtId="0" fontId="41" fillId="26" borderId="10" xfId="58" applyFont="1" applyFill="1" applyBorder="1"/>
    <xf numFmtId="0" fontId="41" fillId="26" borderId="11" xfId="58" applyFont="1" applyFill="1" applyBorder="1"/>
    <xf numFmtId="0" fontId="41" fillId="26" borderId="12" xfId="58" applyFont="1" applyFill="1" applyBorder="1"/>
    <xf numFmtId="0" fontId="41" fillId="26" borderId="13" xfId="58" applyFont="1" applyFill="1" applyBorder="1" applyAlignment="1">
      <alignment horizontal="center"/>
    </xf>
    <xf numFmtId="0" fontId="41" fillId="26" borderId="14" xfId="58" applyFont="1" applyFill="1" applyBorder="1" applyAlignment="1">
      <alignment horizontal="center"/>
    </xf>
    <xf numFmtId="0" fontId="41" fillId="26" borderId="14" xfId="58" applyFont="1" applyFill="1" applyBorder="1" applyAlignment="1">
      <alignment horizontal="center" wrapText="1"/>
    </xf>
    <xf numFmtId="0" fontId="41" fillId="26" borderId="15" xfId="58" applyFont="1" applyFill="1" applyBorder="1" applyAlignment="1">
      <alignment horizontal="center" wrapText="1"/>
    </xf>
    <xf numFmtId="164" fontId="45" fillId="0" borderId="0" xfId="58" applyNumberFormat="1" applyFont="1" applyAlignment="1">
      <alignment horizontal="left" vertical="center" readingOrder="1"/>
    </xf>
    <xf numFmtId="0" fontId="6" fillId="0" borderId="16" xfId="58" applyFont="1" applyBorder="1" applyAlignment="1">
      <alignment horizontal="center" vertical="center"/>
    </xf>
    <xf numFmtId="0" fontId="6" fillId="0" borderId="17" xfId="58" applyFont="1" applyBorder="1" applyAlignment="1">
      <alignment horizontal="center" vertical="center"/>
    </xf>
    <xf numFmtId="164" fontId="6" fillId="0" borderId="17" xfId="58" applyNumberFormat="1" applyFont="1" applyBorder="1" applyAlignment="1">
      <alignment vertical="center"/>
    </xf>
    <xf numFmtId="164" fontId="6" fillId="0" borderId="18" xfId="58" applyNumberFormat="1" applyFont="1" applyBorder="1" applyAlignment="1">
      <alignment vertical="center"/>
    </xf>
    <xf numFmtId="0" fontId="46" fillId="0" borderId="0" xfId="58" applyFont="1" applyAlignment="1">
      <alignment horizontal="left" vertical="center" readingOrder="1"/>
    </xf>
    <xf numFmtId="0" fontId="6" fillId="0" borderId="19" xfId="58" applyFont="1" applyBorder="1" applyAlignment="1">
      <alignment horizontal="center" vertical="center"/>
    </xf>
    <xf numFmtId="0" fontId="6" fillId="0" borderId="20" xfId="58" applyFont="1" applyBorder="1" applyAlignment="1">
      <alignment horizontal="center" vertical="center"/>
    </xf>
    <xf numFmtId="164" fontId="6" fillId="0" borderId="20" xfId="58" applyNumberFormat="1" applyFont="1" applyBorder="1" applyAlignment="1">
      <alignment vertical="center"/>
    </xf>
    <xf numFmtId="164" fontId="6" fillId="0" borderId="21" xfId="58" applyNumberFormat="1" applyFont="1" applyBorder="1" applyAlignment="1">
      <alignment vertical="center"/>
    </xf>
    <xf numFmtId="0" fontId="6" fillId="0" borderId="19" xfId="58" applyFont="1" applyFill="1" applyBorder="1" applyAlignment="1">
      <alignment horizontal="center" vertical="center"/>
    </xf>
    <xf numFmtId="0" fontId="6" fillId="0" borderId="20" xfId="58" applyFont="1" applyFill="1" applyBorder="1" applyAlignment="1">
      <alignment horizontal="center" vertical="center"/>
    </xf>
    <xf numFmtId="164" fontId="6" fillId="0" borderId="20" xfId="58" applyNumberFormat="1" applyFont="1" applyFill="1" applyBorder="1" applyAlignment="1">
      <alignment vertical="center"/>
    </xf>
    <xf numFmtId="164" fontId="6" fillId="0" borderId="21" xfId="58" applyNumberFormat="1" applyFont="1" applyFill="1" applyBorder="1" applyAlignment="1">
      <alignment vertical="center"/>
    </xf>
    <xf numFmtId="0" fontId="6" fillId="0" borderId="22" xfId="58" applyFont="1" applyFill="1" applyBorder="1" applyAlignment="1">
      <alignment horizontal="center" vertical="center"/>
    </xf>
    <xf numFmtId="0" fontId="6" fillId="0" borderId="23" xfId="58" applyFont="1" applyFill="1" applyBorder="1" applyAlignment="1">
      <alignment horizontal="center" vertical="center"/>
    </xf>
    <xf numFmtId="164" fontId="6" fillId="0" borderId="23" xfId="58" applyNumberFormat="1" applyFont="1" applyFill="1" applyBorder="1" applyAlignment="1">
      <alignment vertical="center"/>
    </xf>
    <xf numFmtId="164" fontId="6" fillId="0" borderId="24" xfId="58" applyNumberFormat="1" applyFont="1" applyFill="1" applyBorder="1" applyAlignment="1">
      <alignment vertical="center"/>
    </xf>
    <xf numFmtId="0" fontId="6" fillId="0" borderId="30" xfId="58" applyFont="1" applyFill="1" applyBorder="1" applyAlignment="1">
      <alignment horizontal="center" vertical="center"/>
    </xf>
    <xf numFmtId="164" fontId="6" fillId="0" borderId="31" xfId="58" applyNumberFormat="1" applyFont="1" applyFill="1" applyBorder="1" applyAlignment="1">
      <alignment vertical="center"/>
    </xf>
    <xf numFmtId="0" fontId="6" fillId="0" borderId="28" xfId="58" applyFont="1" applyFill="1" applyBorder="1" applyAlignment="1">
      <alignment horizontal="center" vertical="center"/>
    </xf>
    <xf numFmtId="0" fontId="6" fillId="0" borderId="23" xfId="58" applyFont="1" applyFill="1" applyBorder="1" applyAlignment="1">
      <alignment horizontal="center" vertical="center" wrapText="1"/>
    </xf>
    <xf numFmtId="164" fontId="6" fillId="0" borderId="29" xfId="58" applyNumberFormat="1" applyFont="1" applyFill="1" applyBorder="1" applyAlignment="1">
      <alignment vertical="center"/>
    </xf>
    <xf numFmtId="0" fontId="6" fillId="0" borderId="20" xfId="58" applyFont="1" applyFill="1" applyBorder="1" applyAlignment="1">
      <alignment horizontal="center" vertical="center" wrapText="1"/>
    </xf>
    <xf numFmtId="0" fontId="3" fillId="0" borderId="0" xfId="58" applyFill="1"/>
    <xf numFmtId="0" fontId="6" fillId="0" borderId="33" xfId="58" applyFont="1" applyFill="1" applyBorder="1" applyAlignment="1">
      <alignment horizontal="center" vertical="center"/>
    </xf>
    <xf numFmtId="0" fontId="6" fillId="0" borderId="45" xfId="58" applyFont="1" applyFill="1" applyBorder="1" applyAlignment="1">
      <alignment horizontal="center" vertical="center"/>
    </xf>
    <xf numFmtId="164" fontId="6" fillId="0" borderId="45" xfId="58" applyNumberFormat="1" applyFont="1" applyFill="1" applyBorder="1" applyAlignment="1">
      <alignment vertical="center"/>
    </xf>
    <xf numFmtId="164" fontId="6" fillId="0" borderId="34" xfId="58" applyNumberFormat="1" applyFont="1" applyFill="1" applyBorder="1" applyAlignment="1">
      <alignment vertical="center"/>
    </xf>
    <xf numFmtId="0" fontId="6" fillId="0" borderId="38" xfId="58" applyFont="1" applyFill="1" applyBorder="1" applyAlignment="1">
      <alignment horizontal="center" vertical="center"/>
    </xf>
    <xf numFmtId="0" fontId="6" fillId="0" borderId="39" xfId="58" applyFont="1" applyFill="1" applyBorder="1" applyAlignment="1">
      <alignment horizontal="center" vertical="center" wrapText="1"/>
    </xf>
    <xf numFmtId="164" fontId="6" fillId="0" borderId="39" xfId="58" applyNumberFormat="1" applyFont="1" applyFill="1" applyBorder="1" applyAlignment="1">
      <alignment vertical="center"/>
    </xf>
    <xf numFmtId="164" fontId="6" fillId="0" borderId="40" xfId="58" applyNumberFormat="1" applyFont="1" applyFill="1" applyBorder="1" applyAlignment="1">
      <alignment vertical="center"/>
    </xf>
    <xf numFmtId="0" fontId="6" fillId="0" borderId="64" xfId="58" applyFont="1" applyFill="1" applyBorder="1" applyAlignment="1">
      <alignment horizontal="center" vertical="center"/>
    </xf>
    <xf numFmtId="0" fontId="6" fillId="0" borderId="37" xfId="58" applyFont="1" applyFill="1" applyBorder="1" applyAlignment="1">
      <alignment horizontal="center" vertical="center" wrapText="1"/>
    </xf>
    <xf numFmtId="164" fontId="6" fillId="0" borderId="37" xfId="58" applyNumberFormat="1" applyFont="1" applyFill="1" applyBorder="1" applyAlignment="1">
      <alignment vertical="center"/>
    </xf>
    <xf numFmtId="164" fontId="6" fillId="0" borderId="67" xfId="58" applyNumberFormat="1" applyFont="1" applyFill="1" applyBorder="1" applyAlignment="1">
      <alignment vertical="center"/>
    </xf>
    <xf numFmtId="0" fontId="6" fillId="0" borderId="16" xfId="58" applyFont="1" applyFill="1" applyBorder="1" applyAlignment="1">
      <alignment horizontal="center" vertical="center"/>
    </xf>
    <xf numFmtId="0" fontId="6" fillId="0" borderId="45" xfId="58" applyFont="1" applyFill="1" applyBorder="1" applyAlignment="1">
      <alignment horizontal="center" vertical="center" wrapText="1"/>
    </xf>
    <xf numFmtId="164" fontId="6" fillId="0" borderId="18" xfId="58" applyNumberFormat="1" applyFont="1" applyFill="1" applyBorder="1" applyAlignment="1">
      <alignment vertical="center"/>
    </xf>
    <xf numFmtId="0" fontId="6" fillId="0" borderId="10" xfId="58" applyFont="1" applyFill="1" applyBorder="1" applyAlignment="1">
      <alignment horizontal="center" vertical="center"/>
    </xf>
    <xf numFmtId="0" fontId="6" fillId="0" borderId="17" xfId="58" applyFont="1" applyFill="1" applyBorder="1" applyAlignment="1">
      <alignment horizontal="center" vertical="center"/>
    </xf>
    <xf numFmtId="164" fontId="6" fillId="0" borderId="17" xfId="58" applyNumberFormat="1" applyFont="1" applyFill="1" applyBorder="1" applyAlignment="1">
      <alignment vertical="center"/>
    </xf>
    <xf numFmtId="164" fontId="6" fillId="0" borderId="41" xfId="58" applyNumberFormat="1" applyFont="1" applyFill="1" applyBorder="1" applyAlignment="1">
      <alignment vertical="center"/>
    </xf>
    <xf numFmtId="0" fontId="3" fillId="0" borderId="30" xfId="58" applyBorder="1" applyAlignment="1">
      <alignment horizontal="center" vertical="center"/>
    </xf>
    <xf numFmtId="0" fontId="38" fillId="0" borderId="20" xfId="58" applyFont="1" applyBorder="1" applyAlignment="1">
      <alignment vertical="center"/>
    </xf>
    <xf numFmtId="0" fontId="6" fillId="0" borderId="25" xfId="58" applyFont="1" applyBorder="1" applyAlignment="1">
      <alignment horizontal="center" vertical="center"/>
    </xf>
    <xf numFmtId="0" fontId="6" fillId="0" borderId="26" xfId="58" applyFont="1" applyBorder="1" applyAlignment="1">
      <alignment horizontal="center" vertical="center"/>
    </xf>
    <xf numFmtId="0" fontId="37" fillId="0" borderId="26" xfId="58" applyFont="1" applyBorder="1" applyAlignment="1">
      <alignment vertical="center"/>
    </xf>
    <xf numFmtId="43" fontId="3" fillId="0" borderId="0" xfId="58" applyNumberFormat="1"/>
    <xf numFmtId="0" fontId="57" fillId="0" borderId="0" xfId="0" applyFont="1"/>
    <xf numFmtId="0" fontId="3" fillId="0" borderId="18" xfId="0" applyFont="1" applyBorder="1" applyAlignment="1">
      <alignment horizontal="center" vertical="center" textRotation="90" wrapText="1"/>
    </xf>
    <xf numFmtId="165" fontId="0" fillId="34" borderId="0" xfId="28" applyNumberFormat="1" applyFont="1" applyFill="1"/>
    <xf numFmtId="165" fontId="36" fillId="34" borderId="0" xfId="28" applyNumberFormat="1" applyFont="1" applyFill="1"/>
    <xf numFmtId="165" fontId="0" fillId="0" borderId="0" xfId="28" applyNumberFormat="1" applyFont="1" applyFill="1"/>
    <xf numFmtId="165" fontId="36" fillId="0" borderId="0" xfId="28" applyNumberFormat="1" applyFont="1" applyFill="1"/>
    <xf numFmtId="0" fontId="32" fillId="0" borderId="0" xfId="0" applyFont="1"/>
    <xf numFmtId="165" fontId="32" fillId="0" borderId="0" xfId="28" applyNumberFormat="1" applyFont="1"/>
    <xf numFmtId="165" fontId="32" fillId="0" borderId="0" xfId="0" applyNumberFormat="1" applyFont="1"/>
    <xf numFmtId="0" fontId="58" fillId="0" borderId="0" xfId="0" applyFont="1"/>
    <xf numFmtId="0" fontId="32" fillId="28" borderId="0" xfId="0" applyFont="1" applyFill="1"/>
    <xf numFmtId="165" fontId="32" fillId="28" borderId="0" xfId="0" applyNumberFormat="1" applyFont="1" applyFill="1"/>
    <xf numFmtId="165" fontId="32" fillId="28" borderId="0" xfId="28" applyNumberFormat="1" applyFont="1" applyFill="1"/>
    <xf numFmtId="0" fontId="32" fillId="0" borderId="0" xfId="0" applyFont="1" applyAlignment="1">
      <alignment horizontal="center"/>
    </xf>
    <xf numFmtId="0" fontId="3" fillId="0" borderId="47" xfId="0" applyFont="1" applyBorder="1" applyAlignment="1">
      <alignment horizontal="center" vertical="center" textRotation="90"/>
    </xf>
    <xf numFmtId="44" fontId="0" fillId="0" borderId="0" xfId="0" applyNumberFormat="1"/>
    <xf numFmtId="0" fontId="3" fillId="0" borderId="0" xfId="0" applyFont="1" applyFill="1" applyBorder="1" applyAlignment="1">
      <alignment horizontal="center"/>
    </xf>
    <xf numFmtId="44" fontId="6" fillId="25" borderId="45" xfId="30" applyFont="1" applyFill="1" applyBorder="1" applyAlignment="1">
      <alignment vertical="center"/>
    </xf>
    <xf numFmtId="164" fontId="6" fillId="25" borderId="45" xfId="30" applyNumberFormat="1" applyFont="1" applyFill="1" applyBorder="1" applyAlignment="1">
      <alignment vertical="center"/>
    </xf>
    <xf numFmtId="0" fontId="37" fillId="0" borderId="45" xfId="0" applyFont="1" applyFill="1" applyBorder="1" applyAlignment="1">
      <alignment vertical="center"/>
    </xf>
    <xf numFmtId="164" fontId="6" fillId="0" borderId="18" xfId="30" applyNumberFormat="1" applyFont="1" applyFill="1" applyBorder="1" applyAlignment="1">
      <alignment vertical="center"/>
    </xf>
    <xf numFmtId="164" fontId="48" fillId="0" borderId="0" xfId="30" applyNumberFormat="1" applyFont="1" applyFill="1"/>
    <xf numFmtId="10" fontId="0" fillId="0" borderId="0" xfId="43" applyNumberFormat="1" applyFont="1"/>
    <xf numFmtId="167" fontId="0" fillId="0" borderId="0" xfId="43" applyNumberFormat="1" applyFont="1" applyFill="1"/>
    <xf numFmtId="172" fontId="0" fillId="0" borderId="0" xfId="43" applyNumberFormat="1" applyFont="1" applyFill="1"/>
    <xf numFmtId="165" fontId="48" fillId="26" borderId="0" xfId="28" applyNumberFormat="1" applyFont="1" applyFill="1"/>
    <xf numFmtId="0" fontId="6" fillId="0" borderId="38" xfId="0" applyFont="1" applyBorder="1" applyAlignment="1">
      <alignment horizontal="center" vertical="center"/>
    </xf>
    <xf numFmtId="0" fontId="6" fillId="0" borderId="81" xfId="0" applyFont="1" applyFill="1" applyBorder="1" applyAlignment="1">
      <alignment horizontal="center" vertical="center"/>
    </xf>
    <xf numFmtId="0" fontId="0" fillId="25" borderId="0" xfId="0" applyFill="1"/>
    <xf numFmtId="167" fontId="3" fillId="25" borderId="0" xfId="43" applyNumberFormat="1" applyFont="1" applyFill="1"/>
    <xf numFmtId="0" fontId="6" fillId="25" borderId="19" xfId="0" applyFont="1" applyFill="1" applyBorder="1" applyAlignment="1">
      <alignment horizontal="center" vertical="center"/>
    </xf>
    <xf numFmtId="0" fontId="6" fillId="25" borderId="20" xfId="0" applyFont="1" applyFill="1" applyBorder="1" applyAlignment="1">
      <alignment horizontal="center" vertical="center" wrapText="1"/>
    </xf>
    <xf numFmtId="44" fontId="9" fillId="25" borderId="20" xfId="30" applyFont="1" applyFill="1" applyBorder="1" applyAlignment="1">
      <alignment vertical="center"/>
    </xf>
    <xf numFmtId="164" fontId="9" fillId="25" borderId="20" xfId="30" applyNumberFormat="1" applyFont="1" applyFill="1" applyBorder="1" applyAlignment="1">
      <alignment vertical="center"/>
    </xf>
    <xf numFmtId="164" fontId="6" fillId="25" borderId="20" xfId="0" applyNumberFormat="1" applyFont="1" applyFill="1" applyBorder="1" applyAlignment="1">
      <alignment vertical="center"/>
    </xf>
    <xf numFmtId="164" fontId="6" fillId="25" borderId="21" xfId="0" applyNumberFormat="1" applyFont="1" applyFill="1" applyBorder="1" applyAlignment="1">
      <alignment vertical="center"/>
    </xf>
    <xf numFmtId="0" fontId="6" fillId="25" borderId="45" xfId="0" applyFont="1" applyFill="1" applyBorder="1" applyAlignment="1">
      <alignment horizontal="center" vertical="center" wrapText="1"/>
    </xf>
    <xf numFmtId="44" fontId="9" fillId="25" borderId="45" xfId="30" applyFont="1" applyFill="1" applyBorder="1" applyAlignment="1">
      <alignment vertical="center"/>
    </xf>
    <xf numFmtId="164" fontId="9" fillId="25" borderId="45" xfId="30" applyNumberFormat="1" applyFont="1" applyFill="1" applyBorder="1" applyAlignment="1">
      <alignment vertical="center"/>
    </xf>
    <xf numFmtId="164" fontId="6" fillId="25" borderId="45" xfId="0" applyNumberFormat="1" applyFont="1" applyFill="1" applyBorder="1" applyAlignment="1">
      <alignment vertical="center"/>
    </xf>
    <xf numFmtId="164" fontId="6" fillId="25" borderId="18" xfId="0" applyNumberFormat="1" applyFont="1" applyFill="1" applyBorder="1" applyAlignment="1">
      <alignment vertical="center"/>
    </xf>
    <xf numFmtId="0" fontId="6" fillId="25" borderId="17" xfId="0" applyFont="1" applyFill="1" applyBorder="1" applyAlignment="1">
      <alignment horizontal="center" vertical="center"/>
    </xf>
    <xf numFmtId="0" fontId="6" fillId="25" borderId="20" xfId="0" applyFont="1" applyFill="1" applyBorder="1" applyAlignment="1">
      <alignment horizontal="center" vertical="center"/>
    </xf>
    <xf numFmtId="0" fontId="3" fillId="25" borderId="20" xfId="0" applyFont="1" applyFill="1" applyBorder="1" applyAlignment="1">
      <alignment vertical="center"/>
    </xf>
    <xf numFmtId="0" fontId="6" fillId="25" borderId="26" xfId="0" applyFont="1" applyFill="1" applyBorder="1" applyAlignment="1">
      <alignment horizontal="center" vertical="center"/>
    </xf>
    <xf numFmtId="0" fontId="6" fillId="25" borderId="26" xfId="0" applyFont="1" applyFill="1" applyBorder="1" applyAlignment="1">
      <alignment vertical="center"/>
    </xf>
    <xf numFmtId="44" fontId="6" fillId="25" borderId="20" xfId="0" applyNumberFormat="1" applyFont="1" applyFill="1" applyBorder="1" applyAlignment="1">
      <alignment vertical="center"/>
    </xf>
    <xf numFmtId="165" fontId="36" fillId="25" borderId="0" xfId="28" applyNumberFormat="1" applyFont="1" applyFill="1"/>
    <xf numFmtId="165" fontId="0" fillId="0" borderId="55" xfId="28" applyNumberFormat="1" applyFont="1" applyBorder="1" applyAlignment="1">
      <alignment horizontal="center" vertical="center"/>
    </xf>
    <xf numFmtId="165" fontId="0" fillId="0" borderId="74" xfId="28" applyNumberFormat="1" applyFont="1" applyBorder="1" applyAlignment="1">
      <alignment horizontal="center" vertical="center"/>
    </xf>
    <xf numFmtId="165" fontId="0" fillId="0" borderId="75" xfId="28" applyNumberFormat="1" applyFont="1" applyBorder="1" applyAlignment="1">
      <alignment horizontal="center" vertical="center"/>
    </xf>
    <xf numFmtId="165" fontId="0" fillId="24" borderId="55" xfId="28" applyNumberFormat="1" applyFont="1" applyFill="1" applyBorder="1" applyAlignment="1">
      <alignment horizontal="center" vertical="center"/>
    </xf>
    <xf numFmtId="165" fontId="0" fillId="24" borderId="74" xfId="28" applyNumberFormat="1" applyFont="1" applyFill="1" applyBorder="1" applyAlignment="1">
      <alignment horizontal="center" vertical="center"/>
    </xf>
    <xf numFmtId="165" fontId="0" fillId="24" borderId="75" xfId="28" applyNumberFormat="1" applyFont="1" applyFill="1" applyBorder="1" applyAlignment="1">
      <alignment horizontal="center" vertical="center"/>
    </xf>
    <xf numFmtId="165" fontId="0" fillId="24" borderId="57" xfId="28" applyNumberFormat="1" applyFont="1" applyFill="1" applyBorder="1" applyAlignment="1">
      <alignment horizontal="center" vertical="center"/>
    </xf>
    <xf numFmtId="165" fontId="0" fillId="24" borderId="76" xfId="28" applyNumberFormat="1" applyFont="1" applyFill="1" applyBorder="1" applyAlignment="1">
      <alignment horizontal="center" vertical="center"/>
    </xf>
    <xf numFmtId="165" fontId="0" fillId="24" borderId="77" xfId="28" applyNumberFormat="1" applyFont="1" applyFill="1" applyBorder="1" applyAlignment="1">
      <alignment horizontal="center" vertical="center"/>
    </xf>
    <xf numFmtId="0" fontId="5" fillId="0" borderId="15" xfId="0" applyFont="1" applyBorder="1" applyAlignment="1">
      <alignment horizontal="left" wrapText="1"/>
    </xf>
    <xf numFmtId="0" fontId="0" fillId="0" borderId="46" xfId="0" applyBorder="1" applyAlignment="1">
      <alignment horizontal="center" vertical="center" textRotation="90" wrapText="1"/>
    </xf>
    <xf numFmtId="0" fontId="0" fillId="0" borderId="18" xfId="0" applyBorder="1" applyAlignment="1">
      <alignment horizontal="center" vertical="center" textRotation="90" wrapText="1"/>
    </xf>
    <xf numFmtId="0" fontId="0" fillId="0" borderId="47" xfId="0" applyBorder="1" applyAlignment="1">
      <alignment horizontal="center" vertical="center" textRotation="90" wrapText="1"/>
    </xf>
    <xf numFmtId="0" fontId="41" fillId="26" borderId="48" xfId="0" applyFont="1" applyFill="1" applyBorder="1" applyAlignment="1">
      <alignment horizontal="center"/>
    </xf>
    <xf numFmtId="0" fontId="41" fillId="26" borderId="49" xfId="0" applyFont="1" applyFill="1" applyBorder="1" applyAlignment="1">
      <alignment horizontal="center"/>
    </xf>
    <xf numFmtId="0" fontId="3" fillId="0" borderId="46" xfId="0" applyFont="1" applyBorder="1" applyAlignment="1">
      <alignment horizontal="center" vertical="center" textRotation="90"/>
    </xf>
    <xf numFmtId="0" fontId="3" fillId="0" borderId="18" xfId="0" applyFont="1" applyBorder="1" applyAlignment="1">
      <alignment horizontal="center" vertical="center" textRotation="90"/>
    </xf>
    <xf numFmtId="0" fontId="3" fillId="0" borderId="70" xfId="0" applyFont="1" applyBorder="1" applyAlignment="1">
      <alignment horizontal="center" vertical="center" textRotation="90"/>
    </xf>
    <xf numFmtId="0" fontId="0" fillId="0" borderId="18" xfId="0" applyBorder="1" applyAlignment="1">
      <alignment horizontal="center" vertical="center" textRotation="90"/>
    </xf>
    <xf numFmtId="0" fontId="0" fillId="0" borderId="47" xfId="0" applyBorder="1" applyAlignment="1">
      <alignment horizontal="center" vertical="center" textRotation="90"/>
    </xf>
    <xf numFmtId="0" fontId="28" fillId="0" borderId="46" xfId="0" applyFont="1" applyBorder="1" applyAlignment="1">
      <alignment horizontal="center" vertical="center" textRotation="90" wrapText="1"/>
    </xf>
    <xf numFmtId="0" fontId="28" fillId="0" borderId="18" xfId="0" applyFont="1" applyBorder="1" applyAlignment="1">
      <alignment horizontal="center" vertical="center" textRotation="90" wrapText="1"/>
    </xf>
    <xf numFmtId="0" fontId="28" fillId="0" borderId="47" xfId="0" applyFont="1" applyBorder="1" applyAlignment="1">
      <alignment horizontal="center" vertical="center" textRotation="90" wrapText="1"/>
    </xf>
    <xf numFmtId="0" fontId="28" fillId="0" borderId="46" xfId="0" applyFont="1" applyBorder="1" applyAlignment="1">
      <alignment horizontal="center" vertical="center" textRotation="90"/>
    </xf>
    <xf numFmtId="0" fontId="28" fillId="0" borderId="18" xfId="0" applyFont="1" applyBorder="1" applyAlignment="1">
      <alignment horizontal="center" vertical="center" textRotation="90"/>
    </xf>
    <xf numFmtId="0" fontId="3" fillId="0" borderId="46" xfId="0" applyFont="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47" xfId="0" applyFont="1" applyBorder="1" applyAlignment="1">
      <alignment horizontal="center" vertical="center" textRotation="90" wrapText="1"/>
    </xf>
    <xf numFmtId="0" fontId="41" fillId="26" borderId="48" xfId="58" applyFont="1" applyFill="1" applyBorder="1" applyAlignment="1">
      <alignment horizontal="center"/>
    </xf>
    <xf numFmtId="0" fontId="41" fillId="26" borderId="49" xfId="58" applyFont="1" applyFill="1" applyBorder="1" applyAlignment="1">
      <alignment horizontal="center"/>
    </xf>
    <xf numFmtId="0" fontId="3" fillId="0" borderId="46" xfId="58" applyFont="1" applyBorder="1" applyAlignment="1">
      <alignment horizontal="center" vertical="center" textRotation="90"/>
    </xf>
    <xf numFmtId="0" fontId="3" fillId="0" borderId="18" xfId="58" applyFont="1" applyBorder="1" applyAlignment="1">
      <alignment horizontal="center" vertical="center" textRotation="90"/>
    </xf>
    <xf numFmtId="0" fontId="3" fillId="0" borderId="47" xfId="58" applyFont="1" applyBorder="1" applyAlignment="1">
      <alignment horizontal="center" vertical="center" textRotation="90"/>
    </xf>
    <xf numFmtId="0" fontId="3" fillId="0" borderId="46" xfId="58" applyFont="1" applyBorder="1" applyAlignment="1">
      <alignment horizontal="center" vertical="center" textRotation="90" wrapText="1"/>
    </xf>
    <xf numFmtId="0" fontId="3" fillId="0" borderId="18" xfId="58" applyFont="1" applyBorder="1" applyAlignment="1">
      <alignment horizontal="center" vertical="center" textRotation="90" wrapText="1"/>
    </xf>
    <xf numFmtId="0" fontId="3" fillId="0" borderId="47" xfId="58" applyFont="1" applyBorder="1" applyAlignment="1">
      <alignment horizontal="center" vertical="center" textRotation="90" wrapText="1"/>
    </xf>
    <xf numFmtId="0" fontId="41" fillId="26" borderId="12" xfId="0" applyFont="1" applyFill="1" applyBorder="1" applyAlignment="1">
      <alignment horizontal="center"/>
    </xf>
    <xf numFmtId="0" fontId="41" fillId="26" borderId="50" xfId="0" applyFont="1" applyFill="1" applyBorder="1" applyAlignment="1">
      <alignment horizontal="center"/>
    </xf>
    <xf numFmtId="0" fontId="5" fillId="0" borderId="0" xfId="0" applyFont="1" applyBorder="1" applyAlignment="1">
      <alignment horizontal="center" wrapText="1"/>
    </xf>
  </cellXfs>
  <cellStyles count="104">
    <cellStyle name="1indent" xfId="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enter" xfId="77"/>
    <cellStyle name="Center 2" xfId="78"/>
    <cellStyle name="Check Cell" xfId="27" builtinId="23" customBuiltin="1"/>
    <cellStyle name="Comma" xfId="28" builtinId="3"/>
    <cellStyle name="Comma 2" xfId="29"/>
    <cellStyle name="Comma 2 2" xfId="74"/>
    <cellStyle name="Comma 3" xfId="49"/>
    <cellStyle name="Comma 3 2" xfId="51"/>
    <cellStyle name="Comma 3 3" xfId="52"/>
    <cellStyle name="Comma 4" xfId="53"/>
    <cellStyle name="Comma 5" xfId="54"/>
    <cellStyle name="Comma 6" xfId="103"/>
    <cellStyle name="Currency" xfId="30" builtinId="4"/>
    <cellStyle name="Currency 2" xfId="50"/>
    <cellStyle name="Currency 2 2" xfId="79"/>
    <cellStyle name="Currency 3" xfId="80"/>
    <cellStyle name="Explanatory Text" xfId="31" builtinId="53" customBuiltin="1"/>
    <cellStyle name="F2" xfId="81"/>
    <cellStyle name="F3" xfId="82"/>
    <cellStyle name="F4" xfId="83"/>
    <cellStyle name="F5" xfId="84"/>
    <cellStyle name="F6" xfId="85"/>
    <cellStyle name="F7" xfId="86"/>
    <cellStyle name="F8" xfId="87"/>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dent-1" xfId="88"/>
    <cellStyle name="Indent-2" xfId="89"/>
    <cellStyle name="indent-3" xfId="90"/>
    <cellStyle name="indent-4" xfId="91"/>
    <cellStyle name="indent-5" xfId="92"/>
    <cellStyle name="Input" xfId="37" builtinId="20" customBuiltin="1"/>
    <cellStyle name="Linked Cell" xfId="38" builtinId="24" customBuiltin="1"/>
    <cellStyle name="Neutral" xfId="39" builtinId="28" customBuiltin="1"/>
    <cellStyle name="Normal" xfId="0" builtinId="0"/>
    <cellStyle name="Normal 10" xfId="73"/>
    <cellStyle name="Normal 2" xfId="40"/>
    <cellStyle name="Normal 2 2" xfId="55"/>
    <cellStyle name="Normal 2 2 2" xfId="56"/>
    <cellStyle name="Normal 2 2 3" xfId="57"/>
    <cellStyle name="Normal 2 2 4" xfId="94"/>
    <cellStyle name="Normal 2 3" xfId="58"/>
    <cellStyle name="Normal 2 4" xfId="93"/>
    <cellStyle name="Normal 3" xfId="47"/>
    <cellStyle name="Normal 3 2" xfId="59"/>
    <cellStyle name="Normal 3 3" xfId="60"/>
    <cellStyle name="Normal 4" xfId="48"/>
    <cellStyle name="Normal 4 2" xfId="61"/>
    <cellStyle name="Normal 4 3" xfId="62"/>
    <cellStyle name="Normal 5" xfId="63"/>
    <cellStyle name="Normal 5 2" xfId="64"/>
    <cellStyle name="Normal 5 3" xfId="65"/>
    <cellStyle name="Normal 5 4" xfId="95"/>
    <cellStyle name="Normal 6" xfId="66"/>
    <cellStyle name="Normal 6 2" xfId="75"/>
    <cellStyle name="Normal 7" xfId="67"/>
    <cellStyle name="Normal 7 2" xfId="96"/>
    <cellStyle name="Normal 8" xfId="68"/>
    <cellStyle name="Normal 8 2" xfId="97"/>
    <cellStyle name="Normal 9" xfId="98"/>
    <cellStyle name="Note" xfId="41" builtinId="10" customBuiltin="1"/>
    <cellStyle name="Output" xfId="42" builtinId="21" customBuiltin="1"/>
    <cellStyle name="Percent" xfId="43" builtinId="5"/>
    <cellStyle name="Percent 2" xfId="69"/>
    <cellStyle name="Percent 2 2" xfId="70"/>
    <cellStyle name="Percent 2 3" xfId="71"/>
    <cellStyle name="Percent 2 4" xfId="99"/>
    <cellStyle name="Percent 3" xfId="72"/>
    <cellStyle name="Percent 3 2" xfId="100"/>
    <cellStyle name="Percent 4" xfId="101"/>
    <cellStyle name="Right" xfId="102"/>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3A75C4"/>
      <color rgb="FF99CCFF"/>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0</xdr:col>
      <xdr:colOff>99060</xdr:colOff>
      <xdr:row>3</xdr:row>
      <xdr:rowOff>60959</xdr:rowOff>
    </xdr:from>
    <xdr:to>
      <xdr:col>9</xdr:col>
      <xdr:colOff>510540</xdr:colOff>
      <xdr:row>44</xdr:row>
      <xdr:rowOff>15240</xdr:rowOff>
    </xdr:to>
    <xdr:sp macro="" textlink="">
      <xdr:nvSpPr>
        <xdr:cNvPr id="3" name="TextBox 2"/>
        <xdr:cNvSpPr txBox="1"/>
      </xdr:nvSpPr>
      <xdr:spPr>
        <a:xfrm>
          <a:off x="99060" y="563879"/>
          <a:ext cx="5897880" cy="68275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Summary of July 2016 update to Oklahoma</a:t>
          </a:r>
          <a:r>
            <a:rPr lang="en-US" sz="1100" b="1" baseline="0"/>
            <a:t> SoonerCare Budget Neutrality </a:t>
          </a:r>
        </a:p>
        <a:p>
          <a:endParaRPr lang="en-US" sz="1100" b="0" baseline="0">
            <a:solidFill>
              <a:schemeClr val="dk1"/>
            </a:solidFill>
            <a:effectLst/>
            <a:latin typeface="+mn-lt"/>
            <a:ea typeface="+mn-ea"/>
            <a:cs typeface="+mn-cs"/>
          </a:endParaRPr>
        </a:p>
        <a:p>
          <a:r>
            <a:rPr lang="en-US" sz="1100" b="0" u="sng" baseline="0">
              <a:solidFill>
                <a:schemeClr val="dk1"/>
              </a:solidFill>
              <a:effectLst/>
              <a:latin typeface="+mn-lt"/>
              <a:ea typeface="+mn-ea"/>
              <a:cs typeface="+mn-cs"/>
            </a:rPr>
            <a:t>Sponsor's Choice MEG</a:t>
          </a:r>
        </a:p>
        <a:p>
          <a:endParaRPr lang="en-US" sz="1100" b="0" u="sng"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The SoonerCare budget neutrality submission has been updated to include the Insure OK Sponsor's Choice Insurance (SCI) MEG.  A new MEG tab has been added as Exhibit 16. The subsequent tabs have been renumbered accordingly (former Exhibit 16 is now Exhibit 17, former Exhibit 17 is now Exhibit 18, etc.). </a:t>
          </a:r>
        </a:p>
        <a:p>
          <a:endParaRPr lang="en-US">
            <a:effectLst/>
          </a:endParaRPr>
        </a:p>
        <a:p>
          <a:r>
            <a:rPr lang="en-US" sz="1100" b="0" baseline="0">
              <a:solidFill>
                <a:schemeClr val="dk1"/>
              </a:solidFill>
              <a:effectLst/>
              <a:latin typeface="+mn-lt"/>
              <a:ea typeface="+mn-ea"/>
              <a:cs typeface="+mn-cs"/>
            </a:rPr>
            <a:t>The SCI enrollment projection assumes 10,000 members will join by December 2017 and 50,000 by December 2018. The 50,000 figure is the OHCA's estimate of the total number eligible to enroll. The model assumes enrollment will begin in January 2017 with 833 members and will increase by 833 members per month, through December 2017. Enrollment in 2018 will increase by 3,333 members per month, reaching 50,000 in December 2018. </a:t>
          </a:r>
        </a:p>
        <a:p>
          <a:endParaRPr lang="en-US">
            <a:effectLst/>
          </a:endParaRPr>
        </a:p>
        <a:p>
          <a:r>
            <a:rPr lang="en-US" sz="1100" b="0" baseline="0">
              <a:solidFill>
                <a:schemeClr val="dk1"/>
              </a:solidFill>
              <a:effectLst/>
              <a:latin typeface="+mn-lt"/>
              <a:ea typeface="+mn-ea"/>
              <a:cs typeface="+mn-cs"/>
            </a:rPr>
            <a:t>The PMPM value for the SCI MEG has been set equal to the PMPM rate for the closest equivalent MEG, IOK Non-Disabled Working Adults and Spouses covered through Employer-Sponsored Insurance (NDWA-ESI). </a:t>
          </a:r>
        </a:p>
        <a:p>
          <a:endParaRPr lang="en-US">
            <a:effectLst/>
          </a:endParaRPr>
        </a:p>
        <a:p>
          <a:r>
            <a:rPr lang="en-US" sz="1100" b="0" baseline="0">
              <a:solidFill>
                <a:schemeClr val="dk1"/>
              </a:solidFill>
              <a:effectLst/>
              <a:latin typeface="+mn-lt"/>
              <a:ea typeface="+mn-ea"/>
              <a:cs typeface="+mn-cs"/>
            </a:rPr>
            <a:t>Costs associated with the new MEG have been incorporated into the aggregate expenditure exhibit as an offset to waiver savings. </a:t>
          </a:r>
          <a:endParaRPr lang="en-US">
            <a:effectLst/>
          </a:endParaRPr>
        </a:p>
        <a:p>
          <a:endParaRPr lang="en-US" sz="1100" b="0" baseline="0">
            <a:solidFill>
              <a:schemeClr val="dk1"/>
            </a:solidFill>
            <a:effectLst/>
            <a:latin typeface="+mn-lt"/>
            <a:ea typeface="+mn-ea"/>
            <a:cs typeface="+mn-cs"/>
          </a:endParaRPr>
        </a:p>
        <a:p>
          <a:r>
            <a:rPr lang="en-US" sz="1100" b="0" u="sng" baseline="0">
              <a:solidFill>
                <a:schemeClr val="dk1"/>
              </a:solidFill>
              <a:effectLst/>
              <a:latin typeface="+mn-lt"/>
              <a:ea typeface="+mn-ea"/>
              <a:cs typeface="+mn-cs"/>
            </a:rPr>
            <a:t>Provider Rate Reduction</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The SoonerCare budget neutrality forecast has been updated to account for the projected impact of a three percent across-the-board reduction in provider payment rates that took effect on January 1, 2016. The rate reduction applies to traditional Medicaid MEGs only; Insure OK, HAN and HMP MEGs are not affected. </a:t>
          </a:r>
        </a:p>
        <a:p>
          <a:endParaRPr lang="en-US">
            <a:effectLst/>
          </a:endParaRPr>
        </a:p>
        <a:p>
          <a:r>
            <a:rPr lang="en-US" sz="1100" b="0" baseline="0">
              <a:solidFill>
                <a:schemeClr val="dk1"/>
              </a:solidFill>
              <a:effectLst/>
              <a:latin typeface="+mn-lt"/>
              <a:ea typeface="+mn-ea"/>
              <a:cs typeface="+mn-cs"/>
            </a:rPr>
            <a:t>The rate reduction calculations can be found in Exhibits 3 (TANF-U), 4 (TANF-R), 5 (ABD-U), 6 (ABD-R) and 11 (TEFRA). The reductions also affect the summary budget neutrality forecast shown in Exhibit 24 (All).  </a:t>
          </a:r>
        </a:p>
        <a:p>
          <a:endParaRPr lang="en-US" sz="1100" b="0" baseline="0">
            <a:solidFill>
              <a:schemeClr val="dk1"/>
            </a:solidFill>
            <a:effectLst/>
            <a:latin typeface="+mn-lt"/>
            <a:ea typeface="+mn-ea"/>
            <a:cs typeface="+mn-cs"/>
          </a:endParaRPr>
        </a:p>
        <a:p>
          <a:r>
            <a:rPr lang="en-US" sz="1100" b="0" u="sng" baseline="0">
              <a:solidFill>
                <a:schemeClr val="dk1"/>
              </a:solidFill>
              <a:effectLst/>
              <a:latin typeface="+mn-lt"/>
              <a:ea typeface="+mn-ea"/>
              <a:cs typeface="+mn-cs"/>
            </a:rPr>
            <a:t>Completion of CY 2015 Data</a:t>
          </a:r>
        </a:p>
        <a:p>
          <a:endParaRPr lang="en-US"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DY20 (CY 2015) member months and expenditures have been updated on all applicable exhibits to include a full year of historical data (previous iteration was annualized based on nine months of data). </a:t>
          </a:r>
          <a:endParaRPr lang="en-US">
            <a:effectLst/>
          </a:endParaRPr>
        </a:p>
        <a:p>
          <a:endParaRPr lang="en-US">
            <a:effectLst/>
          </a:endParaRPr>
        </a:p>
        <a:p>
          <a:endParaRPr lang="en-US" sz="1100" b="0" baseline="0"/>
        </a:p>
        <a:p>
          <a:endParaRPr lang="en-US" sz="1100" b="0" baseline="0"/>
        </a:p>
        <a:p>
          <a:endParaRPr lang="en-US" sz="1100" b="0" baseline="0"/>
        </a:p>
        <a:p>
          <a:endParaRPr lang="en-US" sz="1100" b="0" baseline="0"/>
        </a:p>
        <a:p>
          <a:r>
            <a:rPr lang="en-US" sz="1100" b="0" baseline="0"/>
            <a:t> </a:t>
          </a:r>
          <a:endParaRPr lang="en-US" sz="1100" b="0" baseline="0">
            <a:solidFill>
              <a:srgbClr val="FF0000"/>
            </a:solidFill>
          </a:endParaRPr>
        </a:p>
        <a:p>
          <a:r>
            <a:rPr lang="en-US" sz="1100" b="0" baseline="0"/>
            <a:t> </a:t>
          </a:r>
          <a:r>
            <a:rPr lang="en-US" sz="1100" b="0" u="none" baseline="0">
              <a:solidFill>
                <a:sysClr val="windowText" lastClr="000000"/>
              </a:solidFill>
            </a:rPr>
            <a:t> </a:t>
          </a:r>
          <a:endParaRPr lang="en-US" sz="1100" b="0" i="1" u="none" baseline="0">
            <a:solidFill>
              <a:srgbClr val="FF0000"/>
            </a:solidFill>
          </a:endParaRPr>
        </a:p>
        <a:p>
          <a:endParaRPr lang="en-US" sz="1100" b="0" i="1" u="none" baseline="0">
            <a:solidFill>
              <a:srgbClr val="FF0000"/>
            </a:solidFill>
          </a:endParaRPr>
        </a:p>
        <a:p>
          <a:r>
            <a:rPr lang="en-US" sz="1100" b="0" i="1" u="none" baseline="0">
              <a:solidFill>
                <a:srgbClr val="FF0000"/>
              </a:solidFill>
            </a:rPr>
            <a:t> </a:t>
          </a:r>
          <a:endParaRPr lang="en-US" sz="1100" b="0" i="1" u="none" baseline="0"/>
        </a:p>
        <a:p>
          <a:r>
            <a:rPr lang="en-US" sz="1100" b="0" u="none" baseline="0"/>
            <a:t> </a:t>
          </a:r>
          <a:endParaRPr lang="en-US" sz="11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335280</xdr:colOff>
      <xdr:row>28</xdr:row>
      <xdr:rowOff>74295</xdr:rowOff>
    </xdr:from>
    <xdr:to>
      <xdr:col>7</xdr:col>
      <xdr:colOff>655320</xdr:colOff>
      <xdr:row>29</xdr:row>
      <xdr:rowOff>312420</xdr:rowOff>
    </xdr:to>
    <xdr:sp macro="" textlink="">
      <xdr:nvSpPr>
        <xdr:cNvPr id="4" name="Text Box 2"/>
        <xdr:cNvSpPr txBox="1">
          <a:spLocks noChangeArrowheads="1"/>
        </xdr:cNvSpPr>
      </xdr:nvSpPr>
      <xdr:spPr bwMode="auto">
        <a:xfrm>
          <a:off x="4459605" y="6846570"/>
          <a:ext cx="2282190"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10 for ESI 2014 and later</a:t>
          </a:r>
        </a:p>
        <a:p>
          <a:pPr algn="ctr" rtl="0">
            <a:defRPr sz="1000"/>
          </a:pPr>
          <a:r>
            <a:rPr lang="en-US" sz="1000" b="1" i="1" u="none" strike="noStrike" baseline="0">
              <a:solidFill>
                <a:srgbClr val="000000"/>
              </a:solidFill>
              <a:latin typeface="Arial"/>
              <a:cs typeface="Arial"/>
            </a:rPr>
            <a:t>See Exhibit 18 for IP 2014 and later</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822960</xdr:colOff>
      <xdr:row>2</xdr:row>
      <xdr:rowOff>15241</xdr:rowOff>
    </xdr:from>
    <xdr:to>
      <xdr:col>11</xdr:col>
      <xdr:colOff>800100</xdr:colOff>
      <xdr:row>4</xdr:row>
      <xdr:rowOff>91440</xdr:rowOff>
    </xdr:to>
    <xdr:sp macro="" textlink="">
      <xdr:nvSpPr>
        <xdr:cNvPr id="5" name="Text Box 5"/>
        <xdr:cNvSpPr txBox="1">
          <a:spLocks noChangeArrowheads="1"/>
        </xdr:cNvSpPr>
      </xdr:nvSpPr>
      <xdr:spPr bwMode="auto">
        <a:xfrm>
          <a:off x="8039100" y="403861"/>
          <a:ext cx="3611880" cy="51815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 </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929640</xdr:colOff>
      <xdr:row>2</xdr:row>
      <xdr:rowOff>38100</xdr:rowOff>
    </xdr:from>
    <xdr:to>
      <xdr:col>14</xdr:col>
      <xdr:colOff>327660</xdr:colOff>
      <xdr:row>5</xdr:row>
      <xdr:rowOff>114300</xdr:rowOff>
    </xdr:to>
    <xdr:sp macro="" textlink="">
      <xdr:nvSpPr>
        <xdr:cNvPr id="3" name="Text Box 5"/>
        <xdr:cNvSpPr txBox="1">
          <a:spLocks noChangeArrowheads="1"/>
        </xdr:cNvSpPr>
      </xdr:nvSpPr>
      <xdr:spPr bwMode="auto">
        <a:xfrm>
          <a:off x="8145780" y="426720"/>
          <a:ext cx="4861560" cy="7391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endParaRPr lang="en-US" sz="900" b="0" i="0" u="none" strike="noStrike" baseline="0">
            <a:solidFill>
              <a:sysClr val="windowText" lastClr="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0" i="0" baseline="0">
              <a:solidFill>
                <a:sysClr val="windowText" lastClr="000000"/>
              </a:solidFill>
              <a:effectLst/>
              <a:latin typeface="Arial" panose="020B0604020202020204" pitchFamily="34" charset="0"/>
              <a:ea typeface="+mn-ea"/>
              <a:cs typeface="Arial" panose="020B0604020202020204" pitchFamily="34" charset="0"/>
            </a:rPr>
            <a:t>- Historical WDA enrollment has been exclusively in the IP MEG; cumulative saving/deficit amounts therefore are depicted in the WDA IP MEG</a:t>
          </a:r>
          <a:endParaRPr lang="en-US" sz="900">
            <a:solidFill>
              <a:sysClr val="windowText" lastClr="000000"/>
            </a:solidFill>
            <a:effectLst/>
            <a:latin typeface="Arial" panose="020B0604020202020204" pitchFamily="34" charset="0"/>
            <a:cs typeface="Arial" panose="020B0604020202020204" pitchFamily="34" charset="0"/>
          </a:endParaRPr>
        </a:p>
        <a:p>
          <a:pPr algn="l" rtl="0">
            <a:defRPr sz="1000"/>
          </a:pPr>
          <a:r>
            <a:rPr lang="en-US" sz="900" b="0" i="0" u="none" strike="noStrike" baseline="0">
              <a:solidFill>
                <a:sysClr val="windowText" lastClr="000000"/>
              </a:solidFill>
              <a:latin typeface="Arial" panose="020B0604020202020204" pitchFamily="34" charset="0"/>
              <a:cs typeface="Arial" panose="020B0604020202020204" pitchFamily="34" charset="0"/>
            </a:rPr>
            <a:t>- The OHCA continues to project no enrollment in this MEG for 2016 - 2018 and has requested that it be removed (continuing to show pending CMS approval)</a:t>
          </a:r>
        </a:p>
        <a:p>
          <a:pPr algn="l" rtl="0">
            <a:defRPr sz="1000"/>
          </a:pPr>
          <a:endParaRPr lang="en-US" sz="900" b="0" i="0" u="none" strike="noStrike" baseline="0">
            <a:solidFill>
              <a:sysClr val="windowText" lastClr="000000"/>
            </a:solidFill>
            <a:latin typeface="Arial"/>
            <a:cs typeface="Arial"/>
          </a:endParaRPr>
        </a:p>
        <a:p>
          <a:pPr algn="l" rtl="0">
            <a:defRPr sz="1000"/>
          </a:pPr>
          <a:r>
            <a:rPr lang="en-US" sz="900" b="0" i="0" u="none" strike="noStrike" baseline="0">
              <a:solidFill>
                <a:sysClr val="windowText" lastClr="000000"/>
              </a:solidFill>
              <a:latin typeface="Arial"/>
              <a:cs typeface="Arial"/>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929640</xdr:colOff>
      <xdr:row>1</xdr:row>
      <xdr:rowOff>99061</xdr:rowOff>
    </xdr:from>
    <xdr:to>
      <xdr:col>14</xdr:col>
      <xdr:colOff>7620</xdr:colOff>
      <xdr:row>4</xdr:row>
      <xdr:rowOff>114300</xdr:rowOff>
    </xdr:to>
    <xdr:sp macro="" textlink="">
      <xdr:nvSpPr>
        <xdr:cNvPr id="3" name="Text Box 5"/>
        <xdr:cNvSpPr txBox="1">
          <a:spLocks noChangeArrowheads="1"/>
        </xdr:cNvSpPr>
      </xdr:nvSpPr>
      <xdr:spPr bwMode="auto">
        <a:xfrm>
          <a:off x="8092440" y="266701"/>
          <a:ext cx="5890260" cy="67817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May 2017 Notes/Updates:</a:t>
          </a:r>
          <a:r>
            <a:rPr lang="en-US" sz="900" b="0" i="0" u="none" strike="noStrike" baseline="0">
              <a:solidFill>
                <a:srgbClr val="000000"/>
              </a:solidFill>
              <a:latin typeface="Arial"/>
              <a:cs typeface="Arial"/>
            </a:rPr>
            <a:t> </a:t>
          </a:r>
        </a:p>
        <a:p>
          <a:pPr algn="l" rtl="0">
            <a:defRPr sz="1000"/>
          </a:pPr>
          <a:r>
            <a:rPr lang="en-US" sz="900" b="0" i="0" baseline="0">
              <a:effectLst/>
              <a:latin typeface="Arial" panose="020B0604020202020204" pitchFamily="34" charset="0"/>
              <a:ea typeface="+mn-ea"/>
              <a:cs typeface="Arial" panose="020B0604020202020204" pitchFamily="34" charset="0"/>
            </a:rPr>
            <a:t> </a:t>
          </a:r>
          <a:r>
            <a:rPr lang="en-US" sz="900" b="0" i="0" u="none" strike="noStrike" baseline="0">
              <a:solidFill>
                <a:sysClr val="windowText" lastClr="000000"/>
              </a:solidFill>
              <a:latin typeface="Arial"/>
              <a:cs typeface="Arial"/>
            </a:rPr>
            <a:t>- Historical expenditures reflect C-Report amounts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327660</xdr:colOff>
      <xdr:row>28</xdr:row>
      <xdr:rowOff>47625</xdr:rowOff>
    </xdr:from>
    <xdr:to>
      <xdr:col>7</xdr:col>
      <xdr:colOff>647700</xdr:colOff>
      <xdr:row>29</xdr:row>
      <xdr:rowOff>285750</xdr:rowOff>
    </xdr:to>
    <xdr:sp macro="" textlink="">
      <xdr:nvSpPr>
        <xdr:cNvPr id="3" name="Text Box 2"/>
        <xdr:cNvSpPr txBox="1">
          <a:spLocks noChangeArrowheads="1"/>
        </xdr:cNvSpPr>
      </xdr:nvSpPr>
      <xdr:spPr bwMode="auto">
        <a:xfrm>
          <a:off x="4442460" y="6819900"/>
          <a:ext cx="2282190"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13 for ESI 2014 and later</a:t>
          </a:r>
        </a:p>
        <a:p>
          <a:pPr algn="ctr" rtl="0">
            <a:defRPr sz="1000"/>
          </a:pPr>
          <a:r>
            <a:rPr lang="en-US" sz="1000" b="1" i="1" u="none" strike="noStrike" baseline="0">
              <a:solidFill>
                <a:srgbClr val="000000"/>
              </a:solidFill>
              <a:latin typeface="Arial"/>
              <a:cs typeface="Arial"/>
            </a:rPr>
            <a:t>See Exhibit 19 for IP 2014 and later</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219075</xdr:colOff>
      <xdr:row>1</xdr:row>
      <xdr:rowOff>219076</xdr:rowOff>
    </xdr:from>
    <xdr:to>
      <xdr:col>10</xdr:col>
      <xdr:colOff>982980</xdr:colOff>
      <xdr:row>4</xdr:row>
      <xdr:rowOff>106680</xdr:rowOff>
    </xdr:to>
    <xdr:sp macro="" textlink="">
      <xdr:nvSpPr>
        <xdr:cNvPr id="4" name="Text Box 5"/>
        <xdr:cNvSpPr txBox="1">
          <a:spLocks noChangeArrowheads="1"/>
        </xdr:cNvSpPr>
      </xdr:nvSpPr>
      <xdr:spPr bwMode="auto">
        <a:xfrm>
          <a:off x="7427595" y="386716"/>
          <a:ext cx="2844165" cy="550544"/>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7620</xdr:colOff>
      <xdr:row>1</xdr:row>
      <xdr:rowOff>114301</xdr:rowOff>
    </xdr:from>
    <xdr:to>
      <xdr:col>13</xdr:col>
      <xdr:colOff>198120</xdr:colOff>
      <xdr:row>3</xdr:row>
      <xdr:rowOff>182881</xdr:rowOff>
    </xdr:to>
    <xdr:sp macro="" textlink="">
      <xdr:nvSpPr>
        <xdr:cNvPr id="4" name="Text Box 5"/>
        <xdr:cNvSpPr txBox="1">
          <a:spLocks noChangeArrowheads="1"/>
        </xdr:cNvSpPr>
      </xdr:nvSpPr>
      <xdr:spPr bwMode="auto">
        <a:xfrm>
          <a:off x="8229600" y="281941"/>
          <a:ext cx="3398520" cy="5105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 </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990600</xdr:colOff>
      <xdr:row>2</xdr:row>
      <xdr:rowOff>60960</xdr:rowOff>
    </xdr:from>
    <xdr:to>
      <xdr:col>14</xdr:col>
      <xdr:colOff>297180</xdr:colOff>
      <xdr:row>4</xdr:row>
      <xdr:rowOff>91440</xdr:rowOff>
    </xdr:to>
    <xdr:sp macro="" textlink="">
      <xdr:nvSpPr>
        <xdr:cNvPr id="3" name="Text Box 5"/>
        <xdr:cNvSpPr txBox="1">
          <a:spLocks noChangeArrowheads="1"/>
        </xdr:cNvSpPr>
      </xdr:nvSpPr>
      <xdr:spPr bwMode="auto">
        <a:xfrm>
          <a:off x="8199120" y="44958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0</xdr:colOff>
      <xdr:row>3</xdr:row>
      <xdr:rowOff>0</xdr:rowOff>
    </xdr:from>
    <xdr:to>
      <xdr:col>14</xdr:col>
      <xdr:colOff>312420</xdr:colOff>
      <xdr:row>5</xdr:row>
      <xdr:rowOff>30480</xdr:rowOff>
    </xdr:to>
    <xdr:sp macro="" textlink="">
      <xdr:nvSpPr>
        <xdr:cNvPr id="3" name="Text Box 5"/>
        <xdr:cNvSpPr txBox="1">
          <a:spLocks noChangeArrowheads="1"/>
        </xdr:cNvSpPr>
      </xdr:nvSpPr>
      <xdr:spPr bwMode="auto">
        <a:xfrm>
          <a:off x="8214360" y="60960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998220</xdr:colOff>
      <xdr:row>1</xdr:row>
      <xdr:rowOff>47625</xdr:rowOff>
    </xdr:from>
    <xdr:to>
      <xdr:col>15</xdr:col>
      <xdr:colOff>312420</xdr:colOff>
      <xdr:row>4</xdr:row>
      <xdr:rowOff>182880</xdr:rowOff>
    </xdr:to>
    <xdr:sp macro="" textlink="">
      <xdr:nvSpPr>
        <xdr:cNvPr id="2" name="Text Box 5"/>
        <xdr:cNvSpPr txBox="1">
          <a:spLocks noChangeArrowheads="1"/>
        </xdr:cNvSpPr>
      </xdr:nvSpPr>
      <xdr:spPr bwMode="auto">
        <a:xfrm>
          <a:off x="8214360" y="215265"/>
          <a:ext cx="5433060" cy="798195"/>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May 2017Notes/Updates:</a:t>
          </a:r>
          <a:endParaRPr lang="en-US" sz="900" b="0" i="0" u="none" strike="noStrike" baseline="0">
            <a:solidFill>
              <a:srgbClr val="FF0000"/>
            </a:solidFill>
            <a:latin typeface="Arial"/>
            <a:cs typeface="Arial"/>
          </a:endParaRPr>
        </a:p>
        <a:p>
          <a:pPr rtl="0"/>
          <a:r>
            <a:rPr lang="en-US" sz="1100" b="0" i="0" baseline="0">
              <a:effectLst/>
              <a:latin typeface="+mn-lt"/>
              <a:ea typeface="+mn-ea"/>
              <a:cs typeface="+mn-cs"/>
            </a:rPr>
            <a:t>- The OHCA projects no enrollment in this MEG for 2016 - 2018</a:t>
          </a:r>
          <a:endParaRPr lang="en-US" sz="900">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922020</xdr:colOff>
      <xdr:row>2</xdr:row>
      <xdr:rowOff>68580</xdr:rowOff>
    </xdr:from>
    <xdr:to>
      <xdr:col>14</xdr:col>
      <xdr:colOff>167640</xdr:colOff>
      <xdr:row>5</xdr:row>
      <xdr:rowOff>7619</xdr:rowOff>
    </xdr:to>
    <xdr:sp macro="" textlink="">
      <xdr:nvSpPr>
        <xdr:cNvPr id="4" name="Text Box 5"/>
        <xdr:cNvSpPr txBox="1">
          <a:spLocks noChangeArrowheads="1"/>
        </xdr:cNvSpPr>
      </xdr:nvSpPr>
      <xdr:spPr bwMode="auto">
        <a:xfrm>
          <a:off x="8138160" y="457200"/>
          <a:ext cx="4411980" cy="60197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endParaRPr lang="en-US" sz="900" b="0" i="0" u="none" strike="noStrike" baseline="0">
            <a:solidFill>
              <a:sysClr val="windowText" lastClr="000000"/>
            </a:solidFill>
            <a:latin typeface="Arial"/>
            <a:cs typeface="Arial"/>
          </a:endParaRPr>
        </a:p>
        <a:p>
          <a:pPr rtl="0"/>
          <a:r>
            <a:rPr lang="en-US" sz="900" b="0" i="0" baseline="0">
              <a:effectLst/>
              <a:latin typeface="Arial" panose="020B0604020202020204" pitchFamily="34" charset="0"/>
              <a:ea typeface="+mn-ea"/>
              <a:cs typeface="Arial" panose="020B0604020202020204" pitchFamily="34" charset="0"/>
            </a:rPr>
            <a:t>- 2014 expenditure data includes C-report adjustments in order to align with C-report values, resulting in a high PMPM value. PMPM trending is  based on OMB rate for TANF-U and is unaffected by inclusion of the adjusted data</a:t>
          </a:r>
          <a:endParaRPr lang="en-US" sz="900">
            <a:effectLst/>
            <a:latin typeface="Arial" panose="020B0604020202020204" pitchFamily="34" charset="0"/>
            <a:cs typeface="Arial" panose="020B0604020202020204" pitchFamily="34" charset="0"/>
          </a:endParaRPr>
        </a:p>
        <a:p>
          <a:pPr algn="l" rtl="0">
            <a:defRPr sz="1000"/>
          </a:pPr>
          <a:endParaRPr lang="en-US" sz="900" b="0" i="0" u="none" strike="noStrike" baseline="0">
            <a:solidFill>
              <a:sysClr val="windowText" lastClr="000000"/>
            </a:solidFill>
            <a:latin typeface="Arial"/>
            <a:cs typeface="Arial"/>
          </a:endParaRPr>
        </a:p>
        <a:p>
          <a:pPr algn="l" rtl="0">
            <a:defRPr sz="1000"/>
          </a:pPr>
          <a:r>
            <a:rPr lang="en-US" sz="900" b="0" i="0" u="none" strike="noStrike" baseline="0">
              <a:solidFill>
                <a:sysClr val="windowText" lastClr="000000"/>
              </a:solidFill>
              <a:latin typeface="Arial"/>
              <a:cs typeface="Arial"/>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998220</xdr:colOff>
      <xdr:row>2</xdr:row>
      <xdr:rowOff>22860</xdr:rowOff>
    </xdr:from>
    <xdr:to>
      <xdr:col>14</xdr:col>
      <xdr:colOff>601980</xdr:colOff>
      <xdr:row>6</xdr:row>
      <xdr:rowOff>106680</xdr:rowOff>
    </xdr:to>
    <xdr:sp macro="" textlink="">
      <xdr:nvSpPr>
        <xdr:cNvPr id="3" name="Text Box 5"/>
        <xdr:cNvSpPr txBox="1">
          <a:spLocks noChangeArrowheads="1"/>
        </xdr:cNvSpPr>
      </xdr:nvSpPr>
      <xdr:spPr bwMode="auto">
        <a:xfrm>
          <a:off x="8214360" y="411480"/>
          <a:ext cx="4770120" cy="9144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May 2017 Notes/Updates:</a:t>
          </a:r>
          <a:r>
            <a:rPr lang="en-US" sz="900" b="0" i="0" u="none" strike="noStrike" baseline="0">
              <a:solidFill>
                <a:sysClr val="windowText" lastClr="000000"/>
              </a:solidFill>
              <a:latin typeface="Arial"/>
              <a:cs typeface="Arial"/>
            </a:rPr>
            <a:t> </a:t>
          </a:r>
          <a:endParaRPr lang="en-US" sz="1000" b="0" i="0" baseline="0">
            <a:effectLst/>
            <a:latin typeface="+mn-lt"/>
            <a:ea typeface="+mn-ea"/>
            <a:cs typeface="+mn-cs"/>
          </a:endParaRPr>
        </a:p>
        <a:p>
          <a:pPr algn="l" rtl="0">
            <a:defRPr sz="1000"/>
          </a:pPr>
          <a:r>
            <a:rPr lang="en-US" sz="1000" b="0" i="0" u="none" strike="noStrike" baseline="0">
              <a:solidFill>
                <a:sysClr val="windowText" lastClr="000000"/>
              </a:solidFill>
              <a:effectLst/>
              <a:latin typeface="+mn-lt"/>
              <a:ea typeface="+mn-ea"/>
              <a:cs typeface="+mn-cs"/>
            </a:rPr>
            <a:t>-</a:t>
          </a:r>
          <a:r>
            <a:rPr lang="en-US" sz="900" b="0" i="0" u="none" strike="noStrike" baseline="0">
              <a:solidFill>
                <a:sysClr val="windowText" lastClr="000000"/>
              </a:solidFill>
              <a:latin typeface="Arial"/>
              <a:cs typeface="Arial"/>
            </a:rPr>
            <a:t>The OHCA projects no further in enrollment in this MEG for 2016 - 2018 </a:t>
          </a:r>
        </a:p>
        <a:p>
          <a:pPr algn="l" rtl="0">
            <a:defRPr sz="1000"/>
          </a:pPr>
          <a:r>
            <a:rPr lang="en-US" sz="900" b="0" i="0" u="none" strike="noStrike" baseline="0">
              <a:solidFill>
                <a:sysClr val="windowText" lastClr="000000"/>
              </a:solidFill>
              <a:latin typeface="Arial"/>
              <a:cs typeface="Arial"/>
            </a:rPr>
            <a:t>- Historical WDA enrollment has been exclusively in the IP MEG; cumulative saving/deficit amounts therefore are depicted below  </a:t>
          </a:r>
        </a:p>
        <a:p>
          <a:pPr algn="l" rtl="0">
            <a:defRPr sz="1000"/>
          </a:pPr>
          <a:endParaRPr lang="en-US" sz="900" b="0" i="0" u="none" strike="noStrike" baseline="0">
            <a:solidFill>
              <a:sysClr val="windowText" lastClr="000000"/>
            </a:solidFill>
            <a:latin typeface="Arial"/>
            <a:cs typeface="Arial"/>
          </a:endParaRPr>
        </a:p>
        <a:p>
          <a:pPr algn="l" rtl="0">
            <a:defRPr sz="1000"/>
          </a:pPr>
          <a:r>
            <a:rPr lang="en-US" sz="900" b="0" i="0" u="none" strike="noStrike" baseline="0">
              <a:solidFill>
                <a:sysClr val="windowText" lastClr="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99060</xdr:colOff>
      <xdr:row>3</xdr:row>
      <xdr:rowOff>60959</xdr:rowOff>
    </xdr:from>
    <xdr:to>
      <xdr:col>9</xdr:col>
      <xdr:colOff>510540</xdr:colOff>
      <xdr:row>44</xdr:row>
      <xdr:rowOff>15240</xdr:rowOff>
    </xdr:to>
    <xdr:sp macro="" textlink="">
      <xdr:nvSpPr>
        <xdr:cNvPr id="2" name="TextBox 1"/>
        <xdr:cNvSpPr txBox="1"/>
      </xdr:nvSpPr>
      <xdr:spPr>
        <a:xfrm>
          <a:off x="99060" y="546734"/>
          <a:ext cx="5897880" cy="6593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Summary of May</a:t>
          </a:r>
          <a:r>
            <a:rPr lang="en-US" sz="1100" b="1" baseline="0"/>
            <a:t> 2017</a:t>
          </a:r>
          <a:r>
            <a:rPr lang="en-US" sz="1100" b="1"/>
            <a:t> update to Oklahoma</a:t>
          </a:r>
          <a:r>
            <a:rPr lang="en-US" sz="1100" b="1" baseline="0"/>
            <a:t> SoonerCare Budget Neutrality </a:t>
          </a:r>
        </a:p>
        <a:p>
          <a:endParaRPr lang="en-US" sz="1100" b="0" baseline="0">
            <a:solidFill>
              <a:schemeClr val="dk1"/>
            </a:solidFill>
            <a:effectLst/>
            <a:latin typeface="+mn-lt"/>
            <a:ea typeface="+mn-ea"/>
            <a:cs typeface="+mn-cs"/>
          </a:endParaRPr>
        </a:p>
        <a:p>
          <a:r>
            <a:rPr lang="en-US" u="sng" baseline="0">
              <a:effectLst/>
            </a:rPr>
            <a:t>Rebasing</a:t>
          </a:r>
        </a:p>
        <a:p>
          <a:endParaRPr lang="en-US" baseline="0">
            <a:effectLst/>
          </a:endParaRPr>
        </a:p>
        <a:p>
          <a:r>
            <a:rPr lang="en-US" baseline="0">
              <a:effectLst/>
            </a:rPr>
            <a:t>Projected "without waiver" expenditures for 2018 are rebased as follows:</a:t>
          </a:r>
        </a:p>
        <a:p>
          <a:r>
            <a:rPr lang="en-US" baseline="0">
              <a:effectLst/>
            </a:rPr>
            <a:t>Actual 2016 expenditures are divided by actual 2016 member months</a:t>
          </a:r>
        </a:p>
        <a:p>
          <a:r>
            <a:rPr lang="en-US" baseline="0">
              <a:effectLst/>
            </a:rPr>
            <a:t>Actual 2016 PMPMs trended to 2018 using approved PMPM trend rates</a:t>
          </a:r>
        </a:p>
        <a:p>
          <a:endParaRPr lang="en-US" baseline="0">
            <a:effectLst/>
          </a:endParaRPr>
        </a:p>
        <a:p>
          <a:r>
            <a:rPr lang="en-US" u="sng" baseline="0">
              <a:effectLst/>
            </a:rPr>
            <a:t>Savings (if applicable)</a:t>
          </a:r>
        </a:p>
        <a:p>
          <a:endParaRPr lang="en-US" baseline="0">
            <a:effectLst/>
          </a:endParaRPr>
        </a:p>
        <a:p>
          <a:r>
            <a:rPr lang="en-US" baseline="0">
              <a:effectLst/>
            </a:rPr>
            <a:t>Savings carry-forward limited to the five years prior to the 2018 extension</a:t>
          </a:r>
        </a:p>
        <a:p>
          <a:endParaRPr lang="en-US" baseline="0">
            <a:effectLst/>
          </a:endParaRPr>
        </a:p>
        <a:p>
          <a:r>
            <a:rPr lang="en-US" sz="1100" b="0" u="sng" baseline="0">
              <a:solidFill>
                <a:schemeClr val="dk1"/>
              </a:solidFill>
              <a:effectLst/>
              <a:latin typeface="+mn-lt"/>
              <a:ea typeface="+mn-ea"/>
              <a:cs typeface="+mn-cs"/>
            </a:rPr>
            <a:t>Updated to Reflect DY21 (CY 2016) Actual Expenditures</a:t>
          </a:r>
        </a:p>
        <a:p>
          <a:endParaRPr lang="en-US">
            <a:effectLst/>
          </a:endParaRPr>
        </a:p>
        <a:p>
          <a:pPr eaLnBrk="1" fontAlgn="auto" latinLnBrk="0" hangingPunct="1"/>
          <a:r>
            <a:rPr lang="en-US" sz="1100" b="0" baseline="0">
              <a:solidFill>
                <a:schemeClr val="dk1"/>
              </a:solidFill>
              <a:effectLst/>
              <a:latin typeface="+mn-lt"/>
              <a:ea typeface="+mn-ea"/>
              <a:cs typeface="+mn-cs"/>
            </a:rPr>
            <a:t>DY21 (CY 2016) member months and expenditures have been updated on all applicable exhibits to actual expenditures as reported on Schedule C</a:t>
          </a:r>
        </a:p>
        <a:p>
          <a:pPr eaLnBrk="1" fontAlgn="auto" latinLnBrk="0" hangingPunct="1"/>
          <a:endParaRPr lang="en-US">
            <a:effectLst/>
          </a:endParaRPr>
        </a:p>
        <a:p>
          <a:r>
            <a:rPr lang="en-US" u="sng" baseline="0">
              <a:effectLst/>
            </a:rPr>
            <a:t>Projected PMPM Expenditures: Traditional MEGs</a:t>
          </a:r>
        </a:p>
        <a:p>
          <a:endParaRPr lang="en-US" baseline="0">
            <a:effectLst/>
          </a:endParaRPr>
        </a:p>
        <a:p>
          <a:r>
            <a:rPr lang="en-US" baseline="0">
              <a:effectLst/>
            </a:rPr>
            <a:t>PMPM for TANF-Urban MEG based on approved PMPM  trend rate with GME and HMP trended separately</a:t>
          </a:r>
        </a:p>
        <a:p>
          <a:endParaRPr lang="en-US" baseline="0">
            <a:effectLst/>
          </a:endParaRPr>
        </a:p>
        <a:p>
          <a:r>
            <a:rPr lang="en-US" baseline="0">
              <a:effectLst/>
            </a:rPr>
            <a:t>PMPM for TANF-Rural, ABD-Urban and ABD-Rural based on approved PMPM trend rates with HMP trended separately at 3 percent annually</a:t>
          </a:r>
        </a:p>
        <a:p>
          <a:endParaRPr lang="en-US" baseline="0">
            <a:effectLst/>
          </a:endParaRPr>
        </a:p>
        <a:p>
          <a:endParaRPr lang="en-US" baseline="0">
            <a:effectLst/>
          </a:endParaRPr>
        </a:p>
        <a:p>
          <a:endParaRPr lang="en-US" baseline="0">
            <a:effectLst/>
          </a:endParaRPr>
        </a:p>
        <a:p>
          <a:endParaRPr lang="en-US" baseline="0">
            <a:effectLst/>
          </a:endParaRPr>
        </a:p>
        <a:p>
          <a:endParaRPr lang="en-US">
            <a:effectLst/>
          </a:endParaRPr>
        </a:p>
        <a:p>
          <a:endParaRPr lang="en-US" sz="1100" b="0" baseline="0"/>
        </a:p>
        <a:p>
          <a:endParaRPr lang="en-US" sz="1100" b="0" baseline="0"/>
        </a:p>
        <a:p>
          <a:endParaRPr lang="en-US" sz="1100" b="0" baseline="0"/>
        </a:p>
        <a:p>
          <a:endParaRPr lang="en-US" sz="1100" b="0" baseline="0"/>
        </a:p>
        <a:p>
          <a:r>
            <a:rPr lang="en-US" sz="1100" b="0" baseline="0"/>
            <a:t> </a:t>
          </a:r>
          <a:endParaRPr lang="en-US" sz="1100" b="0" baseline="0">
            <a:solidFill>
              <a:srgbClr val="FF0000"/>
            </a:solidFill>
          </a:endParaRPr>
        </a:p>
        <a:p>
          <a:r>
            <a:rPr lang="en-US" sz="1100" b="0" baseline="0"/>
            <a:t> </a:t>
          </a:r>
          <a:r>
            <a:rPr lang="en-US" sz="1100" b="0" u="none" baseline="0">
              <a:solidFill>
                <a:sysClr val="windowText" lastClr="000000"/>
              </a:solidFill>
            </a:rPr>
            <a:t> </a:t>
          </a:r>
          <a:endParaRPr lang="en-US" sz="1100" b="0" i="1" u="none" baseline="0">
            <a:solidFill>
              <a:srgbClr val="FF0000"/>
            </a:solidFill>
          </a:endParaRPr>
        </a:p>
        <a:p>
          <a:endParaRPr lang="en-US" sz="1100" b="0" i="1" u="none" baseline="0">
            <a:solidFill>
              <a:srgbClr val="FF0000"/>
            </a:solidFill>
          </a:endParaRPr>
        </a:p>
        <a:p>
          <a:r>
            <a:rPr lang="en-US" sz="1100" b="0" i="1" u="none" baseline="0">
              <a:solidFill>
                <a:srgbClr val="FF0000"/>
              </a:solidFill>
            </a:rPr>
            <a:t> </a:t>
          </a:r>
          <a:endParaRPr lang="en-US" sz="1100" b="0" i="1" u="none" baseline="0"/>
        </a:p>
        <a:p>
          <a:r>
            <a:rPr lang="en-US" sz="1100" b="0" u="none" baseline="0"/>
            <a:t> </a:t>
          </a:r>
          <a:endParaRPr lang="en-US" sz="1100" b="1">
            <a:solidFill>
              <a:sysClr val="windowText" lastClr="00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30480</xdr:colOff>
      <xdr:row>1</xdr:row>
      <xdr:rowOff>160020</xdr:rowOff>
    </xdr:from>
    <xdr:to>
      <xdr:col>13</xdr:col>
      <xdr:colOff>220980</xdr:colOff>
      <xdr:row>4</xdr:row>
      <xdr:rowOff>68580</xdr:rowOff>
    </xdr:to>
    <xdr:sp macro="" textlink="">
      <xdr:nvSpPr>
        <xdr:cNvPr id="3" name="Text Box 5"/>
        <xdr:cNvSpPr txBox="1">
          <a:spLocks noChangeArrowheads="1"/>
        </xdr:cNvSpPr>
      </xdr:nvSpPr>
      <xdr:spPr bwMode="auto">
        <a:xfrm>
          <a:off x="8252460" y="327660"/>
          <a:ext cx="3398520" cy="5715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 </a:t>
          </a:r>
        </a:p>
        <a:p>
          <a:pPr algn="l" rtl="0">
            <a:defRPr sz="1000"/>
          </a:pPr>
          <a:r>
            <a:rPr lang="en-US" sz="900" b="0" i="0" u="none" strike="noStrike" baseline="0">
              <a:solidFill>
                <a:sysClr val="windowText" lastClr="000000"/>
              </a:solidFill>
              <a:latin typeface="Arial"/>
              <a:cs typeface="Arial"/>
            </a:rPr>
            <a:t>- One member month entered for 2014 to prevent refference cell errors</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0</xdr:colOff>
      <xdr:row>3</xdr:row>
      <xdr:rowOff>0</xdr:rowOff>
    </xdr:from>
    <xdr:to>
      <xdr:col>13</xdr:col>
      <xdr:colOff>617220</xdr:colOff>
      <xdr:row>5</xdr:row>
      <xdr:rowOff>30480</xdr:rowOff>
    </xdr:to>
    <xdr:sp macro="" textlink="">
      <xdr:nvSpPr>
        <xdr:cNvPr id="3" name="Text Box 5"/>
        <xdr:cNvSpPr txBox="1">
          <a:spLocks noChangeArrowheads="1"/>
        </xdr:cNvSpPr>
      </xdr:nvSpPr>
      <xdr:spPr bwMode="auto">
        <a:xfrm>
          <a:off x="8221980" y="60960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617220</xdr:colOff>
      <xdr:row>4</xdr:row>
      <xdr:rowOff>30480</xdr:rowOff>
    </xdr:to>
    <xdr:sp macro="" textlink="">
      <xdr:nvSpPr>
        <xdr:cNvPr id="3" name="Text Box 5"/>
        <xdr:cNvSpPr txBox="1">
          <a:spLocks noChangeArrowheads="1"/>
        </xdr:cNvSpPr>
      </xdr:nvSpPr>
      <xdr:spPr bwMode="auto">
        <a:xfrm>
          <a:off x="8221980" y="38862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929640</xdr:colOff>
      <xdr:row>2</xdr:row>
      <xdr:rowOff>38100</xdr:rowOff>
    </xdr:from>
    <xdr:to>
      <xdr:col>14</xdr:col>
      <xdr:colOff>91440</xdr:colOff>
      <xdr:row>5</xdr:row>
      <xdr:rowOff>15240</xdr:rowOff>
    </xdr:to>
    <xdr:sp macro="" textlink="">
      <xdr:nvSpPr>
        <xdr:cNvPr id="3" name="Text Box 5"/>
        <xdr:cNvSpPr txBox="1">
          <a:spLocks noChangeArrowheads="1"/>
        </xdr:cNvSpPr>
      </xdr:nvSpPr>
      <xdr:spPr bwMode="auto">
        <a:xfrm>
          <a:off x="8138160" y="426720"/>
          <a:ext cx="3680460" cy="64008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Historical expenditures reflect C-Report amounts</a:t>
          </a:r>
        </a:p>
        <a:p>
          <a:pPr algn="l" rtl="0">
            <a:defRPr sz="1000"/>
          </a:pPr>
          <a:r>
            <a:rPr lang="en-US" sz="900" b="0" i="0" u="none" strike="noStrike" baseline="0">
              <a:solidFill>
                <a:srgbClr val="000000"/>
              </a:solidFill>
              <a:latin typeface="Arial"/>
              <a:cs typeface="Arial"/>
            </a:rPr>
            <a:t>- Member months trended at TANF-U growth rate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0</xdr:row>
      <xdr:rowOff>156210</xdr:rowOff>
    </xdr:from>
    <xdr:to>
      <xdr:col>21</xdr:col>
      <xdr:colOff>259080</xdr:colOff>
      <xdr:row>6</xdr:row>
      <xdr:rowOff>7620</xdr:rowOff>
    </xdr:to>
    <xdr:sp macro="" textlink="">
      <xdr:nvSpPr>
        <xdr:cNvPr id="2" name="Text Box 5"/>
        <xdr:cNvSpPr txBox="1">
          <a:spLocks noChangeArrowheads="1"/>
        </xdr:cNvSpPr>
      </xdr:nvSpPr>
      <xdr:spPr bwMode="auto">
        <a:xfrm>
          <a:off x="7299960" y="156210"/>
          <a:ext cx="7330440" cy="112395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Medical match claiming for all HMP contract </a:t>
          </a:r>
          <a:r>
            <a:rPr lang="en-US" sz="900" b="0" i="0" u="none" strike="noStrike" baseline="0">
              <a:solidFill>
                <a:srgbClr val="000000"/>
              </a:solidFill>
              <a:latin typeface="Arial" panose="020B0604020202020204" pitchFamily="34" charset="0"/>
              <a:cs typeface="Arial" panose="020B0604020202020204" pitchFamily="34" charset="0"/>
            </a:rPr>
            <a:t>expenditures began in January 2013</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0" i="0" baseline="0">
              <a:effectLst/>
              <a:latin typeface="Arial" panose="020B0604020202020204" pitchFamily="34" charset="0"/>
              <a:ea typeface="+mn-ea"/>
              <a:cs typeface="Arial" panose="020B0604020202020204" pitchFamily="34" charset="0"/>
            </a:rPr>
            <a:t>- 2014 expenditure data includes C-Report adjustments in order to align with C-report data, resulting in a larger than historical value in cell M28</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0" i="0" u="none" strike="noStrike" baseline="0">
              <a:solidFill>
                <a:srgbClr val="000000"/>
              </a:solidFill>
              <a:latin typeface="Arial" panose="020B0604020202020204" pitchFamily="34" charset="0"/>
              <a:cs typeface="Arial" panose="020B0604020202020204" pitchFamily="34" charset="0"/>
            </a:rPr>
            <a:t>- Expenditures trended at 3 percent rate (corresponds to current contract)</a:t>
          </a:r>
        </a:p>
        <a:p>
          <a:pPr algn="l" rtl="0">
            <a:defRPr sz="1000"/>
          </a:pPr>
          <a:r>
            <a:rPr lang="en-US" sz="900" b="0" i="0" u="none" strike="noStrike" baseline="0">
              <a:solidFill>
                <a:srgbClr val="000000"/>
              </a:solidFill>
              <a:latin typeface="Arial" panose="020B0604020202020204" pitchFamily="34" charset="0"/>
              <a:cs typeface="Arial" panose="020B0604020202020204" pitchFamily="34" charset="0"/>
            </a:rPr>
            <a:t>- Expenditures distributed across traditional M</a:t>
          </a:r>
          <a:r>
            <a:rPr lang="en-US" sz="900" b="0" i="0" u="none" strike="noStrike" baseline="0">
              <a:solidFill>
                <a:srgbClr val="000000"/>
              </a:solidFill>
              <a:latin typeface="Arial"/>
              <a:cs typeface="Arial"/>
            </a:rPr>
            <a:t>EGs based on client months (HMP participants are drawn from all four MEGs)</a:t>
          </a:r>
        </a:p>
        <a:p>
          <a:pPr algn="l" rtl="0">
            <a:defRPr sz="1000"/>
          </a:pPr>
          <a:r>
            <a:rPr lang="en-US" sz="900" b="0" i="0" u="none" strike="noStrike" baseline="0">
              <a:solidFill>
                <a:srgbClr val="000000"/>
              </a:solidFill>
              <a:latin typeface="Arial"/>
              <a:cs typeface="Arial"/>
            </a:rPr>
            <a:t>- Expenditures are included within aggregate waiver expenditure amounts on traditional MEG worksheets</a:t>
          </a: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7620</xdr:colOff>
      <xdr:row>2</xdr:row>
      <xdr:rowOff>11430</xdr:rowOff>
    </xdr:from>
    <xdr:to>
      <xdr:col>12</xdr:col>
      <xdr:colOff>990600</xdr:colOff>
      <xdr:row>6</xdr:row>
      <xdr:rowOff>15240</xdr:rowOff>
    </xdr:to>
    <xdr:sp macro="" textlink="">
      <xdr:nvSpPr>
        <xdr:cNvPr id="44033" name="Text Box 5"/>
        <xdr:cNvSpPr txBox="1">
          <a:spLocks noChangeArrowheads="1"/>
        </xdr:cNvSpPr>
      </xdr:nvSpPr>
      <xdr:spPr bwMode="auto">
        <a:xfrm>
          <a:off x="8199120" y="400050"/>
          <a:ext cx="4640580" cy="83439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Member months are for traditional MEGs only (used to calculate budget neutrality limit)</a:t>
          </a:r>
        </a:p>
        <a:p>
          <a:pPr algn="l" rtl="0">
            <a:defRPr sz="1000"/>
          </a:pPr>
          <a:endParaRPr lang="en-US" sz="900" b="0" i="0" u="none" strike="noStrike" baseline="0">
            <a:solidFill>
              <a:srgbClr val="000000"/>
            </a:solidFill>
            <a:latin typeface="Arial"/>
            <a:cs typeface="Arial"/>
          </a:endParaRPr>
        </a:p>
        <a:p>
          <a:pPr algn="l" rtl="0">
            <a:defRPr sz="1000"/>
          </a:pPr>
          <a:r>
            <a:rPr lang="en-US" sz="900" b="1" i="0" u="none" strike="noStrike" baseline="0">
              <a:solidFill>
                <a:srgbClr val="000000"/>
              </a:solidFill>
              <a:latin typeface="Arial"/>
              <a:cs typeface="Arial"/>
            </a:rPr>
            <a:t>May 2017 Notes/Updates</a:t>
          </a:r>
        </a:p>
        <a:p>
          <a:pPr algn="l" rtl="0">
            <a:defRPr sz="1000"/>
          </a:pPr>
          <a:r>
            <a:rPr lang="en-US" sz="900" b="0" i="0" u="none" strike="noStrike" baseline="0">
              <a:solidFill>
                <a:srgbClr val="000000"/>
              </a:solidFill>
              <a:latin typeface="Arial"/>
              <a:cs typeface="Arial"/>
            </a:rPr>
            <a:t>- 2018 projections do not reflect rebasing (for information only)</a:t>
          </a:r>
        </a:p>
        <a:p>
          <a:pPr rtl="0"/>
          <a:r>
            <a:rPr lang="en-US" sz="1100" b="0" i="0" baseline="0">
              <a:effectLst/>
              <a:latin typeface="+mn-lt"/>
              <a:ea typeface="+mn-ea"/>
              <a:cs typeface="+mn-cs"/>
            </a:rPr>
            <a:t> </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220980</xdr:colOff>
      <xdr:row>1</xdr:row>
      <xdr:rowOff>144780</xdr:rowOff>
    </xdr:from>
    <xdr:to>
      <xdr:col>13</xdr:col>
      <xdr:colOff>106680</xdr:colOff>
      <xdr:row>5</xdr:row>
      <xdr:rowOff>95250</xdr:rowOff>
    </xdr:to>
    <xdr:sp macro="" textlink="">
      <xdr:nvSpPr>
        <xdr:cNvPr id="3" name="Text Box 5"/>
        <xdr:cNvSpPr txBox="1">
          <a:spLocks noChangeArrowheads="1"/>
        </xdr:cNvSpPr>
      </xdr:nvSpPr>
      <xdr:spPr bwMode="auto">
        <a:xfrm>
          <a:off x="8412480" y="312420"/>
          <a:ext cx="4640580" cy="83439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Member months are for traditional MEGs only (used to calculate budget neutrality limit)</a:t>
          </a:r>
        </a:p>
        <a:p>
          <a:pPr algn="l" rtl="0">
            <a:defRPr sz="1000"/>
          </a:pPr>
          <a:endParaRPr lang="en-US" sz="900" b="0" i="0" u="none" strike="noStrike" baseline="0">
            <a:solidFill>
              <a:srgbClr val="000000"/>
            </a:solidFill>
            <a:latin typeface="Arial"/>
            <a:cs typeface="Arial"/>
          </a:endParaRPr>
        </a:p>
        <a:p>
          <a:pPr algn="l" rtl="0">
            <a:defRPr sz="1000"/>
          </a:pPr>
          <a:r>
            <a:rPr lang="en-US" sz="900" b="1" i="0" u="none" strike="noStrike" baseline="0">
              <a:solidFill>
                <a:srgbClr val="000000"/>
              </a:solidFill>
              <a:latin typeface="Arial"/>
              <a:cs typeface="Arial"/>
            </a:rPr>
            <a:t>May 2017 Notes/Updates</a:t>
          </a:r>
        </a:p>
        <a:p>
          <a:pPr algn="l" rtl="0">
            <a:defRPr sz="1000"/>
          </a:pPr>
          <a:r>
            <a:rPr lang="en-US" sz="900" b="0" i="0" u="none" strike="noStrike" baseline="0">
              <a:solidFill>
                <a:srgbClr val="000000"/>
              </a:solidFill>
              <a:latin typeface="Arial"/>
              <a:cs typeface="Arial"/>
            </a:rPr>
            <a:t>- 2018 projections reflect rebasing of budget neutrality PMPM (for information only)  </a:t>
          </a:r>
        </a:p>
        <a:p>
          <a:pPr rtl="0"/>
          <a:r>
            <a:rPr lang="en-US" sz="1100" b="0" i="0" baseline="0">
              <a:effectLst/>
              <a:latin typeface="+mn-lt"/>
              <a:ea typeface="+mn-ea"/>
              <a:cs typeface="+mn-cs"/>
            </a:rPr>
            <a:t> </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1</xdr:row>
      <xdr:rowOff>0</xdr:rowOff>
    </xdr:from>
    <xdr:to>
      <xdr:col>14</xdr:col>
      <xdr:colOff>7620</xdr:colOff>
      <xdr:row>4</xdr:row>
      <xdr:rowOff>171450</xdr:rowOff>
    </xdr:to>
    <xdr:sp macro="" textlink="">
      <xdr:nvSpPr>
        <xdr:cNvPr id="4" name="Text Box 5"/>
        <xdr:cNvSpPr txBox="1">
          <a:spLocks noChangeArrowheads="1"/>
        </xdr:cNvSpPr>
      </xdr:nvSpPr>
      <xdr:spPr bwMode="auto">
        <a:xfrm>
          <a:off x="9265920" y="167640"/>
          <a:ext cx="4640580" cy="83439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Member months are for traditional MEGs only (used to calculate budget neutrality limit)</a:t>
          </a:r>
        </a:p>
        <a:p>
          <a:pPr algn="l" rtl="0">
            <a:defRPr sz="1000"/>
          </a:pPr>
          <a:endParaRPr lang="en-US" sz="900" b="0" i="0" u="none" strike="noStrike" baseline="0">
            <a:solidFill>
              <a:srgbClr val="000000"/>
            </a:solidFill>
            <a:latin typeface="Arial"/>
            <a:cs typeface="Arial"/>
          </a:endParaRPr>
        </a:p>
        <a:p>
          <a:pPr algn="l" rtl="0">
            <a:defRPr sz="1000"/>
          </a:pPr>
          <a:r>
            <a:rPr lang="en-US" sz="900" b="1" i="0" u="none" strike="noStrike" baseline="0">
              <a:solidFill>
                <a:srgbClr val="000000"/>
              </a:solidFill>
              <a:latin typeface="Arial"/>
              <a:cs typeface="Arial"/>
            </a:rPr>
            <a:t>May 2017 Notes/Updates</a:t>
          </a:r>
        </a:p>
        <a:p>
          <a:pPr algn="l" rtl="0">
            <a:defRPr sz="1000"/>
          </a:pPr>
          <a:r>
            <a:rPr lang="en-US" sz="900" b="0" i="0" u="none" strike="noStrike" baseline="0">
              <a:solidFill>
                <a:srgbClr val="000000"/>
              </a:solidFill>
              <a:latin typeface="Arial"/>
              <a:cs typeface="Arial"/>
            </a:rPr>
            <a:t>- 2018 projections reflect rebasing of budget neutrality PMPM and five-year savings look back</a:t>
          </a:r>
        </a:p>
        <a:p>
          <a:pPr rtl="0"/>
          <a:r>
            <a:rPr lang="en-US" sz="1100" b="0" i="0" baseline="0">
              <a:effectLst/>
              <a:latin typeface="+mn-lt"/>
              <a:ea typeface="+mn-ea"/>
              <a:cs typeface="+mn-cs"/>
            </a:rPr>
            <a:t> </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19</xdr:col>
      <xdr:colOff>510540</xdr:colOff>
      <xdr:row>0</xdr:row>
      <xdr:rowOff>144780</xdr:rowOff>
    </xdr:from>
    <xdr:to>
      <xdr:col>39</xdr:col>
      <xdr:colOff>868680</xdr:colOff>
      <xdr:row>4</xdr:row>
      <xdr:rowOff>283845</xdr:rowOff>
    </xdr:to>
    <xdr:sp macro="" textlink="">
      <xdr:nvSpPr>
        <xdr:cNvPr id="2" name="Text Box 5"/>
        <xdr:cNvSpPr txBox="1">
          <a:spLocks noChangeArrowheads="1"/>
        </xdr:cNvSpPr>
      </xdr:nvSpPr>
      <xdr:spPr bwMode="auto">
        <a:xfrm>
          <a:off x="6179820" y="144780"/>
          <a:ext cx="6766560" cy="916305"/>
        </a:xfrm>
        <a:prstGeom prst="rect">
          <a:avLst/>
        </a:prstGeom>
        <a:solidFill>
          <a:schemeClr val="bg1">
            <a:lumMod val="95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IOK enrollment trend has been calculated based on annual percent change from January 2015 through December 2016, to take into account the opening of the program to employers 100 - 250 workers in size in 2015. Separate enrollment trends have been calculated for each IO MEG</a:t>
          </a:r>
        </a:p>
        <a:p>
          <a:pPr algn="l" rtl="0">
            <a:defRPr sz="1000"/>
          </a:pPr>
          <a:r>
            <a:rPr lang="en-US" sz="900" b="0" i="0" u="none" strike="noStrike" baseline="0">
              <a:solidFill>
                <a:srgbClr val="000000"/>
              </a:solidFill>
              <a:latin typeface="Arial"/>
              <a:cs typeface="Arial"/>
            </a:rPr>
            <a:t>- Cumulative expenditures for years prior to 2014 have been allocated to the ESI and IO MEGs based on share of expenditures in 2013 (last year prior to separate reporting by MEG) </a:t>
          </a:r>
        </a:p>
        <a:p>
          <a:pPr rtl="0"/>
          <a:r>
            <a:rPr lang="en-US" sz="1100" b="0" i="0" baseline="0">
              <a:effectLst/>
              <a:latin typeface="+mn-lt"/>
              <a:ea typeface="+mn-ea"/>
              <a:cs typeface="+mn-cs"/>
            </a:rPr>
            <a:t> </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a:t>
          </a:r>
          <a:r>
            <a:rPr lang="en-US" sz="900" b="1" i="0" u="none" strike="noStrike" baseline="0">
              <a:solidFill>
                <a:srgbClr val="000000"/>
              </a:solidFill>
              <a:latin typeface="Arial"/>
              <a:cs typeface="Arial"/>
            </a:rPr>
            <a:t>May 2017 Notes/Updates</a:t>
          </a:r>
          <a:r>
            <a:rPr lang="en-US" sz="900" b="0" i="0" u="none" strike="noStrike" baseline="0">
              <a:solidFill>
                <a:srgbClr val="000000"/>
              </a:solidFill>
              <a:latin typeface="Arial"/>
              <a:cs typeface="Arial"/>
            </a:rPr>
            <a:t/>
          </a:r>
          <a:br>
            <a:rPr lang="en-US" sz="900" b="0" i="0" u="none" strike="noStrike" baseline="0">
              <a:solidFill>
                <a:srgbClr val="000000"/>
              </a:solidFill>
              <a:latin typeface="Arial"/>
              <a:cs typeface="Arial"/>
            </a:rPr>
          </a:br>
          <a:r>
            <a:rPr lang="en-US" sz="900" b="0" i="0" u="none" strike="noStrike" baseline="0">
              <a:solidFill>
                <a:srgbClr val="000000"/>
              </a:solidFill>
              <a:latin typeface="Arial"/>
              <a:cs typeface="Arial"/>
            </a:rPr>
            <a:t>-Student data unavailabile for April - July 2016; midpoint for March and August used</a:t>
          </a: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295274</xdr:colOff>
      <xdr:row>0</xdr:row>
      <xdr:rowOff>76198</xdr:rowOff>
    </xdr:from>
    <xdr:to>
      <xdr:col>12</xdr:col>
      <xdr:colOff>571499</xdr:colOff>
      <xdr:row>6</xdr:row>
      <xdr:rowOff>68579</xdr:rowOff>
    </xdr:to>
    <xdr:sp macro="" textlink="">
      <xdr:nvSpPr>
        <xdr:cNvPr id="44033" name="Text Box 1"/>
        <xdr:cNvSpPr txBox="1">
          <a:spLocks noChangeArrowheads="1"/>
        </xdr:cNvSpPr>
      </xdr:nvSpPr>
      <xdr:spPr bwMode="auto">
        <a:xfrm>
          <a:off x="4135754" y="76198"/>
          <a:ext cx="6105525" cy="1104901"/>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OMB trend factors used for 2016 - 2018 PMPM expenditure projections </a:t>
          </a:r>
        </a:p>
        <a:p>
          <a:pPr algn="l" rtl="0">
            <a:defRPr sz="1000"/>
          </a:pPr>
          <a:endParaRPr lang="en-US" sz="900" b="0" i="0" u="none" strike="noStrike" baseline="0">
            <a:solidFill>
              <a:srgbClr val="000000"/>
            </a:solidFill>
            <a:latin typeface="Arial"/>
            <a:cs typeface="Arial"/>
          </a:endParaRPr>
        </a:p>
        <a:p>
          <a:pPr rtl="0"/>
          <a:r>
            <a:rPr lang="en-US" sz="900" b="1" i="0" baseline="0">
              <a:effectLst/>
              <a:latin typeface="Arial" panose="020B0604020202020204" pitchFamily="34" charset="0"/>
              <a:ea typeface="+mn-ea"/>
              <a:cs typeface="Arial" panose="020B0604020202020204" pitchFamily="34" charset="0"/>
            </a:rPr>
            <a:t>May 2017 Notes/Updates:</a:t>
          </a:r>
          <a:r>
            <a:rPr lang="en-US" sz="900" b="0" i="0" baseline="0">
              <a:effectLst/>
              <a:latin typeface="Arial" panose="020B0604020202020204" pitchFamily="34" charset="0"/>
              <a:ea typeface="+mn-ea"/>
              <a:cs typeface="Arial" panose="020B0604020202020204" pitchFamily="34" charset="0"/>
            </a:rPr>
            <a:t> </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 OMB trend factors used for 2017 - 2018 PMPM expenditure projections </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 OMB trend factors used to trend 2016 base year to 2018</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 Per CMS 5/12/16 Presentation, Page 12: </a:t>
          </a:r>
          <a:r>
            <a:rPr lang="en-US" sz="900" b="0" i="1" baseline="0">
              <a:effectLst/>
              <a:latin typeface="Arial" panose="020B0604020202020204" pitchFamily="34" charset="0"/>
              <a:ea typeface="+mn-ea"/>
              <a:cs typeface="Arial" panose="020B0604020202020204" pitchFamily="34" charset="0"/>
            </a:rPr>
            <a:t>Current policy of trending PMPM costs using the lower of the state historical trend or the President's Budget trend will apply to the rebased budget neutrality "without waiver" baseline</a:t>
          </a:r>
          <a:endParaRPr lang="en-US" sz="900">
            <a:effectLst/>
            <a:latin typeface="Arial" panose="020B0604020202020204" pitchFamily="34" charset="0"/>
            <a:cs typeface="Arial" panose="020B0604020202020204"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678179</xdr:colOff>
      <xdr:row>0</xdr:row>
      <xdr:rowOff>38100</xdr:rowOff>
    </xdr:from>
    <xdr:to>
      <xdr:col>16</xdr:col>
      <xdr:colOff>1019174</xdr:colOff>
      <xdr:row>6</xdr:row>
      <xdr:rowOff>76200</xdr:rowOff>
    </xdr:to>
    <xdr:sp macro="" textlink="">
      <xdr:nvSpPr>
        <xdr:cNvPr id="37889" name="Text Box 2"/>
        <xdr:cNvSpPr txBox="1">
          <a:spLocks noChangeArrowheads="1"/>
        </xdr:cNvSpPr>
      </xdr:nvSpPr>
      <xdr:spPr bwMode="auto">
        <a:xfrm>
          <a:off x="7848599" y="38100"/>
          <a:ext cx="8883015" cy="12573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MEG-specific actual expenditures not available for 1996 - 2003  </a:t>
          </a:r>
        </a:p>
        <a:p>
          <a:pPr algn="l" rtl="0">
            <a:defRPr sz="1000"/>
          </a:pPr>
          <a:r>
            <a:rPr lang="en-US" sz="900" b="0" i="0" u="none" strike="noStrike" baseline="0">
              <a:solidFill>
                <a:srgbClr val="000000"/>
              </a:solidFill>
              <a:latin typeface="Arial"/>
              <a:cs typeface="Arial"/>
            </a:rPr>
            <a:t>- Historical expenditures reflect C-Report amounts  </a:t>
          </a:r>
        </a:p>
        <a:p>
          <a:pPr algn="l" rtl="0">
            <a:defRPr sz="1000"/>
          </a:pPr>
          <a:r>
            <a:rPr lang="en-US" sz="900" b="0" i="0" u="none" strike="noStrike" baseline="0">
              <a:solidFill>
                <a:sysClr val="windowText" lastClr="000000"/>
              </a:solidFill>
              <a:latin typeface="Arial"/>
              <a:cs typeface="Arial"/>
            </a:rPr>
            <a:t>- Adjustment for HAN expenditures in cells H24 - H27 (dollars removed to eliminate doublecount in 2010 - 2013 data; no doublecount in 2014-2015 data)</a:t>
          </a:r>
        </a:p>
        <a:p>
          <a:pPr algn="l" rtl="0">
            <a:defRPr sz="1000"/>
          </a:pPr>
          <a:r>
            <a:rPr lang="en-US" sz="900" b="0" i="0" u="none" strike="noStrike" baseline="0">
              <a:solidFill>
                <a:sysClr val="windowText" lastClr="000000"/>
              </a:solidFill>
              <a:latin typeface="Arial"/>
              <a:cs typeface="Arial"/>
            </a:rPr>
            <a:t>- Historical HMP expenditures added to cells H27 - H30</a:t>
          </a:r>
        </a:p>
        <a:p>
          <a:pPr algn="l" rtl="0">
            <a:defRPr sz="1000"/>
          </a:pPr>
          <a:r>
            <a:rPr lang="en-US" sz="900" b="0" i="0" u="none" strike="noStrike" baseline="0">
              <a:solidFill>
                <a:sysClr val="windowText" lastClr="000000"/>
              </a:solidFill>
              <a:latin typeface="Arial"/>
              <a:cs typeface="Arial"/>
            </a:rPr>
            <a:t>- Projected HMP expenditures added to cells G31 - G32 but separately trended </a:t>
          </a:r>
          <a:r>
            <a:rPr lang="en-US" sz="900" b="1" i="0" u="none" strike="noStrike" baseline="0">
              <a:solidFill>
                <a:sysClr val="windowText" lastClr="000000"/>
              </a:solidFill>
              <a:latin typeface="Arial"/>
              <a:cs typeface="Arial"/>
            </a:rPr>
            <a:t> </a:t>
          </a:r>
          <a:r>
            <a:rPr lang="en-US" sz="900" b="0" i="0" u="none" strike="noStrike" baseline="0">
              <a:solidFill>
                <a:sysClr val="windowText" lastClr="000000"/>
              </a:solidFill>
              <a:latin typeface="Arial"/>
              <a:cs typeface="Arial"/>
            </a:rPr>
            <a:t>  </a:t>
          </a:r>
          <a:endParaRPr lang="en-US" sz="900">
            <a:solidFill>
              <a:sysClr val="windowText" lastClr="000000"/>
            </a:solidFill>
            <a:effectLst/>
          </a:endParaRPr>
        </a:p>
        <a:p>
          <a:pPr algn="l" rtl="0">
            <a:defRPr sz="1000"/>
          </a:pPr>
          <a:endParaRPr lang="en-US" sz="900" b="1" i="0" u="none" strike="noStrike" baseline="0">
            <a:solidFill>
              <a:srgbClr val="000000"/>
            </a:solidFill>
            <a:latin typeface="Arial"/>
            <a:cs typeface="Arial"/>
          </a:endParaRPr>
        </a:p>
        <a:p>
          <a:pPr algn="l" rtl="0">
            <a:defRPr sz="1000"/>
          </a:pPr>
          <a:r>
            <a:rPr lang="en-US" sz="900" b="1" i="0" u="none" strike="noStrike" baseline="0">
              <a:solidFill>
                <a:srgbClr val="000000"/>
              </a:solidFill>
              <a:latin typeface="Arial"/>
              <a:cs typeface="Arial"/>
            </a:rPr>
            <a:t> </a:t>
          </a:r>
        </a:p>
      </xdr:txBody>
    </xdr:sp>
    <xdr:clientData/>
  </xdr:twoCellAnchor>
  <xdr:twoCellAnchor>
    <xdr:from>
      <xdr:col>6</xdr:col>
      <xdr:colOff>933450</xdr:colOff>
      <xdr:row>11</xdr:row>
      <xdr:rowOff>38100</xdr:rowOff>
    </xdr:from>
    <xdr:to>
      <xdr:col>9</xdr:col>
      <xdr:colOff>247650</xdr:colOff>
      <xdr:row>13</xdr:row>
      <xdr:rowOff>200025</xdr:rowOff>
    </xdr:to>
    <xdr:sp macro="" textlink="">
      <xdr:nvSpPr>
        <xdr:cNvPr id="37890" name="Text Box 2"/>
        <xdr:cNvSpPr txBox="1">
          <a:spLocks noChangeArrowheads="1"/>
        </xdr:cNvSpPr>
      </xdr:nvSpPr>
      <xdr:spPr bwMode="auto">
        <a:xfrm>
          <a:off x="5991225" y="2524125"/>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1905</xdr:colOff>
      <xdr:row>1</xdr:row>
      <xdr:rowOff>47624</xdr:rowOff>
    </xdr:from>
    <xdr:to>
      <xdr:col>14</xdr:col>
      <xdr:colOff>213360</xdr:colOff>
      <xdr:row>6</xdr:row>
      <xdr:rowOff>160020</xdr:rowOff>
    </xdr:to>
    <xdr:sp macro="" textlink="">
      <xdr:nvSpPr>
        <xdr:cNvPr id="38913" name="Text Box 2"/>
        <xdr:cNvSpPr txBox="1">
          <a:spLocks noChangeArrowheads="1"/>
        </xdr:cNvSpPr>
      </xdr:nvSpPr>
      <xdr:spPr bwMode="auto">
        <a:xfrm>
          <a:off x="8216265" y="215264"/>
          <a:ext cx="6063615" cy="1163956"/>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a:effectLst/>
          </a:endParaRPr>
        </a:p>
        <a:p>
          <a:pPr rtl="0"/>
          <a:r>
            <a:rPr lang="en-US" sz="1100" b="0" i="0" baseline="0">
              <a:effectLst/>
              <a:latin typeface="+mn-lt"/>
              <a:ea typeface="+mn-ea"/>
              <a:cs typeface="+mn-cs"/>
            </a:rPr>
            <a:t>- </a:t>
          </a:r>
          <a:r>
            <a:rPr lang="en-US" sz="900" b="0" i="0" baseline="0">
              <a:effectLst/>
              <a:latin typeface="Arial" panose="020B0604020202020204" pitchFamily="34" charset="0"/>
              <a:ea typeface="+mn-ea"/>
              <a:cs typeface="Arial" panose="020B0604020202020204" pitchFamily="34" charset="0"/>
            </a:rPr>
            <a:t>MEG-specific actual expenditures not available for 1996 - 2003 </a:t>
          </a:r>
          <a:r>
            <a:rPr lang="en-US" sz="900">
              <a:effectLst/>
              <a:latin typeface="Arial" panose="020B0604020202020204" pitchFamily="34" charset="0"/>
              <a:cs typeface="Arial" panose="020B0604020202020204" pitchFamily="34" charset="0"/>
            </a:rPr>
            <a:t> </a:t>
          </a:r>
        </a:p>
        <a:p>
          <a:pPr rtl="0"/>
          <a:r>
            <a:rPr lang="en-US" sz="900">
              <a:effectLst/>
              <a:latin typeface="Arial" panose="020B0604020202020204" pitchFamily="34" charset="0"/>
              <a:cs typeface="Arial" panose="020B0604020202020204" pitchFamily="34" charset="0"/>
            </a:rPr>
            <a:t>- Historical</a:t>
          </a:r>
          <a:r>
            <a:rPr lang="en-US" sz="900" baseline="0">
              <a:effectLst/>
              <a:latin typeface="Arial" panose="020B0604020202020204" pitchFamily="34" charset="0"/>
              <a:cs typeface="Arial" panose="020B0604020202020204" pitchFamily="34" charset="0"/>
            </a:rPr>
            <a:t> e</a:t>
          </a:r>
          <a:r>
            <a:rPr lang="en-US" sz="900">
              <a:effectLst/>
              <a:latin typeface="Arial" panose="020B0604020202020204" pitchFamily="34" charset="0"/>
              <a:cs typeface="Arial" panose="020B0604020202020204" pitchFamily="34" charset="0"/>
            </a:rPr>
            <a:t>xpenditures</a:t>
          </a:r>
          <a:r>
            <a:rPr lang="en-US" sz="900" baseline="0">
              <a:effectLst/>
              <a:latin typeface="Arial" panose="020B0604020202020204" pitchFamily="34" charset="0"/>
              <a:cs typeface="Arial" panose="020B0604020202020204" pitchFamily="34" charset="0"/>
            </a:rPr>
            <a:t> reflect C-Report amounts</a:t>
          </a:r>
          <a:r>
            <a:rPr lang="en-US" sz="900">
              <a:effectLst/>
              <a:latin typeface="Arial" panose="020B0604020202020204" pitchFamily="34" charset="0"/>
              <a:cs typeface="Arial" panose="020B0604020202020204" pitchFamily="34" charset="0"/>
            </a:rPr>
            <a:t>  </a:t>
          </a:r>
        </a:p>
        <a:p>
          <a:pPr rtl="0"/>
          <a:r>
            <a:rPr lang="en-US" sz="1100" b="0" i="0" baseline="0">
              <a:solidFill>
                <a:sysClr val="windowText" lastClr="000000"/>
              </a:solidFill>
              <a:effectLst/>
              <a:latin typeface="+mn-lt"/>
              <a:ea typeface="+mn-ea"/>
              <a:cs typeface="+mn-cs"/>
            </a:rPr>
            <a:t>- </a:t>
          </a:r>
          <a:r>
            <a:rPr lang="en-US" sz="900" b="0" i="0" baseline="0">
              <a:solidFill>
                <a:sysClr val="windowText" lastClr="000000"/>
              </a:solidFill>
              <a:effectLst/>
              <a:latin typeface="Arial" panose="020B0604020202020204" pitchFamily="34" charset="0"/>
              <a:ea typeface="+mn-ea"/>
              <a:cs typeface="Arial" panose="020B0604020202020204" pitchFamily="34" charset="0"/>
            </a:rPr>
            <a:t>Historical HMP expenditures added to cells H27 - H30</a:t>
          </a: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Projected PMPM HMP expenditures added to cells G31 - G32</a:t>
          </a:r>
          <a:r>
            <a:rPr lang="en-US" sz="900">
              <a:solidFill>
                <a:sysClr val="windowText" lastClr="000000"/>
              </a:solidFill>
              <a:effectLst/>
              <a:latin typeface="Arial" panose="020B0604020202020204" pitchFamily="34" charset="0"/>
              <a:cs typeface="Arial" panose="020B0604020202020204" pitchFamily="34" charset="0"/>
            </a:rPr>
            <a:t> but separately trended</a:t>
          </a:r>
          <a:endParaRPr lang="en-US" sz="900">
            <a:solidFill>
              <a:sysClr val="windowText" lastClr="000000"/>
            </a:solidFill>
            <a:effectLst/>
          </a:endParaRPr>
        </a:p>
        <a:p>
          <a:pPr algn="l" rtl="0">
            <a:defRPr sz="1000"/>
          </a:pPr>
          <a:endParaRPr lang="en-US" sz="900" b="0" i="0" u="none" strike="noStrike" baseline="0">
            <a:solidFill>
              <a:sysClr val="windowText" lastClr="000000"/>
            </a:solidFill>
            <a:latin typeface="Arial" panose="020B0604020202020204" pitchFamily="34" charset="0"/>
            <a:cs typeface="Arial" panose="020B0604020202020204" pitchFamily="34" charset="0"/>
          </a:endParaRPr>
        </a:p>
        <a:p>
          <a:pPr algn="l" rtl="0">
            <a:defRPr sz="1000"/>
          </a:pPr>
          <a:r>
            <a:rPr lang="en-US" sz="900" b="0" i="0" u="none" strike="noStrike" baseline="0">
              <a:solidFill>
                <a:srgbClr val="000000"/>
              </a:solidFill>
              <a:latin typeface="Arial"/>
              <a:cs typeface="Arial"/>
            </a:rPr>
            <a:t> </a:t>
          </a:r>
          <a:endParaRPr lang="en-US" sz="900">
            <a:solidFill>
              <a:schemeClr val="accent2"/>
            </a:solidFill>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900">
            <a:solidFill>
              <a:schemeClr val="accent2"/>
            </a:solidFill>
            <a:effectLst/>
            <a:latin typeface="Arial" pitchFamily="34" charset="0"/>
            <a:cs typeface="Arial" pitchFamily="34" charset="0"/>
          </a:endParaRPr>
        </a:p>
        <a:p>
          <a:pPr rtl="0"/>
          <a:endParaRPr lang="en-US" sz="900">
            <a:effectLst/>
            <a:latin typeface="Arial" pitchFamily="34" charset="0"/>
            <a:cs typeface="Arial"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twoCellAnchor>
    <xdr:from>
      <xdr:col>6</xdr:col>
      <xdr:colOff>962025</xdr:colOff>
      <xdr:row>11</xdr:row>
      <xdr:rowOff>85725</xdr:rowOff>
    </xdr:from>
    <xdr:to>
      <xdr:col>9</xdr:col>
      <xdr:colOff>276225</xdr:colOff>
      <xdr:row>14</xdr:row>
      <xdr:rowOff>19050</xdr:rowOff>
    </xdr:to>
    <xdr:sp macro="" textlink="">
      <xdr:nvSpPr>
        <xdr:cNvPr id="38914" name="Text Box 2"/>
        <xdr:cNvSpPr txBox="1">
          <a:spLocks noChangeArrowheads="1"/>
        </xdr:cNvSpPr>
      </xdr:nvSpPr>
      <xdr:spPr bwMode="auto">
        <a:xfrm>
          <a:off x="6057900" y="2571750"/>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819150</xdr:colOff>
      <xdr:row>13</xdr:row>
      <xdr:rowOff>9525</xdr:rowOff>
    </xdr:from>
    <xdr:to>
      <xdr:col>9</xdr:col>
      <xdr:colOff>133350</xdr:colOff>
      <xdr:row>15</xdr:row>
      <xdr:rowOff>171450</xdr:rowOff>
    </xdr:to>
    <xdr:sp macro="" textlink="">
      <xdr:nvSpPr>
        <xdr:cNvPr id="39938" name="Text Box 2"/>
        <xdr:cNvSpPr txBox="1">
          <a:spLocks noChangeArrowheads="1"/>
        </xdr:cNvSpPr>
      </xdr:nvSpPr>
      <xdr:spPr bwMode="auto">
        <a:xfrm>
          <a:off x="5905500" y="2952750"/>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329565</xdr:colOff>
      <xdr:row>1</xdr:row>
      <xdr:rowOff>60960</xdr:rowOff>
    </xdr:from>
    <xdr:to>
      <xdr:col>15</xdr:col>
      <xdr:colOff>568960</xdr:colOff>
      <xdr:row>6</xdr:row>
      <xdr:rowOff>40639</xdr:rowOff>
    </xdr:to>
    <xdr:sp macro="" textlink="">
      <xdr:nvSpPr>
        <xdr:cNvPr id="4" name="Text Box 2"/>
        <xdr:cNvSpPr txBox="1">
          <a:spLocks noChangeArrowheads="1"/>
        </xdr:cNvSpPr>
      </xdr:nvSpPr>
      <xdr:spPr bwMode="auto">
        <a:xfrm>
          <a:off x="7533005" y="233680"/>
          <a:ext cx="7717155" cy="104647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a:effectLst/>
          </a:endParaRPr>
        </a:p>
        <a:p>
          <a:pPr rtl="0"/>
          <a:r>
            <a:rPr lang="en-US" sz="1100" b="0" i="0" baseline="0">
              <a:effectLst/>
              <a:latin typeface="+mn-lt"/>
              <a:ea typeface="+mn-ea"/>
              <a:cs typeface="+mn-cs"/>
            </a:rPr>
            <a:t>- </a:t>
          </a:r>
          <a:r>
            <a:rPr lang="en-US" sz="900" b="0" i="0" baseline="0">
              <a:effectLst/>
              <a:latin typeface="Arial" panose="020B0604020202020204" pitchFamily="34" charset="0"/>
              <a:ea typeface="+mn-ea"/>
              <a:cs typeface="Arial" panose="020B0604020202020204" pitchFamily="34" charset="0"/>
            </a:rPr>
            <a:t>MEG-specific actual expenditures not available for 1996 - 2003 </a:t>
          </a:r>
          <a:r>
            <a:rPr lang="en-US" sz="900">
              <a:effectLst/>
              <a:latin typeface="Arial" panose="020B0604020202020204" pitchFamily="34" charset="0"/>
              <a:cs typeface="Arial" panose="020B0604020202020204" pitchFamily="34" charset="0"/>
            </a:rPr>
            <a:t> </a:t>
          </a:r>
        </a:p>
        <a:p>
          <a:pPr rtl="0"/>
          <a:r>
            <a:rPr lang="en-US" sz="900">
              <a:effectLst/>
              <a:latin typeface="Arial" panose="020B0604020202020204" pitchFamily="34" charset="0"/>
              <a:cs typeface="Arial" panose="020B0604020202020204" pitchFamily="34" charset="0"/>
            </a:rPr>
            <a:t>-</a:t>
          </a:r>
          <a:r>
            <a:rPr lang="en-US" sz="900" baseline="0">
              <a:effectLst/>
              <a:latin typeface="Arial" panose="020B0604020202020204" pitchFamily="34" charset="0"/>
              <a:cs typeface="Arial" panose="020B0604020202020204" pitchFamily="34" charset="0"/>
            </a:rPr>
            <a:t> Historical expenditures reflect C-Report amounts</a:t>
          </a:r>
          <a:r>
            <a:rPr lang="en-US" sz="900">
              <a:effectLst/>
              <a:latin typeface="Arial" panose="020B0604020202020204" pitchFamily="34" charset="0"/>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r>
            <a:rPr lang="en-US" sz="900">
              <a:effectLst/>
              <a:latin typeface="Arial" panose="020B0604020202020204" pitchFamily="34" charset="0"/>
              <a:cs typeface="Arial" panose="020B0604020202020204" pitchFamily="34" charset="0"/>
            </a:rPr>
            <a:t> </a:t>
          </a: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Historical HMP expenditures added to cells H27 - H30</a:t>
          </a:r>
          <a:endParaRPr lang="en-US" sz="900">
            <a:solidFill>
              <a:sysClr val="windowText" lastClr="000000"/>
            </a:solidFill>
            <a:effectLst/>
            <a:latin typeface="Arial" panose="020B0604020202020204" pitchFamily="34" charset="0"/>
            <a:cs typeface="Arial" panose="020B0604020202020204" pitchFamily="34" charset="0"/>
          </a:endParaRP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Projected PMPM HMP expenditures added to cells G31 - G32 but separately trended </a:t>
          </a:r>
          <a:endParaRPr lang="en-US" sz="900">
            <a:solidFill>
              <a:sysClr val="windowText" lastClr="000000"/>
            </a:solidFill>
            <a:effectLst/>
            <a:latin typeface="Arial" panose="020B0604020202020204" pitchFamily="34" charset="0"/>
            <a:cs typeface="Arial" panose="020B0604020202020204" pitchFamily="34" charset="0"/>
          </a:endParaRPr>
        </a:p>
        <a:p>
          <a:pPr algn="l" rtl="0">
            <a:defRPr sz="1000"/>
          </a:pPr>
          <a:r>
            <a:rPr lang="en-US" sz="900" b="0" i="0" u="none" strike="noStrike" baseline="0">
              <a:solidFill>
                <a:srgbClr val="000000"/>
              </a:solidFill>
              <a:latin typeface="Arial"/>
              <a:cs typeface="Arial"/>
            </a:rPr>
            <a:t> </a:t>
          </a:r>
          <a:endParaRPr lang="en-US" sz="900">
            <a:solidFill>
              <a:schemeClr val="accent2"/>
            </a:solidFill>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900">
            <a:solidFill>
              <a:schemeClr val="accent2"/>
            </a:solidFill>
            <a:effectLst/>
            <a:latin typeface="Arial" pitchFamily="34" charset="0"/>
            <a:cs typeface="Arial" pitchFamily="34" charset="0"/>
          </a:endParaRPr>
        </a:p>
        <a:p>
          <a:pPr rtl="0"/>
          <a:endParaRPr lang="en-US" sz="900">
            <a:effectLst/>
            <a:latin typeface="Arial" pitchFamily="34" charset="0"/>
            <a:cs typeface="Arial"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876300</xdr:colOff>
      <xdr:row>13</xdr:row>
      <xdr:rowOff>57150</xdr:rowOff>
    </xdr:from>
    <xdr:to>
      <xdr:col>9</xdr:col>
      <xdr:colOff>190500</xdr:colOff>
      <xdr:row>15</xdr:row>
      <xdr:rowOff>219075</xdr:rowOff>
    </xdr:to>
    <xdr:sp macro="" textlink="">
      <xdr:nvSpPr>
        <xdr:cNvPr id="40962" name="Text Box 2"/>
        <xdr:cNvSpPr txBox="1">
          <a:spLocks noChangeArrowheads="1"/>
        </xdr:cNvSpPr>
      </xdr:nvSpPr>
      <xdr:spPr bwMode="auto">
        <a:xfrm>
          <a:off x="5905500" y="3000375"/>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449580</xdr:colOff>
      <xdr:row>1</xdr:row>
      <xdr:rowOff>121920</xdr:rowOff>
    </xdr:from>
    <xdr:to>
      <xdr:col>14</xdr:col>
      <xdr:colOff>386080</xdr:colOff>
      <xdr:row>6</xdr:row>
      <xdr:rowOff>111760</xdr:rowOff>
    </xdr:to>
    <xdr:sp macro="" textlink="">
      <xdr:nvSpPr>
        <xdr:cNvPr id="4" name="Text Box 2"/>
        <xdr:cNvSpPr txBox="1">
          <a:spLocks noChangeArrowheads="1"/>
        </xdr:cNvSpPr>
      </xdr:nvSpPr>
      <xdr:spPr bwMode="auto">
        <a:xfrm>
          <a:off x="7592060" y="294640"/>
          <a:ext cx="6804660" cy="10566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a:effectLst/>
          </a:endParaRPr>
        </a:p>
        <a:p>
          <a:pPr rtl="0"/>
          <a:r>
            <a:rPr lang="en-US" sz="1100" b="0" i="0" baseline="0">
              <a:effectLst/>
              <a:latin typeface="+mn-lt"/>
              <a:ea typeface="+mn-ea"/>
              <a:cs typeface="+mn-cs"/>
            </a:rPr>
            <a:t>- </a:t>
          </a:r>
          <a:r>
            <a:rPr lang="en-US" sz="900" b="0" i="0" baseline="0">
              <a:effectLst/>
              <a:latin typeface="Arial" panose="020B0604020202020204" pitchFamily="34" charset="0"/>
              <a:ea typeface="+mn-ea"/>
              <a:cs typeface="Arial" panose="020B0604020202020204" pitchFamily="34" charset="0"/>
            </a:rPr>
            <a:t>MEG-specific actual expenditures not available for 1996 - 2003 </a:t>
          </a:r>
        </a:p>
        <a:p>
          <a:pPr rtl="0"/>
          <a:r>
            <a:rPr lang="en-US" sz="900" b="0" i="0" baseline="0">
              <a:effectLst/>
              <a:latin typeface="Arial" panose="020B0604020202020204" pitchFamily="34" charset="0"/>
              <a:ea typeface="+mn-ea"/>
              <a:cs typeface="Arial" panose="020B0604020202020204" pitchFamily="34" charset="0"/>
            </a:rPr>
            <a:t>- Historical expenditures reflect C-Report amounts</a:t>
          </a:r>
          <a:r>
            <a:rPr lang="en-US" sz="900">
              <a:effectLst/>
              <a:latin typeface="Arial" panose="020B0604020202020204" pitchFamily="34" charset="0"/>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r>
            <a:rPr lang="en-US" sz="900">
              <a:effectLst/>
              <a:latin typeface="Arial" panose="020B0604020202020204" pitchFamily="34" charset="0"/>
              <a:cs typeface="Arial" panose="020B0604020202020204" pitchFamily="34" charset="0"/>
            </a:rPr>
            <a:t> </a:t>
          </a: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Historical HMP expenditures added to cells H27 - H30</a:t>
          </a:r>
          <a:endParaRPr lang="en-US" sz="900">
            <a:solidFill>
              <a:sysClr val="windowText" lastClr="000000"/>
            </a:solidFill>
            <a:effectLst/>
            <a:latin typeface="Arial" panose="020B0604020202020204" pitchFamily="34" charset="0"/>
            <a:cs typeface="Arial" panose="020B0604020202020204" pitchFamily="34" charset="0"/>
          </a:endParaRP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Projected PMPM HMP expenditures added to cells G31 - G32 but separately trended </a:t>
          </a:r>
          <a:r>
            <a:rPr lang="en-US" sz="900" b="1" i="0" baseline="0">
              <a:solidFill>
                <a:sysClr val="windowText" lastClr="000000"/>
              </a:solidFill>
              <a:effectLst/>
              <a:latin typeface="Arial" panose="020B0604020202020204" pitchFamily="34" charset="0"/>
              <a:ea typeface="+mn-ea"/>
              <a:cs typeface="Arial" panose="020B0604020202020204" pitchFamily="34" charset="0"/>
            </a:rPr>
            <a:t> </a:t>
          </a:r>
          <a:r>
            <a:rPr lang="en-US" sz="900" b="0" i="0" baseline="0">
              <a:solidFill>
                <a:sysClr val="windowText" lastClr="000000"/>
              </a:solidFill>
              <a:effectLst/>
              <a:latin typeface="Arial" panose="020B0604020202020204" pitchFamily="34" charset="0"/>
              <a:ea typeface="+mn-ea"/>
              <a:cs typeface="Arial" panose="020B0604020202020204" pitchFamily="34" charset="0"/>
            </a:rPr>
            <a:t> </a:t>
          </a:r>
          <a:endParaRPr lang="en-US" sz="900">
            <a:solidFill>
              <a:sysClr val="windowText" lastClr="000000"/>
            </a:solidFill>
            <a:effectLst/>
            <a:latin typeface="Arial" panose="020B0604020202020204" pitchFamily="34" charset="0"/>
            <a:cs typeface="Arial" panose="020B0604020202020204" pitchFamily="34" charset="0"/>
          </a:endParaRPr>
        </a:p>
        <a:p>
          <a:pPr algn="l" rtl="0">
            <a:defRPr sz="1000"/>
          </a:pPr>
          <a:r>
            <a:rPr lang="en-US" sz="900" b="0" i="0" u="none" strike="noStrike" baseline="0">
              <a:solidFill>
                <a:srgbClr val="000000"/>
              </a:solidFill>
              <a:latin typeface="Arial"/>
              <a:cs typeface="Arial"/>
            </a:rPr>
            <a:t> </a:t>
          </a:r>
          <a:endParaRPr lang="en-US" sz="900">
            <a:solidFill>
              <a:schemeClr val="accent2"/>
            </a:solidFill>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900">
            <a:solidFill>
              <a:schemeClr val="accent2"/>
            </a:solidFill>
            <a:effectLst/>
            <a:latin typeface="Arial" pitchFamily="34" charset="0"/>
            <a:cs typeface="Arial" pitchFamily="34" charset="0"/>
          </a:endParaRPr>
        </a:p>
        <a:p>
          <a:pPr rtl="0"/>
          <a:endParaRPr lang="en-US" sz="900">
            <a:effectLst/>
            <a:latin typeface="Arial" pitchFamily="34" charset="0"/>
            <a:cs typeface="Arial"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403859</xdr:colOff>
      <xdr:row>0</xdr:row>
      <xdr:rowOff>108585</xdr:rowOff>
    </xdr:from>
    <xdr:to>
      <xdr:col>13</xdr:col>
      <xdr:colOff>929640</xdr:colOff>
      <xdr:row>3</xdr:row>
      <xdr:rowOff>45720</xdr:rowOff>
    </xdr:to>
    <xdr:sp macro="" textlink="">
      <xdr:nvSpPr>
        <xdr:cNvPr id="41985" name="Text Box 5"/>
        <xdr:cNvSpPr txBox="1">
          <a:spLocks noChangeArrowheads="1"/>
        </xdr:cNvSpPr>
      </xdr:nvSpPr>
      <xdr:spPr bwMode="auto">
        <a:xfrm>
          <a:off x="7619999" y="108585"/>
          <a:ext cx="6065521" cy="546735"/>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Historical expenditures reflect C-Report amounts</a:t>
          </a:r>
        </a:p>
        <a:p>
          <a:pPr algn="l" rtl="0">
            <a:defRPr sz="1000"/>
          </a:pPr>
          <a:r>
            <a:rPr lang="en-US" sz="900" b="0" i="0" u="none" strike="noStrike" baseline="0">
              <a:solidFill>
                <a:srgbClr val="000000"/>
              </a:solidFill>
              <a:latin typeface="Arial"/>
              <a:cs typeface="Arial"/>
            </a:rPr>
            <a:t>- Adjustment for College Student (CS) expenditures in cells H23 - H27 (dollars removed to eliminate doublecount)  </a:t>
          </a:r>
          <a:endParaRPr lang="en-US" sz="900" b="0" i="0" u="none" strike="noStrike" baseline="0">
            <a:solidFill>
              <a:sysClr val="windowText" lastClr="000000"/>
            </a:solidFill>
            <a:latin typeface="Arial"/>
            <a:cs typeface="Arial"/>
          </a:endParaRPr>
        </a:p>
        <a:p>
          <a:pPr algn="l" rtl="0">
            <a:defRPr sz="1000"/>
          </a:pPr>
          <a:r>
            <a:rPr lang="en-US" sz="900" b="0" i="0" u="none" strike="sngStrike" baseline="0">
              <a:solidFill>
                <a:srgbClr val="000000"/>
              </a:solidFill>
              <a:latin typeface="Arial"/>
              <a:cs typeface="Arial"/>
            </a:rPr>
            <a:t> </a:t>
          </a:r>
          <a:endParaRPr lang="en-US" sz="900" b="0" i="0" u="none" strike="noStrike" baseline="0">
            <a:solidFill>
              <a:srgbClr val="000000"/>
            </a:solidFill>
            <a:latin typeface="Arial"/>
            <a:cs typeface="Arial"/>
          </a:endParaRPr>
        </a:p>
      </xdr:txBody>
    </xdr:sp>
    <xdr:clientData/>
  </xdr:twoCellAnchor>
  <xdr:twoCellAnchor>
    <xdr:from>
      <xdr:col>5</xdr:col>
      <xdr:colOff>342900</xdr:colOff>
      <xdr:row>28</xdr:row>
      <xdr:rowOff>83820</xdr:rowOff>
    </xdr:from>
    <xdr:to>
      <xdr:col>7</xdr:col>
      <xdr:colOff>662940</xdr:colOff>
      <xdr:row>29</xdr:row>
      <xdr:rowOff>321945</xdr:rowOff>
    </xdr:to>
    <xdr:sp macro="" textlink="">
      <xdr:nvSpPr>
        <xdr:cNvPr id="3" name="Text Box 2"/>
        <xdr:cNvSpPr txBox="1">
          <a:spLocks noChangeArrowheads="1"/>
        </xdr:cNvSpPr>
      </xdr:nvSpPr>
      <xdr:spPr bwMode="auto">
        <a:xfrm>
          <a:off x="4467225" y="7046595"/>
          <a:ext cx="2282190"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8 for ESI 2014 and later</a:t>
          </a:r>
        </a:p>
        <a:p>
          <a:pPr algn="ctr" rtl="0">
            <a:defRPr sz="1000"/>
          </a:pPr>
          <a:r>
            <a:rPr lang="en-US" sz="1000" b="1" i="1" u="none" strike="noStrike" baseline="0">
              <a:solidFill>
                <a:srgbClr val="000000"/>
              </a:solidFill>
              <a:latin typeface="Arial"/>
              <a:cs typeface="Arial"/>
            </a:rPr>
            <a:t>See Exhibit 17 for IP 2014 and later</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998220</xdr:colOff>
      <xdr:row>1</xdr:row>
      <xdr:rowOff>47625</xdr:rowOff>
    </xdr:from>
    <xdr:to>
      <xdr:col>15</xdr:col>
      <xdr:colOff>312420</xdr:colOff>
      <xdr:row>4</xdr:row>
      <xdr:rowOff>182880</xdr:rowOff>
    </xdr:to>
    <xdr:sp macro="" textlink="">
      <xdr:nvSpPr>
        <xdr:cNvPr id="2" name="Text Box 5"/>
        <xdr:cNvSpPr txBox="1">
          <a:spLocks noChangeArrowheads="1"/>
        </xdr:cNvSpPr>
      </xdr:nvSpPr>
      <xdr:spPr bwMode="auto">
        <a:xfrm>
          <a:off x="8214360" y="215265"/>
          <a:ext cx="5433060" cy="798195"/>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endParaRPr lang="en-US" sz="900" b="0" i="0" u="none" strike="noStrike" baseline="0">
            <a:solidFill>
              <a:srgbClr val="FF0000"/>
            </a:solidFill>
            <a:latin typeface="Arial"/>
            <a:cs typeface="Arial"/>
          </a:endParaRPr>
        </a:p>
        <a:p>
          <a:pPr rtl="0"/>
          <a:r>
            <a:rPr lang="en-US" sz="900" b="0" i="0" u="none" strike="noStrike" baseline="0">
              <a:solidFill>
                <a:sysClr val="windowText" lastClr="000000"/>
              </a:solidFill>
              <a:latin typeface="Arial" panose="020B0604020202020204" pitchFamily="34" charset="0"/>
              <a:cs typeface="Arial" panose="020B0604020202020204" pitchFamily="34" charset="0"/>
            </a:rPr>
            <a:t>- 2014 expenditure data includes C-report adjustments in order to align with C-report values, resulting in a  low PMPM value for that year. PMPM trending is  based on OMB rate for TANF-U and is unaffected by inclusion of the adjusted data </a:t>
          </a:r>
          <a:endParaRPr lang="en-US"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34:F38"/>
  <sheetViews>
    <sheetView topLeftCell="A16" workbookViewId="0"/>
  </sheetViews>
  <sheetFormatPr defaultRowHeight="12.75" x14ac:dyDescent="0.2"/>
  <cols>
    <col min="12" max="12" width="11" bestFit="1" customWidth="1"/>
    <col min="13" max="13" width="9.7109375" customWidth="1"/>
  </cols>
  <sheetData>
    <row r="34" spans="1:6" x14ac:dyDescent="0.2">
      <c r="A34" s="1" t="s">
        <v>9</v>
      </c>
      <c r="C34" s="132"/>
      <c r="D34" s="132"/>
      <c r="E34" s="132"/>
      <c r="F34" s="132"/>
    </row>
    <row r="35" spans="1:6" x14ac:dyDescent="0.2">
      <c r="C35" s="132"/>
      <c r="D35" s="132"/>
      <c r="E35" s="132"/>
      <c r="F35" s="132"/>
    </row>
    <row r="36" spans="1:6" x14ac:dyDescent="0.2">
      <c r="C36" s="132"/>
      <c r="D36" s="132"/>
      <c r="E36" s="132"/>
      <c r="F36" s="132"/>
    </row>
    <row r="37" spans="1:6" x14ac:dyDescent="0.2">
      <c r="B37" s="132"/>
      <c r="E37" s="130" t="s">
        <v>9</v>
      </c>
    </row>
    <row r="38" spans="1:6" x14ac:dyDescent="0.2">
      <c r="B38" s="13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A75C4"/>
    <pageSetUpPr fitToPage="1"/>
  </sheetPr>
  <dimension ref="A2:U41"/>
  <sheetViews>
    <sheetView workbookViewId="0"/>
  </sheetViews>
  <sheetFormatPr defaultRowHeight="12.75" x14ac:dyDescent="0.2"/>
  <cols>
    <col min="3" max="3" width="14.140625" customWidth="1"/>
    <col min="4" max="9" width="14.7109375" customWidth="1"/>
    <col min="10" max="10" width="15.7109375" customWidth="1"/>
    <col min="11" max="11" width="22.7109375" customWidth="1"/>
    <col min="12" max="14" width="13.85546875" customWidth="1"/>
  </cols>
  <sheetData>
    <row r="2" spans="1:10" ht="18" x14ac:dyDescent="0.25">
      <c r="A2" s="37" t="s">
        <v>0</v>
      </c>
    </row>
    <row r="3" spans="1:10" ht="18.75" x14ac:dyDescent="0.3">
      <c r="A3" s="37" t="s">
        <v>10</v>
      </c>
    </row>
    <row r="4" spans="1:10" ht="18" x14ac:dyDescent="0.25">
      <c r="A4" s="37"/>
    </row>
    <row r="5" spans="1:10" ht="18" x14ac:dyDescent="0.25">
      <c r="A5" s="37" t="s">
        <v>65</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21" ht="18" customHeight="1" x14ac:dyDescent="0.2">
      <c r="A17" s="491"/>
      <c r="B17" s="16">
        <v>8</v>
      </c>
      <c r="C17" s="17">
        <v>2003</v>
      </c>
      <c r="D17" s="18"/>
      <c r="E17" s="12"/>
      <c r="F17" s="19"/>
      <c r="G17" s="20"/>
      <c r="H17" s="19"/>
      <c r="I17" s="21"/>
      <c r="J17" s="22"/>
    </row>
    <row r="18" spans="1:21" ht="18" customHeight="1" x14ac:dyDescent="0.2">
      <c r="A18" s="491"/>
      <c r="B18" s="23">
        <v>9</v>
      </c>
      <c r="C18" s="24">
        <v>2004</v>
      </c>
      <c r="D18" s="25"/>
      <c r="E18" s="26"/>
      <c r="F18" s="27"/>
      <c r="G18" s="26"/>
      <c r="H18" s="27"/>
      <c r="I18" s="28"/>
      <c r="J18" s="29"/>
    </row>
    <row r="19" spans="1:21" ht="18" customHeight="1" x14ac:dyDescent="0.2">
      <c r="A19" s="491"/>
      <c r="B19" s="16">
        <v>10</v>
      </c>
      <c r="C19" s="17">
        <v>2005</v>
      </c>
      <c r="D19" s="18" t="s">
        <v>9</v>
      </c>
      <c r="E19" s="40"/>
      <c r="F19" s="41"/>
      <c r="G19" s="26" t="s">
        <v>9</v>
      </c>
      <c r="H19" s="19"/>
      <c r="I19" s="21" t="s">
        <v>9</v>
      </c>
      <c r="J19" s="22" t="s">
        <v>9</v>
      </c>
    </row>
    <row r="20" spans="1:21" ht="18" customHeight="1" x14ac:dyDescent="0.2">
      <c r="A20" s="491"/>
      <c r="B20" s="35">
        <v>11</v>
      </c>
      <c r="C20" s="17">
        <v>2006</v>
      </c>
      <c r="D20" s="18">
        <v>0</v>
      </c>
      <c r="E20" s="40"/>
      <c r="F20" s="41"/>
      <c r="G20" s="26" t="s">
        <v>9</v>
      </c>
      <c r="H20" s="19">
        <v>0</v>
      </c>
      <c r="I20" s="21">
        <f t="shared" ref="I20:I26" si="0">F20-H20</f>
        <v>0</v>
      </c>
      <c r="J20" s="36">
        <f>I20</f>
        <v>0</v>
      </c>
    </row>
    <row r="21" spans="1:21" ht="18" customHeight="1" x14ac:dyDescent="0.2">
      <c r="A21" s="491"/>
      <c r="B21" s="33">
        <v>12</v>
      </c>
      <c r="C21" s="52">
        <v>2007</v>
      </c>
      <c r="D21" s="25">
        <v>0</v>
      </c>
      <c r="E21" s="42"/>
      <c r="F21" s="43"/>
      <c r="G21" s="26" t="s">
        <v>9</v>
      </c>
      <c r="H21" s="27">
        <v>24</v>
      </c>
      <c r="I21" s="28">
        <f t="shared" si="0"/>
        <v>-24</v>
      </c>
      <c r="J21" s="34">
        <f t="shared" ref="J21:J26" si="1">J20+I21</f>
        <v>-24</v>
      </c>
      <c r="K21" s="301"/>
      <c r="L21" s="297"/>
    </row>
    <row r="22" spans="1:21" ht="18" customHeight="1" x14ac:dyDescent="0.2">
      <c r="A22" s="491"/>
      <c r="B22" s="35">
        <v>13</v>
      </c>
      <c r="C22" s="59">
        <v>2008</v>
      </c>
      <c r="D22" s="18">
        <v>0</v>
      </c>
      <c r="E22" s="40"/>
      <c r="F22" s="41"/>
      <c r="G22" s="20" t="s">
        <v>9</v>
      </c>
      <c r="H22" s="19">
        <v>34024</v>
      </c>
      <c r="I22" s="21">
        <f t="shared" si="0"/>
        <v>-34024</v>
      </c>
      <c r="J22" s="36">
        <f t="shared" si="1"/>
        <v>-34048</v>
      </c>
      <c r="K22" s="301"/>
      <c r="L22" s="297"/>
    </row>
    <row r="23" spans="1:21" ht="18" customHeight="1" x14ac:dyDescent="0.2">
      <c r="A23" s="491"/>
      <c r="B23" s="16">
        <v>14</v>
      </c>
      <c r="C23" s="59">
        <v>2009</v>
      </c>
      <c r="D23" s="18">
        <v>110</v>
      </c>
      <c r="E23" s="40"/>
      <c r="F23" s="41"/>
      <c r="G23" s="20">
        <f>H23/D23</f>
        <v>1175.1090909090908</v>
      </c>
      <c r="H23" s="19">
        <v>129262</v>
      </c>
      <c r="I23" s="21">
        <f t="shared" si="0"/>
        <v>-129262</v>
      </c>
      <c r="J23" s="22">
        <f t="shared" si="1"/>
        <v>-163310</v>
      </c>
      <c r="K23" s="302"/>
      <c r="L23" s="297"/>
      <c r="T23" s="48"/>
      <c r="U23" s="48"/>
    </row>
    <row r="24" spans="1:21" ht="18" customHeight="1" x14ac:dyDescent="0.2">
      <c r="A24" s="491"/>
      <c r="B24" s="35">
        <v>15</v>
      </c>
      <c r="C24" s="17">
        <v>2010</v>
      </c>
      <c r="D24" s="18">
        <v>90</v>
      </c>
      <c r="E24" s="40"/>
      <c r="F24" s="41"/>
      <c r="G24" s="20">
        <f>H24/D24</f>
        <v>1517.0333333333333</v>
      </c>
      <c r="H24" s="19">
        <v>136533</v>
      </c>
      <c r="I24" s="21">
        <f t="shared" si="0"/>
        <v>-136533</v>
      </c>
      <c r="J24" s="36">
        <f t="shared" si="1"/>
        <v>-299843</v>
      </c>
      <c r="K24" s="302"/>
      <c r="L24" s="297"/>
      <c r="T24" s="48"/>
      <c r="U24" s="48"/>
    </row>
    <row r="25" spans="1:21" ht="18" customHeight="1" x14ac:dyDescent="0.2">
      <c r="A25" s="491"/>
      <c r="B25" s="38">
        <v>16</v>
      </c>
      <c r="C25" s="92">
        <v>2011</v>
      </c>
      <c r="D25" s="93">
        <v>114</v>
      </c>
      <c r="E25" s="97"/>
      <c r="F25" s="98"/>
      <c r="G25" s="94">
        <f>H25/D25</f>
        <v>907.56078947368417</v>
      </c>
      <c r="H25" s="95">
        <v>103461.93</v>
      </c>
      <c r="I25" s="96">
        <f t="shared" si="0"/>
        <v>-103461.93</v>
      </c>
      <c r="J25" s="39">
        <f t="shared" si="1"/>
        <v>-403304.93</v>
      </c>
      <c r="K25" s="302"/>
      <c r="L25" s="297"/>
      <c r="T25" s="48"/>
      <c r="U25" s="48"/>
    </row>
    <row r="26" spans="1:21" ht="18" customHeight="1" thickBot="1" x14ac:dyDescent="0.25">
      <c r="A26" s="491"/>
      <c r="B26" s="141">
        <v>17</v>
      </c>
      <c r="C26" s="142">
        <v>2012</v>
      </c>
      <c r="D26" s="143">
        <v>66</v>
      </c>
      <c r="E26" s="150"/>
      <c r="F26" s="151"/>
      <c r="G26" s="144">
        <f>+H26/D26</f>
        <v>1429.378787878788</v>
      </c>
      <c r="H26" s="145">
        <v>94339</v>
      </c>
      <c r="I26" s="146">
        <f t="shared" si="0"/>
        <v>-94339</v>
      </c>
      <c r="J26" s="147">
        <f t="shared" si="1"/>
        <v>-497643.93</v>
      </c>
      <c r="K26" s="302"/>
      <c r="L26" s="297"/>
      <c r="T26" s="48"/>
      <c r="U26" s="48"/>
    </row>
    <row r="27" spans="1:21" ht="30" customHeight="1" x14ac:dyDescent="0.2">
      <c r="A27" s="137"/>
      <c r="B27" s="152">
        <v>18</v>
      </c>
      <c r="C27" s="153">
        <v>2013</v>
      </c>
      <c r="D27" s="154">
        <v>42</v>
      </c>
      <c r="E27" s="158"/>
      <c r="F27" s="159"/>
      <c r="G27" s="128">
        <f>+H27/D27</f>
        <v>1243.3095238095239</v>
      </c>
      <c r="H27" s="155">
        <v>52219</v>
      </c>
      <c r="I27" s="156">
        <f t="shared" ref="I27" si="2">F27-H27</f>
        <v>-52219</v>
      </c>
      <c r="J27" s="157">
        <f t="shared" ref="J27" si="3">J26+I27</f>
        <v>-549862.92999999993</v>
      </c>
      <c r="K27" s="302"/>
      <c r="L27" s="297"/>
      <c r="T27" s="48"/>
      <c r="U27" s="48"/>
    </row>
    <row r="28" spans="1:21" ht="30" customHeight="1" x14ac:dyDescent="0.2">
      <c r="A28" s="137"/>
      <c r="B28" s="16">
        <v>19</v>
      </c>
      <c r="C28" s="59">
        <v>2014</v>
      </c>
      <c r="D28" s="243"/>
      <c r="E28" s="244"/>
      <c r="F28" s="244"/>
      <c r="G28" s="245"/>
      <c r="H28" s="246"/>
      <c r="I28" s="246"/>
      <c r="J28" s="247"/>
      <c r="K28" s="302"/>
      <c r="L28" s="297"/>
      <c r="O28" s="48"/>
      <c r="P28" s="48"/>
      <c r="Q28" s="48"/>
      <c r="R28" s="48"/>
      <c r="S28" s="48"/>
      <c r="T28" s="48"/>
      <c r="U28" s="48"/>
    </row>
    <row r="29" spans="1:21" ht="30" customHeight="1" thickBot="1" x14ac:dyDescent="0.25">
      <c r="A29" s="138"/>
      <c r="B29" s="134">
        <v>20</v>
      </c>
      <c r="C29" s="139">
        <v>2015</v>
      </c>
      <c r="D29" s="233"/>
      <c r="E29" s="234"/>
      <c r="F29" s="235"/>
      <c r="G29" s="234"/>
      <c r="H29" s="235"/>
      <c r="I29" s="236"/>
      <c r="J29" s="237"/>
      <c r="K29" s="302"/>
      <c r="L29" s="297"/>
      <c r="O29" s="48"/>
      <c r="P29" s="48"/>
      <c r="Q29" s="48"/>
      <c r="R29" s="48"/>
      <c r="S29" s="48"/>
      <c r="T29" s="48"/>
      <c r="U29" s="48"/>
    </row>
    <row r="30" spans="1:21" ht="30" customHeight="1" x14ac:dyDescent="0.2">
      <c r="A30" s="500" t="s">
        <v>34</v>
      </c>
      <c r="B30" s="61">
        <v>21</v>
      </c>
      <c r="C30" s="62">
        <v>2016</v>
      </c>
      <c r="D30" s="238"/>
      <c r="E30" s="239"/>
      <c r="F30" s="240"/>
      <c r="G30" s="239"/>
      <c r="H30" s="240"/>
      <c r="I30" s="241"/>
      <c r="J30" s="242"/>
      <c r="K30" s="302"/>
      <c r="L30" s="297"/>
      <c r="O30" s="48"/>
      <c r="P30" s="48"/>
      <c r="Q30" s="48"/>
      <c r="R30" s="48"/>
      <c r="S30" s="48"/>
      <c r="T30" s="48"/>
      <c r="U30" s="48"/>
    </row>
    <row r="31" spans="1:21" ht="30" customHeight="1" x14ac:dyDescent="0.2">
      <c r="A31" s="501"/>
      <c r="B31" s="72">
        <v>22</v>
      </c>
      <c r="C31" s="10" t="s">
        <v>49</v>
      </c>
      <c r="D31" s="243"/>
      <c r="E31" s="244"/>
      <c r="F31" s="244"/>
      <c r="G31" s="245"/>
      <c r="H31" s="246"/>
      <c r="I31" s="246"/>
      <c r="J31" s="247"/>
      <c r="K31" s="302"/>
      <c r="L31" s="297"/>
      <c r="O31" s="48"/>
      <c r="P31" s="48"/>
      <c r="Q31" s="48"/>
      <c r="R31" s="48"/>
      <c r="S31" s="48"/>
      <c r="T31" s="48"/>
      <c r="U31" s="48"/>
    </row>
    <row r="32" spans="1:21" ht="30" customHeight="1" thickBot="1" x14ac:dyDescent="0.25">
      <c r="A32" s="502"/>
      <c r="B32" s="68">
        <v>23</v>
      </c>
      <c r="C32" s="70" t="s">
        <v>50</v>
      </c>
      <c r="D32" s="248"/>
      <c r="E32" s="249"/>
      <c r="F32" s="249"/>
      <c r="G32" s="250"/>
      <c r="H32" s="251"/>
      <c r="I32" s="251"/>
      <c r="J32" s="252"/>
      <c r="K32" s="302"/>
      <c r="L32" s="297"/>
      <c r="O32" s="48"/>
      <c r="P32" s="48"/>
      <c r="Q32" s="48"/>
      <c r="R32" s="48"/>
      <c r="S32" s="48"/>
      <c r="T32" s="48"/>
      <c r="U32" s="48"/>
    </row>
    <row r="33" spans="11:21" ht="3.95" customHeight="1" x14ac:dyDescent="0.2">
      <c r="K33" s="48"/>
      <c r="O33" s="48"/>
      <c r="P33" s="48"/>
      <c r="Q33" s="48"/>
      <c r="R33" s="48"/>
      <c r="S33" s="48"/>
      <c r="T33" s="48"/>
      <c r="U33" s="48"/>
    </row>
    <row r="34" spans="11:21" x14ac:dyDescent="0.2">
      <c r="K34" s="48"/>
      <c r="O34" s="48"/>
      <c r="P34" s="48"/>
      <c r="Q34" s="48"/>
      <c r="R34" s="48"/>
      <c r="S34" s="48"/>
      <c r="T34" s="48"/>
      <c r="U34" s="48"/>
    </row>
    <row r="35" spans="11:21" ht="17.100000000000001" customHeight="1" x14ac:dyDescent="0.2"/>
    <row r="36" spans="11:21" ht="17.100000000000001" customHeight="1" x14ac:dyDescent="0.2"/>
    <row r="37" spans="11:21" ht="17.100000000000001" customHeight="1" x14ac:dyDescent="0.2"/>
    <row r="38" spans="11:21" ht="18" customHeight="1" x14ac:dyDescent="0.2"/>
    <row r="39" spans="11:21" ht="18" customHeight="1" x14ac:dyDescent="0.2"/>
    <row r="40" spans="11:21" ht="18" customHeight="1" x14ac:dyDescent="0.2"/>
    <row r="41" spans="11:21" ht="18" customHeight="1" x14ac:dyDescent="0.2"/>
  </sheetData>
  <mergeCells count="4">
    <mergeCell ref="A30:A32"/>
    <mergeCell ref="G8:H8"/>
    <mergeCell ref="E8:F8"/>
    <mergeCell ref="A10:A26"/>
  </mergeCells>
  <phoneticPr fontId="4" type="noConversion"/>
  <pageMargins left="0.41" right="0.25" top="1" bottom="1" header="0.5" footer="0.5"/>
  <pageSetup scale="63" orientation="landscape" r:id="rId1"/>
  <headerFooter alignWithMargins="0">
    <oddFooter xml:space="preserve">&amp;L&amp;8 &amp;C&amp;A </oddFooter>
  </headerFooter>
  <rowBreaks count="1" manualBreakCount="1">
    <brk id="23"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1:L41"/>
  <sheetViews>
    <sheetView workbookViewId="0"/>
  </sheetViews>
  <sheetFormatPr defaultRowHeight="12.75" x14ac:dyDescent="0.2"/>
  <cols>
    <col min="3" max="3" width="14.140625" customWidth="1"/>
    <col min="4" max="9" width="14.7109375" customWidth="1"/>
    <col min="10" max="10" width="15.7109375" customWidth="1"/>
    <col min="11" max="11" width="22.7109375" customWidth="1"/>
  </cols>
  <sheetData>
    <row r="1" spans="1:12" x14ac:dyDescent="0.2">
      <c r="L1" t="s">
        <v>9</v>
      </c>
    </row>
    <row r="2" spans="1:12" ht="18" x14ac:dyDescent="0.25">
      <c r="A2" s="37" t="s">
        <v>0</v>
      </c>
    </row>
    <row r="3" spans="1:12" ht="18.75" x14ac:dyDescent="0.3">
      <c r="A3" s="37" t="s">
        <v>10</v>
      </c>
    </row>
    <row r="4" spans="1:12" ht="18" x14ac:dyDescent="0.25">
      <c r="A4" s="37"/>
    </row>
    <row r="5" spans="1:12" ht="18" x14ac:dyDescent="0.25">
      <c r="A5" s="37" t="s">
        <v>66</v>
      </c>
    </row>
    <row r="7" spans="1:12" ht="13.5" thickBot="1" x14ac:dyDescent="0.25">
      <c r="B7" s="1" t="s">
        <v>9</v>
      </c>
    </row>
    <row r="8" spans="1:12" ht="13.5" thickBot="1" x14ac:dyDescent="0.25">
      <c r="B8" s="206"/>
      <c r="C8" s="207"/>
      <c r="D8" s="207"/>
      <c r="E8" s="488" t="s">
        <v>1</v>
      </c>
      <c r="F8" s="489"/>
      <c r="G8" s="488" t="s">
        <v>2</v>
      </c>
      <c r="H8" s="489"/>
      <c r="I8" s="208"/>
      <c r="J8" s="207"/>
    </row>
    <row r="9" spans="1:12" ht="42" customHeight="1" thickBot="1" x14ac:dyDescent="0.25">
      <c r="B9" s="209" t="s">
        <v>3</v>
      </c>
      <c r="C9" s="210" t="s">
        <v>4</v>
      </c>
      <c r="D9" s="211" t="s">
        <v>25</v>
      </c>
      <c r="E9" s="212" t="s">
        <v>5</v>
      </c>
      <c r="F9" s="211" t="s">
        <v>6</v>
      </c>
      <c r="G9" s="211" t="s">
        <v>5</v>
      </c>
      <c r="H9" s="211" t="s">
        <v>6</v>
      </c>
      <c r="I9" s="212" t="s">
        <v>7</v>
      </c>
      <c r="J9" s="211" t="s">
        <v>8</v>
      </c>
    </row>
    <row r="10" spans="1:12" ht="18" customHeight="1" x14ac:dyDescent="0.2">
      <c r="A10" s="490" t="s">
        <v>48</v>
      </c>
      <c r="B10" s="2">
        <v>1</v>
      </c>
      <c r="C10" s="3">
        <v>1996</v>
      </c>
      <c r="D10" s="4"/>
      <c r="E10" s="5"/>
      <c r="F10" s="6"/>
      <c r="G10" s="5"/>
      <c r="H10" s="6"/>
      <c r="I10" s="7"/>
      <c r="J10" s="8"/>
    </row>
    <row r="11" spans="1:12" ht="18" customHeight="1" x14ac:dyDescent="0.2">
      <c r="A11" s="491"/>
      <c r="B11" s="9">
        <v>2</v>
      </c>
      <c r="C11" s="10">
        <v>1997</v>
      </c>
      <c r="D11" s="11"/>
      <c r="E11" s="12"/>
      <c r="F11" s="13"/>
      <c r="G11" s="12"/>
      <c r="H11" s="13"/>
      <c r="I11" s="14"/>
      <c r="J11" s="15"/>
    </row>
    <row r="12" spans="1:12" ht="18" customHeight="1" x14ac:dyDescent="0.2">
      <c r="A12" s="491"/>
      <c r="B12" s="9">
        <v>3</v>
      </c>
      <c r="C12" s="10">
        <v>1998</v>
      </c>
      <c r="D12" s="11"/>
      <c r="E12" s="12"/>
      <c r="F12" s="13"/>
      <c r="G12" s="12"/>
      <c r="H12" s="13"/>
      <c r="I12" s="14"/>
      <c r="J12" s="15"/>
    </row>
    <row r="13" spans="1:12" ht="18" customHeight="1" x14ac:dyDescent="0.2">
      <c r="A13" s="491"/>
      <c r="B13" s="9">
        <v>4</v>
      </c>
      <c r="C13" s="10">
        <v>1999</v>
      </c>
      <c r="D13" s="11"/>
      <c r="E13" s="12"/>
      <c r="F13" s="13"/>
      <c r="G13" s="12"/>
      <c r="H13" s="13"/>
      <c r="I13" s="14"/>
      <c r="J13" s="15"/>
    </row>
    <row r="14" spans="1:12" ht="18" customHeight="1" x14ac:dyDescent="0.2">
      <c r="A14" s="491"/>
      <c r="B14" s="9">
        <v>5</v>
      </c>
      <c r="C14" s="10">
        <v>2000</v>
      </c>
      <c r="D14" s="11"/>
      <c r="E14" s="12"/>
      <c r="F14" s="13"/>
      <c r="G14" s="12"/>
      <c r="H14" s="13"/>
      <c r="I14" s="14"/>
      <c r="J14" s="15"/>
    </row>
    <row r="15" spans="1:12" ht="18" customHeight="1" x14ac:dyDescent="0.2">
      <c r="A15" s="491"/>
      <c r="B15" s="9">
        <v>6</v>
      </c>
      <c r="C15" s="10">
        <v>2001</v>
      </c>
      <c r="D15" s="11"/>
      <c r="E15" s="12"/>
      <c r="F15" s="13"/>
      <c r="G15" s="12"/>
      <c r="H15" s="13"/>
      <c r="I15" s="14"/>
      <c r="J15" s="15"/>
    </row>
    <row r="16" spans="1:12" ht="18" customHeight="1" x14ac:dyDescent="0.2">
      <c r="A16" s="491"/>
      <c r="B16" s="9">
        <v>7</v>
      </c>
      <c r="C16" s="10">
        <v>2002</v>
      </c>
      <c r="D16" s="11"/>
      <c r="E16" s="12"/>
      <c r="F16" s="13"/>
      <c r="G16" s="12"/>
      <c r="H16" s="13"/>
      <c r="I16" s="14"/>
      <c r="J16" s="15"/>
    </row>
    <row r="17" spans="1:10" ht="18" customHeight="1" x14ac:dyDescent="0.2">
      <c r="A17" s="491"/>
      <c r="B17" s="16">
        <v>8</v>
      </c>
      <c r="C17" s="17">
        <v>2003</v>
      </c>
      <c r="D17" s="18"/>
      <c r="E17" s="12"/>
      <c r="F17" s="19"/>
      <c r="G17" s="20"/>
      <c r="H17" s="19"/>
      <c r="I17" s="21"/>
      <c r="J17" s="22"/>
    </row>
    <row r="18" spans="1:10" ht="18" customHeight="1" x14ac:dyDescent="0.2">
      <c r="A18" s="491"/>
      <c r="B18" s="23">
        <v>9</v>
      </c>
      <c r="C18" s="24">
        <v>2004</v>
      </c>
      <c r="D18" s="25"/>
      <c r="E18" s="26"/>
      <c r="F18" s="27"/>
      <c r="G18" s="26"/>
      <c r="H18" s="27"/>
      <c r="I18" s="28"/>
      <c r="J18" s="29"/>
    </row>
    <row r="19" spans="1:10" ht="18" customHeight="1" x14ac:dyDescent="0.2">
      <c r="A19" s="491"/>
      <c r="B19" s="16">
        <v>10</v>
      </c>
      <c r="C19" s="17">
        <v>2005</v>
      </c>
      <c r="D19" s="18"/>
      <c r="E19" s="40"/>
      <c r="F19" s="41"/>
      <c r="G19" s="26"/>
      <c r="H19" s="19"/>
      <c r="I19" s="21"/>
      <c r="J19" s="22"/>
    </row>
    <row r="20" spans="1:10" ht="18" customHeight="1" x14ac:dyDescent="0.2">
      <c r="A20" s="491"/>
      <c r="B20" s="35">
        <v>11</v>
      </c>
      <c r="C20" s="17">
        <v>2006</v>
      </c>
      <c r="D20" s="18"/>
      <c r="E20" s="40"/>
      <c r="F20" s="41"/>
      <c r="G20" s="20"/>
      <c r="H20" s="19"/>
      <c r="I20" s="21"/>
      <c r="J20" s="36"/>
    </row>
    <row r="21" spans="1:10" ht="18" customHeight="1" x14ac:dyDescent="0.2">
      <c r="A21" s="491"/>
      <c r="B21" s="33">
        <v>12</v>
      </c>
      <c r="C21" s="52">
        <v>2007</v>
      </c>
      <c r="D21" s="25"/>
      <c r="E21" s="42"/>
      <c r="F21" s="43"/>
      <c r="G21" s="26"/>
      <c r="H21" s="27"/>
      <c r="I21" s="28"/>
      <c r="J21" s="34"/>
    </row>
    <row r="22" spans="1:10" ht="18" customHeight="1" x14ac:dyDescent="0.2">
      <c r="A22" s="491"/>
      <c r="B22" s="35">
        <v>13</v>
      </c>
      <c r="C22" s="59">
        <v>2008</v>
      </c>
      <c r="D22" s="18"/>
      <c r="E22" s="40"/>
      <c r="F22" s="41"/>
      <c r="G22" s="20"/>
      <c r="H22" s="19"/>
      <c r="I22" s="21"/>
      <c r="J22" s="36"/>
    </row>
    <row r="23" spans="1:10" ht="18" customHeight="1" x14ac:dyDescent="0.2">
      <c r="A23" s="491"/>
      <c r="B23" s="16">
        <v>14</v>
      </c>
      <c r="C23" s="59">
        <v>2009</v>
      </c>
      <c r="D23" s="18"/>
      <c r="E23" s="40"/>
      <c r="F23" s="41"/>
      <c r="G23" s="20"/>
      <c r="H23" s="19"/>
      <c r="I23" s="21"/>
      <c r="J23" s="22"/>
    </row>
    <row r="24" spans="1:10" ht="18" customHeight="1" x14ac:dyDescent="0.2">
      <c r="A24" s="491"/>
      <c r="B24" s="35">
        <v>15</v>
      </c>
      <c r="C24" s="17">
        <v>2010</v>
      </c>
      <c r="D24" s="18"/>
      <c r="E24" s="40"/>
      <c r="F24" s="41"/>
      <c r="G24" s="20"/>
      <c r="H24" s="19"/>
      <c r="I24" s="21"/>
      <c r="J24" s="36"/>
    </row>
    <row r="25" spans="1:10" ht="18" customHeight="1" x14ac:dyDescent="0.2">
      <c r="A25" s="491"/>
      <c r="B25" s="38">
        <v>16</v>
      </c>
      <c r="C25" s="92">
        <v>2011</v>
      </c>
      <c r="D25" s="93"/>
      <c r="E25" s="97"/>
      <c r="F25" s="98"/>
      <c r="G25" s="94"/>
      <c r="H25" s="95"/>
      <c r="I25" s="96"/>
      <c r="J25" s="39"/>
    </row>
    <row r="26" spans="1:10" ht="18" customHeight="1" thickBot="1" x14ac:dyDescent="0.25">
      <c r="A26" s="491"/>
      <c r="B26" s="141">
        <v>17</v>
      </c>
      <c r="C26" s="142">
        <v>2012</v>
      </c>
      <c r="D26" s="143"/>
      <c r="E26" s="150"/>
      <c r="F26" s="151"/>
      <c r="G26" s="144"/>
      <c r="H26" s="145"/>
      <c r="I26" s="146"/>
      <c r="J26" s="147"/>
    </row>
    <row r="27" spans="1:10" ht="30" customHeight="1" x14ac:dyDescent="0.2">
      <c r="A27" s="137"/>
      <c r="B27" s="152">
        <v>18</v>
      </c>
      <c r="C27" s="153">
        <v>2013</v>
      </c>
      <c r="D27" s="154"/>
      <c r="E27" s="158"/>
      <c r="F27" s="159"/>
      <c r="G27" s="128"/>
      <c r="H27" s="155"/>
      <c r="I27" s="156"/>
      <c r="J27" s="157"/>
    </row>
    <row r="28" spans="1:10" ht="30" customHeight="1" x14ac:dyDescent="0.2">
      <c r="A28" s="137"/>
      <c r="B28" s="16">
        <v>19</v>
      </c>
      <c r="C28" s="59">
        <v>2014</v>
      </c>
      <c r="D28" s="18"/>
      <c r="E28" s="40"/>
      <c r="F28" s="41"/>
      <c r="G28" s="20"/>
      <c r="H28" s="19"/>
      <c r="I28" s="21"/>
      <c r="J28" s="22"/>
    </row>
    <row r="29" spans="1:10" ht="30" customHeight="1" thickBot="1" x14ac:dyDescent="0.25">
      <c r="A29" s="138"/>
      <c r="B29" s="134">
        <v>20</v>
      </c>
      <c r="C29" s="139">
        <v>2015</v>
      </c>
      <c r="D29" s="93">
        <v>0</v>
      </c>
      <c r="E29" s="97"/>
      <c r="F29" s="98"/>
      <c r="G29" s="94">
        <f>'May17-Exh9-WDA_All_2013'!G29</f>
        <v>0</v>
      </c>
      <c r="H29" s="95">
        <f>G29*D29</f>
        <v>0</v>
      </c>
      <c r="I29" s="96">
        <f>F29-H29</f>
        <v>0</v>
      </c>
      <c r="J29" s="101">
        <f>J25+I29</f>
        <v>0</v>
      </c>
    </row>
    <row r="30" spans="1:10" ht="30" customHeight="1" x14ac:dyDescent="0.2">
      <c r="A30" s="500" t="s">
        <v>34</v>
      </c>
      <c r="B30" s="61">
        <v>21</v>
      </c>
      <c r="C30" s="62">
        <v>2016</v>
      </c>
      <c r="D30" s="63">
        <f>'May17-Exh9-WDA_All_2013'!D30*0</f>
        <v>0</v>
      </c>
      <c r="E30" s="64"/>
      <c r="F30" s="65"/>
      <c r="G30" s="64">
        <f>'May17-Exh9-WDA_All_2013'!G30</f>
        <v>0</v>
      </c>
      <c r="H30" s="65">
        <f>G30*D30</f>
        <v>0</v>
      </c>
      <c r="I30" s="66">
        <f>F30-H30</f>
        <v>0</v>
      </c>
      <c r="J30" s="67">
        <f>J26+I30</f>
        <v>0</v>
      </c>
    </row>
    <row r="31" spans="1:10" ht="30" customHeight="1" x14ac:dyDescent="0.2">
      <c r="A31" s="501"/>
      <c r="B31" s="72">
        <v>22</v>
      </c>
      <c r="C31" s="10" t="s">
        <v>49</v>
      </c>
      <c r="D31" s="18">
        <f>'May17-Exh9-WDA_All_2013'!D31*0</f>
        <v>0</v>
      </c>
      <c r="E31" s="192"/>
      <c r="F31" s="192"/>
      <c r="G31" s="12">
        <f>'May17-Exh9-WDA_All_2013'!G31</f>
        <v>0</v>
      </c>
      <c r="H31" s="13">
        <f>G31*D31</f>
        <v>0</v>
      </c>
      <c r="I31" s="13">
        <f>F31-H31</f>
        <v>0</v>
      </c>
      <c r="J31" s="78">
        <f>J30+I31</f>
        <v>0</v>
      </c>
    </row>
    <row r="32" spans="1:10" ht="30" customHeight="1" thickBot="1" x14ac:dyDescent="0.25">
      <c r="A32" s="502"/>
      <c r="B32" s="68">
        <v>23</v>
      </c>
      <c r="C32" s="70" t="s">
        <v>50</v>
      </c>
      <c r="D32" s="30">
        <f>'May17-Exh9-WDA_All_2013'!D32*0</f>
        <v>0</v>
      </c>
      <c r="E32" s="69"/>
      <c r="F32" s="69"/>
      <c r="G32" s="71">
        <f>'May17-Exh9-WDA_All_2013'!G32</f>
        <v>0</v>
      </c>
      <c r="H32" s="76">
        <f>G32*D32</f>
        <v>0</v>
      </c>
      <c r="I32" s="76">
        <f>F32-H32</f>
        <v>0</v>
      </c>
      <c r="J32" s="77">
        <f>J31+I32</f>
        <v>0</v>
      </c>
    </row>
    <row r="33" ht="3.95" customHeight="1" x14ac:dyDescent="0.2"/>
    <row r="35" ht="17.100000000000001" customHeight="1" x14ac:dyDescent="0.2"/>
    <row r="36" ht="17.100000000000001" customHeight="1" x14ac:dyDescent="0.2"/>
    <row r="37" ht="17.100000000000001" customHeight="1" x14ac:dyDescent="0.2"/>
    <row r="38" ht="18" customHeight="1" x14ac:dyDescent="0.2"/>
    <row r="39" ht="18" customHeight="1" x14ac:dyDescent="0.2"/>
    <row r="40" ht="18" customHeight="1" x14ac:dyDescent="0.2"/>
    <row r="41" ht="18" customHeight="1" x14ac:dyDescent="0.2"/>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A75C4"/>
    <pageSetUpPr fitToPage="1"/>
  </sheetPr>
  <dimension ref="A2:K37"/>
  <sheetViews>
    <sheetView workbookViewId="0"/>
  </sheetViews>
  <sheetFormatPr defaultRowHeight="12.75" x14ac:dyDescent="0.2"/>
  <cols>
    <col min="3" max="3" width="13.28515625" customWidth="1"/>
    <col min="4" max="9" width="14.7109375" customWidth="1"/>
    <col min="10" max="10" width="15.7109375" customWidth="1"/>
    <col min="11" max="11" width="22.7109375" customWidth="1"/>
    <col min="12" max="14" width="15.42578125" customWidth="1"/>
  </cols>
  <sheetData>
    <row r="2" spans="1:10" ht="18" x14ac:dyDescent="0.25">
      <c r="A2" s="37" t="s">
        <v>0</v>
      </c>
    </row>
    <row r="3" spans="1:10" ht="18.75" x14ac:dyDescent="0.3">
      <c r="A3" s="37" t="s">
        <v>10</v>
      </c>
    </row>
    <row r="4" spans="1:10" ht="18" x14ac:dyDescent="0.25">
      <c r="A4" s="37"/>
    </row>
    <row r="5" spans="1:10" ht="18" x14ac:dyDescent="0.25">
      <c r="A5" s="37" t="s">
        <v>11</v>
      </c>
      <c r="J5" s="254" t="s">
        <v>9</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c r="E10" s="5"/>
      <c r="F10" s="6"/>
      <c r="G10" s="5"/>
      <c r="H10" s="6"/>
      <c r="I10" s="7"/>
      <c r="J10" s="8"/>
    </row>
    <row r="11" spans="1:10" ht="18" customHeight="1" x14ac:dyDescent="0.2">
      <c r="A11" s="499"/>
      <c r="B11" s="9">
        <v>2</v>
      </c>
      <c r="C11" s="10">
        <v>1997</v>
      </c>
      <c r="D11" s="11"/>
      <c r="E11" s="12"/>
      <c r="F11" s="13"/>
      <c r="G11" s="12"/>
      <c r="H11" s="13"/>
      <c r="I11" s="14"/>
      <c r="J11" s="15"/>
    </row>
    <row r="12" spans="1:10" ht="18" customHeight="1" x14ac:dyDescent="0.2">
      <c r="A12" s="499"/>
      <c r="B12" s="9">
        <v>3</v>
      </c>
      <c r="C12" s="10">
        <v>1998</v>
      </c>
      <c r="D12" s="11"/>
      <c r="E12" s="12"/>
      <c r="F12" s="13"/>
      <c r="G12" s="12"/>
      <c r="H12" s="13"/>
      <c r="I12" s="14"/>
      <c r="J12" s="15"/>
    </row>
    <row r="13" spans="1:10" ht="18" customHeight="1" x14ac:dyDescent="0.2">
      <c r="A13" s="499"/>
      <c r="B13" s="9">
        <v>4</v>
      </c>
      <c r="C13" s="10">
        <v>1999</v>
      </c>
      <c r="D13" s="11"/>
      <c r="E13" s="12"/>
      <c r="F13" s="13"/>
      <c r="G13" s="12"/>
      <c r="H13" s="13"/>
      <c r="I13" s="14"/>
      <c r="J13" s="15"/>
    </row>
    <row r="14" spans="1:10" ht="18" customHeight="1" x14ac:dyDescent="0.2">
      <c r="A14" s="499"/>
      <c r="B14" s="9">
        <v>5</v>
      </c>
      <c r="C14" s="10">
        <v>2000</v>
      </c>
      <c r="D14" s="11"/>
      <c r="E14" s="12"/>
      <c r="F14" s="13"/>
      <c r="G14" s="12"/>
      <c r="H14" s="13"/>
      <c r="I14" s="14"/>
      <c r="J14" s="15"/>
    </row>
    <row r="15" spans="1:10" ht="18" customHeight="1" x14ac:dyDescent="0.2">
      <c r="A15" s="499"/>
      <c r="B15" s="9">
        <v>6</v>
      </c>
      <c r="C15" s="10">
        <v>2001</v>
      </c>
      <c r="D15" s="11"/>
      <c r="E15" s="12"/>
      <c r="F15" s="13"/>
      <c r="G15" s="12"/>
      <c r="H15" s="13"/>
      <c r="I15" s="14"/>
      <c r="J15" s="15"/>
    </row>
    <row r="16" spans="1:10" ht="18" customHeight="1" x14ac:dyDescent="0.2">
      <c r="A16" s="499"/>
      <c r="B16" s="9">
        <v>7</v>
      </c>
      <c r="C16" s="10">
        <v>2002</v>
      </c>
      <c r="D16" s="11"/>
      <c r="E16" s="12"/>
      <c r="F16" s="13"/>
      <c r="G16" s="12"/>
      <c r="H16" s="13"/>
      <c r="I16" s="14"/>
      <c r="J16" s="15"/>
    </row>
    <row r="17" spans="1:11" ht="18" customHeight="1" x14ac:dyDescent="0.2">
      <c r="A17" s="499"/>
      <c r="B17" s="16">
        <v>8</v>
      </c>
      <c r="C17" s="17">
        <v>2003</v>
      </c>
      <c r="D17" s="18"/>
      <c r="E17" s="12"/>
      <c r="F17" s="19"/>
      <c r="G17" s="20"/>
      <c r="H17" s="19"/>
      <c r="I17" s="21"/>
      <c r="J17" s="22"/>
    </row>
    <row r="18" spans="1:11" ht="18" customHeight="1" x14ac:dyDescent="0.2">
      <c r="A18" s="499"/>
      <c r="B18" s="23">
        <v>9</v>
      </c>
      <c r="C18" s="24">
        <v>2004</v>
      </c>
      <c r="D18" s="25"/>
      <c r="E18" s="26"/>
      <c r="F18" s="27"/>
      <c r="G18" s="26"/>
      <c r="H18" s="27"/>
      <c r="I18" s="28"/>
      <c r="J18" s="29"/>
    </row>
    <row r="19" spans="1:11" ht="18" customHeight="1" x14ac:dyDescent="0.2">
      <c r="A19" s="499"/>
      <c r="B19" s="16">
        <v>10</v>
      </c>
      <c r="C19" s="17">
        <v>2005</v>
      </c>
      <c r="D19" s="18"/>
      <c r="E19" s="40"/>
      <c r="F19" s="41"/>
      <c r="G19" s="26"/>
      <c r="H19" s="19">
        <v>5427</v>
      </c>
      <c r="I19" s="21">
        <f t="shared" ref="I19:I26" si="0">F19-H19</f>
        <v>-5427</v>
      </c>
      <c r="J19" s="36">
        <f>I19</f>
        <v>-5427</v>
      </c>
    </row>
    <row r="20" spans="1:11" ht="18" customHeight="1" x14ac:dyDescent="0.2">
      <c r="A20" s="499"/>
      <c r="B20" s="35">
        <v>11</v>
      </c>
      <c r="C20" s="17">
        <v>2006</v>
      </c>
      <c r="D20" s="18">
        <v>931</v>
      </c>
      <c r="E20" s="40"/>
      <c r="F20" s="41"/>
      <c r="G20" s="20">
        <f t="shared" ref="G20:G25" si="1">H20/D20</f>
        <v>943.84854994629427</v>
      </c>
      <c r="H20" s="19">
        <v>878723</v>
      </c>
      <c r="I20" s="21">
        <f t="shared" si="0"/>
        <v>-878723</v>
      </c>
      <c r="J20" s="34">
        <f t="shared" ref="J20:J26" si="2">J19+I20</f>
        <v>-884150</v>
      </c>
    </row>
    <row r="21" spans="1:11" ht="18" customHeight="1" x14ac:dyDescent="0.2">
      <c r="A21" s="499"/>
      <c r="B21" s="33">
        <v>12</v>
      </c>
      <c r="C21" s="52">
        <v>2007</v>
      </c>
      <c r="D21" s="25">
        <v>1813</v>
      </c>
      <c r="E21" s="42"/>
      <c r="F21" s="43"/>
      <c r="G21" s="26">
        <f t="shared" si="1"/>
        <v>1055.9365692222834</v>
      </c>
      <c r="H21" s="27">
        <v>1914413</v>
      </c>
      <c r="I21" s="28">
        <f t="shared" si="0"/>
        <v>-1914413</v>
      </c>
      <c r="J21" s="34">
        <f t="shared" si="2"/>
        <v>-2798563</v>
      </c>
    </row>
    <row r="22" spans="1:11" ht="18" customHeight="1" x14ac:dyDescent="0.2">
      <c r="A22" s="499"/>
      <c r="B22" s="35">
        <v>13</v>
      </c>
      <c r="C22" s="59">
        <v>2008</v>
      </c>
      <c r="D22" s="18">
        <v>2515</v>
      </c>
      <c r="E22" s="40"/>
      <c r="F22" s="41"/>
      <c r="G22" s="20">
        <f t="shared" si="1"/>
        <v>914.80636182902583</v>
      </c>
      <c r="H22" s="19">
        <v>2300738</v>
      </c>
      <c r="I22" s="21">
        <f t="shared" si="0"/>
        <v>-2300738</v>
      </c>
      <c r="J22" s="36">
        <f t="shared" si="2"/>
        <v>-5099301</v>
      </c>
    </row>
    <row r="23" spans="1:11" ht="18" customHeight="1" x14ac:dyDescent="0.2">
      <c r="A23" s="499"/>
      <c r="B23" s="16">
        <v>14</v>
      </c>
      <c r="C23" s="59">
        <v>2009</v>
      </c>
      <c r="D23" s="18">
        <v>3299</v>
      </c>
      <c r="E23" s="40"/>
      <c r="F23" s="41"/>
      <c r="G23" s="20">
        <f t="shared" si="1"/>
        <v>1393.110942709912</v>
      </c>
      <c r="H23" s="19">
        <v>4595873</v>
      </c>
      <c r="I23" s="21">
        <f t="shared" si="0"/>
        <v>-4595873</v>
      </c>
      <c r="J23" s="22">
        <f t="shared" si="2"/>
        <v>-9695174</v>
      </c>
    </row>
    <row r="24" spans="1:11" ht="18" customHeight="1" x14ac:dyDescent="0.2">
      <c r="A24" s="499"/>
      <c r="B24" s="35">
        <v>15</v>
      </c>
      <c r="C24" s="17">
        <v>2010</v>
      </c>
      <c r="D24" s="18">
        <v>4018</v>
      </c>
      <c r="E24" s="40"/>
      <c r="F24" s="41"/>
      <c r="G24" s="20">
        <f t="shared" si="1"/>
        <v>1128.0201592832254</v>
      </c>
      <c r="H24" s="19">
        <v>4532385</v>
      </c>
      <c r="I24" s="21">
        <f t="shared" si="0"/>
        <v>-4532385</v>
      </c>
      <c r="J24" s="36">
        <f t="shared" si="2"/>
        <v>-14227559</v>
      </c>
    </row>
    <row r="25" spans="1:11" ht="18" customHeight="1" x14ac:dyDescent="0.2">
      <c r="A25" s="499"/>
      <c r="B25" s="38">
        <v>16</v>
      </c>
      <c r="C25" s="92">
        <v>2011</v>
      </c>
      <c r="D25" s="93">
        <v>4514</v>
      </c>
      <c r="E25" s="97"/>
      <c r="F25" s="98"/>
      <c r="G25" s="94">
        <f t="shared" si="1"/>
        <v>1007.9739455028798</v>
      </c>
      <c r="H25" s="95">
        <v>4549994.3899999997</v>
      </c>
      <c r="I25" s="96">
        <f t="shared" si="0"/>
        <v>-4549994.3899999997</v>
      </c>
      <c r="J25" s="39">
        <f t="shared" si="2"/>
        <v>-18777553.390000001</v>
      </c>
      <c r="K25" s="48"/>
    </row>
    <row r="26" spans="1:11" ht="18" customHeight="1" thickBot="1" x14ac:dyDescent="0.25">
      <c r="A26" s="499"/>
      <c r="B26" s="141">
        <v>17</v>
      </c>
      <c r="C26" s="142">
        <v>2012</v>
      </c>
      <c r="D26" s="143">
        <v>4978</v>
      </c>
      <c r="E26" s="150"/>
      <c r="F26" s="151"/>
      <c r="G26" s="144">
        <f>+H26/D26</f>
        <v>1209.6862193652069</v>
      </c>
      <c r="H26" s="145">
        <v>6021818</v>
      </c>
      <c r="I26" s="146">
        <f t="shared" si="0"/>
        <v>-6021818</v>
      </c>
      <c r="J26" s="147">
        <f t="shared" si="2"/>
        <v>-24799371.390000001</v>
      </c>
      <c r="K26" s="48"/>
    </row>
    <row r="27" spans="1:11" ht="30" customHeight="1" x14ac:dyDescent="0.2">
      <c r="A27" s="135"/>
      <c r="B27" s="152">
        <v>18</v>
      </c>
      <c r="C27" s="153">
        <v>2013</v>
      </c>
      <c r="D27" s="154">
        <v>5326</v>
      </c>
      <c r="E27" s="158"/>
      <c r="F27" s="159"/>
      <c r="G27" s="128">
        <f>+H27/D27</f>
        <v>1038.8520465640256</v>
      </c>
      <c r="H27" s="155">
        <v>5532926</v>
      </c>
      <c r="I27" s="156">
        <f t="shared" ref="I27:I32" si="3">F27-H27</f>
        <v>-5532926</v>
      </c>
      <c r="J27" s="157">
        <f t="shared" ref="J27:J32" si="4">J26+I27</f>
        <v>-30332297.390000001</v>
      </c>
      <c r="K27" s="48"/>
    </row>
    <row r="28" spans="1:11" ht="30" customHeight="1" x14ac:dyDescent="0.2">
      <c r="A28" s="135"/>
      <c r="B28" s="16">
        <v>19</v>
      </c>
      <c r="C28" s="59">
        <v>2014</v>
      </c>
      <c r="D28" s="18">
        <f>'OHCA_C-Report_2014-16'!L18</f>
        <v>6148</v>
      </c>
      <c r="E28" s="40"/>
      <c r="F28" s="41"/>
      <c r="G28" s="20">
        <f>+H28/D28</f>
        <v>1018.6990891346779</v>
      </c>
      <c r="H28" s="19">
        <f>'OHCA_C-Report_2014-16'!M19</f>
        <v>6262962</v>
      </c>
      <c r="I28" s="21">
        <f t="shared" si="3"/>
        <v>-6262962</v>
      </c>
      <c r="J28" s="22">
        <f t="shared" si="4"/>
        <v>-36595259.390000001</v>
      </c>
      <c r="K28" s="48"/>
    </row>
    <row r="29" spans="1:11" ht="30" customHeight="1" thickBot="1" x14ac:dyDescent="0.25">
      <c r="A29" s="136"/>
      <c r="B29" s="134">
        <v>20</v>
      </c>
      <c r="C29" s="139">
        <v>2015</v>
      </c>
      <c r="D29" s="93">
        <f>'OHCA_C-Report_2014-16'!X$18</f>
        <v>6771</v>
      </c>
      <c r="E29" s="97"/>
      <c r="F29" s="98"/>
      <c r="G29" s="94">
        <f>H29/D29</f>
        <v>886.04342046964996</v>
      </c>
      <c r="H29" s="95">
        <f>'OHCA_C-Report_2014-16'!Y$19</f>
        <v>5999400</v>
      </c>
      <c r="I29" s="96">
        <f t="shared" si="3"/>
        <v>-5999400</v>
      </c>
      <c r="J29" s="101">
        <f t="shared" si="4"/>
        <v>-42594659.390000001</v>
      </c>
      <c r="K29" s="48"/>
    </row>
    <row r="30" spans="1:11" ht="30" customHeight="1" x14ac:dyDescent="0.2">
      <c r="A30" s="495" t="s">
        <v>34</v>
      </c>
      <c r="B30" s="61">
        <v>21</v>
      </c>
      <c r="C30" s="62">
        <v>2016</v>
      </c>
      <c r="D30" s="63">
        <f>'OHCA_C-Report_2014-16'!AJ$18</f>
        <v>7149</v>
      </c>
      <c r="E30" s="168"/>
      <c r="F30" s="169"/>
      <c r="G30" s="64">
        <f>H30/D30</f>
        <v>716.0681214155826</v>
      </c>
      <c r="H30" s="65">
        <f>'OHCA_C-Report_2014-16'!AK$19</f>
        <v>5119171</v>
      </c>
      <c r="I30" s="66">
        <f t="shared" si="3"/>
        <v>-5119171</v>
      </c>
      <c r="J30" s="67">
        <f t="shared" si="4"/>
        <v>-47713830.390000001</v>
      </c>
    </row>
    <row r="31" spans="1:11" ht="30" customHeight="1" x14ac:dyDescent="0.2">
      <c r="A31" s="496"/>
      <c r="B31" s="72">
        <v>22</v>
      </c>
      <c r="C31" s="73" t="s">
        <v>49</v>
      </c>
      <c r="D31" s="11">
        <f>D30*(1+'May17-Exh1&amp;2-Trends'!$K$17)</f>
        <v>7869.5734136529427</v>
      </c>
      <c r="E31" s="184"/>
      <c r="F31" s="184"/>
      <c r="G31" s="12">
        <f>G30*'May17-Exh1&amp;2-Trends'!$D$32</f>
        <v>746.14298251503715</v>
      </c>
      <c r="H31" s="13">
        <f>D31*G31</f>
        <v>5871826.9779840484</v>
      </c>
      <c r="I31" s="13">
        <f t="shared" si="3"/>
        <v>-5871826.9779840484</v>
      </c>
      <c r="J31" s="78">
        <f t="shared" si="4"/>
        <v>-53585657.367984049</v>
      </c>
    </row>
    <row r="32" spans="1:11" ht="30" customHeight="1" thickBot="1" x14ac:dyDescent="0.25">
      <c r="A32" s="497"/>
      <c r="B32" s="68">
        <v>23</v>
      </c>
      <c r="C32" s="70" t="s">
        <v>50</v>
      </c>
      <c r="D32" s="75">
        <f>D31*(1+'May17-Exh1&amp;2-Trends'!$K$17)</f>
        <v>8662.776012431561</v>
      </c>
      <c r="E32" s="185"/>
      <c r="F32" s="185"/>
      <c r="G32" s="71">
        <f>G31*'May17-Exh1&amp;2-Trends'!$D$32</f>
        <v>777.48098778066878</v>
      </c>
      <c r="H32" s="76">
        <f>D32*G32</f>
        <v>6735143.6510679731</v>
      </c>
      <c r="I32" s="76">
        <f t="shared" si="3"/>
        <v>-6735143.6510679731</v>
      </c>
      <c r="J32" s="77">
        <f t="shared" si="4"/>
        <v>-60320801.019052021</v>
      </c>
    </row>
    <row r="33" spans="4:8" x14ac:dyDescent="0.2">
      <c r="D33" s="190"/>
      <c r="G33" s="190"/>
      <c r="H33" s="190"/>
    </row>
    <row r="34" spans="4:8" x14ac:dyDescent="0.2">
      <c r="D34" s="190"/>
      <c r="G34" s="190"/>
      <c r="H34" s="190"/>
    </row>
    <row r="35" spans="4:8" x14ac:dyDescent="0.2">
      <c r="D35" s="190"/>
      <c r="G35" s="190"/>
      <c r="H35" s="190"/>
    </row>
    <row r="36" spans="4:8" x14ac:dyDescent="0.2">
      <c r="D36" s="190"/>
      <c r="G36" s="190"/>
      <c r="H36" s="190"/>
    </row>
    <row r="37" spans="4:8" x14ac:dyDescent="0.2">
      <c r="D37" s="190"/>
      <c r="G37" s="190"/>
      <c r="H37" s="190"/>
    </row>
  </sheetData>
  <mergeCells count="4">
    <mergeCell ref="A30:A32"/>
    <mergeCell ref="G8:H8"/>
    <mergeCell ref="E8:F8"/>
    <mergeCell ref="A10:A26"/>
  </mergeCells>
  <phoneticPr fontId="4" type="noConversion"/>
  <pageMargins left="0.41" right="0.25" top="1" bottom="1" header="0.5" footer="0.5"/>
  <pageSetup scale="80" orientation="landscape" r:id="rId1"/>
  <headerFooter alignWithMargins="0">
    <oddFooter xml:space="preserve">&amp;L&amp;8 &amp;C&amp;A </oddFooter>
  </headerFooter>
  <rowBreaks count="1" manualBreakCount="1">
    <brk id="2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3A75C4"/>
    <pageSetUpPr fitToPage="1"/>
  </sheetPr>
  <dimension ref="A2:J33"/>
  <sheetViews>
    <sheetView workbookViewId="0"/>
  </sheetViews>
  <sheetFormatPr defaultRowHeight="12.75" x14ac:dyDescent="0.2"/>
  <cols>
    <col min="3" max="3" width="14" customWidth="1"/>
    <col min="4" max="9" width="14.7109375" customWidth="1"/>
    <col min="10" max="10" width="15.7109375" customWidth="1"/>
    <col min="11" max="11" width="22.7109375" customWidth="1"/>
    <col min="12" max="14" width="13.7109375" customWidth="1"/>
  </cols>
  <sheetData>
    <row r="2" spans="1:10" ht="18" x14ac:dyDescent="0.25">
      <c r="A2" s="37" t="s">
        <v>0</v>
      </c>
    </row>
    <row r="3" spans="1:10" ht="18.75" x14ac:dyDescent="0.3">
      <c r="A3" s="37" t="s">
        <v>10</v>
      </c>
    </row>
    <row r="4" spans="1:10" ht="18" x14ac:dyDescent="0.25">
      <c r="A4" s="37"/>
    </row>
    <row r="5" spans="1:10" ht="18" x14ac:dyDescent="0.25">
      <c r="A5" s="37" t="s">
        <v>68</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c r="E10" s="5"/>
      <c r="F10" s="6"/>
      <c r="G10" s="5"/>
      <c r="H10" s="6"/>
      <c r="I10" s="7"/>
      <c r="J10" s="8"/>
    </row>
    <row r="11" spans="1:10" ht="18" customHeight="1" x14ac:dyDescent="0.2">
      <c r="A11" s="499"/>
      <c r="B11" s="9">
        <v>2</v>
      </c>
      <c r="C11" s="10">
        <v>1997</v>
      </c>
      <c r="D11" s="11"/>
      <c r="E11" s="12"/>
      <c r="F11" s="13"/>
      <c r="G11" s="12"/>
      <c r="H11" s="13"/>
      <c r="I11" s="14"/>
      <c r="J11" s="15"/>
    </row>
    <row r="12" spans="1:10" ht="18" customHeight="1" x14ac:dyDescent="0.2">
      <c r="A12" s="499"/>
      <c r="B12" s="9">
        <v>3</v>
      </c>
      <c r="C12" s="10">
        <v>1998</v>
      </c>
      <c r="D12" s="11"/>
      <c r="E12" s="12"/>
      <c r="F12" s="13"/>
      <c r="G12" s="12"/>
      <c r="H12" s="13"/>
      <c r="I12" s="14"/>
      <c r="J12" s="15"/>
    </row>
    <row r="13" spans="1:10" ht="18" customHeight="1" x14ac:dyDescent="0.2">
      <c r="A13" s="499"/>
      <c r="B13" s="9">
        <v>4</v>
      </c>
      <c r="C13" s="10">
        <v>1999</v>
      </c>
      <c r="D13" s="11"/>
      <c r="E13" s="12"/>
      <c r="F13" s="13"/>
      <c r="G13" s="12"/>
      <c r="H13" s="13"/>
      <c r="I13" s="14"/>
      <c r="J13" s="15"/>
    </row>
    <row r="14" spans="1:10" ht="18" customHeight="1" x14ac:dyDescent="0.2">
      <c r="A14" s="499"/>
      <c r="B14" s="9">
        <v>5</v>
      </c>
      <c r="C14" s="10">
        <v>2000</v>
      </c>
      <c r="D14" s="11"/>
      <c r="E14" s="12"/>
      <c r="F14" s="13"/>
      <c r="G14" s="12"/>
      <c r="H14" s="13"/>
      <c r="I14" s="14"/>
      <c r="J14" s="15"/>
    </row>
    <row r="15" spans="1:10" ht="18" customHeight="1" x14ac:dyDescent="0.2">
      <c r="A15" s="499"/>
      <c r="B15" s="9">
        <v>6</v>
      </c>
      <c r="C15" s="10">
        <v>2001</v>
      </c>
      <c r="D15" s="11"/>
      <c r="E15" s="12"/>
      <c r="F15" s="13"/>
      <c r="G15" s="12"/>
      <c r="H15" s="13"/>
      <c r="I15" s="14"/>
      <c r="J15" s="15"/>
    </row>
    <row r="16" spans="1:10" ht="18" customHeight="1" x14ac:dyDescent="0.2">
      <c r="A16" s="499"/>
      <c r="B16" s="9">
        <v>7</v>
      </c>
      <c r="C16" s="10">
        <v>2002</v>
      </c>
      <c r="D16" s="11"/>
      <c r="E16" s="12"/>
      <c r="F16" s="13"/>
      <c r="G16" s="12"/>
      <c r="H16" s="13"/>
      <c r="I16" s="14"/>
      <c r="J16" s="15"/>
    </row>
    <row r="17" spans="1:10" ht="18" customHeight="1" x14ac:dyDescent="0.2">
      <c r="A17" s="499"/>
      <c r="B17" s="16">
        <v>8</v>
      </c>
      <c r="C17" s="17">
        <v>2003</v>
      </c>
      <c r="D17" s="18"/>
      <c r="E17" s="12"/>
      <c r="F17" s="19"/>
      <c r="G17" s="20"/>
      <c r="H17" s="19"/>
      <c r="I17" s="21"/>
      <c r="J17" s="22"/>
    </row>
    <row r="18" spans="1:10" ht="18" customHeight="1" x14ac:dyDescent="0.2">
      <c r="A18" s="499"/>
      <c r="B18" s="23">
        <v>9</v>
      </c>
      <c r="C18" s="24">
        <v>2004</v>
      </c>
      <c r="D18" s="25"/>
      <c r="E18" s="26"/>
      <c r="F18" s="27"/>
      <c r="G18" s="26"/>
      <c r="H18" s="27"/>
      <c r="I18" s="28"/>
      <c r="J18" s="29"/>
    </row>
    <row r="19" spans="1:10" ht="18" customHeight="1" x14ac:dyDescent="0.2">
      <c r="A19" s="499"/>
      <c r="B19" s="16">
        <v>10</v>
      </c>
      <c r="C19" s="17">
        <v>2005</v>
      </c>
      <c r="D19" s="18"/>
      <c r="E19" s="20"/>
      <c r="F19" s="19"/>
      <c r="G19" s="26"/>
      <c r="H19" s="19"/>
      <c r="I19" s="21"/>
      <c r="J19" s="22"/>
    </row>
    <row r="20" spans="1:10" ht="18" customHeight="1" x14ac:dyDescent="0.2">
      <c r="A20" s="499"/>
      <c r="B20" s="35">
        <v>11</v>
      </c>
      <c r="C20" s="17">
        <v>2006</v>
      </c>
      <c r="D20" s="18"/>
      <c r="E20" s="20"/>
      <c r="F20" s="19"/>
      <c r="G20" s="20"/>
      <c r="H20" s="19"/>
      <c r="I20" s="21"/>
      <c r="J20" s="36"/>
    </row>
    <row r="21" spans="1:10" ht="18" customHeight="1" x14ac:dyDescent="0.2">
      <c r="A21" s="499"/>
      <c r="B21" s="33">
        <v>12</v>
      </c>
      <c r="C21" s="52">
        <v>2007</v>
      </c>
      <c r="D21" s="25"/>
      <c r="E21" s="26"/>
      <c r="F21" s="27"/>
      <c r="G21" s="26"/>
      <c r="H21" s="27"/>
      <c r="I21" s="28"/>
      <c r="J21" s="34"/>
    </row>
    <row r="22" spans="1:10" ht="18" customHeight="1" x14ac:dyDescent="0.2">
      <c r="A22" s="499"/>
      <c r="B22" s="35">
        <v>13</v>
      </c>
      <c r="C22" s="59">
        <v>2008</v>
      </c>
      <c r="D22" s="18"/>
      <c r="E22" s="20"/>
      <c r="F22" s="19"/>
      <c r="G22" s="20"/>
      <c r="H22" s="19"/>
      <c r="I22" s="21"/>
      <c r="J22" s="36"/>
    </row>
    <row r="23" spans="1:10" ht="18" customHeight="1" x14ac:dyDescent="0.2">
      <c r="A23" s="499"/>
      <c r="B23" s="16">
        <v>14</v>
      </c>
      <c r="C23" s="59">
        <v>2009</v>
      </c>
      <c r="D23" s="18">
        <v>873</v>
      </c>
      <c r="E23" s="20"/>
      <c r="F23" s="19"/>
      <c r="G23" s="20">
        <f>H23/D23</f>
        <v>65.140034364261169</v>
      </c>
      <c r="H23" s="19">
        <v>56867.25</v>
      </c>
      <c r="I23" s="21">
        <f t="shared" ref="I23:I27" si="0">F23-H23</f>
        <v>-56867.25</v>
      </c>
      <c r="J23" s="22">
        <f>I23</f>
        <v>-56867.25</v>
      </c>
    </row>
    <row r="24" spans="1:10" ht="18" customHeight="1" x14ac:dyDescent="0.2">
      <c r="A24" s="499"/>
      <c r="B24" s="35">
        <v>15</v>
      </c>
      <c r="C24" s="17">
        <v>2010</v>
      </c>
      <c r="D24" s="18">
        <v>3972</v>
      </c>
      <c r="E24" s="20"/>
      <c r="F24" s="19"/>
      <c r="G24" s="20">
        <f>H24/D24</f>
        <v>150.84786253776434</v>
      </c>
      <c r="H24" s="19">
        <v>599167.71</v>
      </c>
      <c r="I24" s="21">
        <f t="shared" si="0"/>
        <v>-599167.71</v>
      </c>
      <c r="J24" s="36">
        <f t="shared" ref="J24:J27" si="1">J23+I24</f>
        <v>-656034.96</v>
      </c>
    </row>
    <row r="25" spans="1:10" ht="18" customHeight="1" x14ac:dyDescent="0.2">
      <c r="A25" s="499"/>
      <c r="B25" s="38">
        <v>16</v>
      </c>
      <c r="C25" s="92">
        <v>2011</v>
      </c>
      <c r="D25" s="93">
        <v>5493</v>
      </c>
      <c r="E25" s="94"/>
      <c r="F25" s="95"/>
      <c r="G25" s="94">
        <f>H25/D25</f>
        <v>147.65337702530493</v>
      </c>
      <c r="H25" s="95">
        <v>811060</v>
      </c>
      <c r="I25" s="96">
        <f t="shared" si="0"/>
        <v>-811060</v>
      </c>
      <c r="J25" s="39">
        <f t="shared" si="1"/>
        <v>-1467094.96</v>
      </c>
    </row>
    <row r="26" spans="1:10" ht="18" customHeight="1" thickBot="1" x14ac:dyDescent="0.25">
      <c r="A26" s="499"/>
      <c r="B26" s="141">
        <v>17</v>
      </c>
      <c r="C26" s="142">
        <v>2012</v>
      </c>
      <c r="D26" s="143">
        <v>6724</v>
      </c>
      <c r="E26" s="144"/>
      <c r="F26" s="145"/>
      <c r="G26" s="144">
        <f>+H26/D26</f>
        <v>162.45315288518739</v>
      </c>
      <c r="H26" s="145">
        <v>1092335</v>
      </c>
      <c r="I26" s="146">
        <f t="shared" si="0"/>
        <v>-1092335</v>
      </c>
      <c r="J26" s="147">
        <f t="shared" si="1"/>
        <v>-2559429.96</v>
      </c>
    </row>
    <row r="27" spans="1:10" ht="30" customHeight="1" x14ac:dyDescent="0.2">
      <c r="A27" s="135"/>
      <c r="B27" s="152">
        <v>18</v>
      </c>
      <c r="C27" s="153">
        <v>2013</v>
      </c>
      <c r="D27" s="154">
        <v>5630</v>
      </c>
      <c r="E27" s="128"/>
      <c r="F27" s="155"/>
      <c r="G27" s="128">
        <f>+H27/D27</f>
        <v>191.36092362344581</v>
      </c>
      <c r="H27" s="155">
        <v>1077362</v>
      </c>
      <c r="I27" s="156">
        <f t="shared" si="0"/>
        <v>-1077362</v>
      </c>
      <c r="J27" s="157">
        <f t="shared" si="1"/>
        <v>-3636791.96</v>
      </c>
    </row>
    <row r="28" spans="1:10" ht="30" customHeight="1" x14ac:dyDescent="0.2">
      <c r="A28" s="135"/>
      <c r="B28" s="16">
        <v>19</v>
      </c>
      <c r="C28" s="59">
        <v>2014</v>
      </c>
      <c r="D28" s="243"/>
      <c r="E28" s="244"/>
      <c r="F28" s="244"/>
      <c r="G28" s="253"/>
      <c r="H28" s="246"/>
      <c r="I28" s="246"/>
      <c r="J28" s="247"/>
    </row>
    <row r="29" spans="1:10" ht="30" customHeight="1" thickBot="1" x14ac:dyDescent="0.25">
      <c r="A29" s="136"/>
      <c r="B29" s="134">
        <v>20</v>
      </c>
      <c r="C29" s="139">
        <v>2015</v>
      </c>
      <c r="D29" s="233"/>
      <c r="E29" s="234"/>
      <c r="F29" s="235"/>
      <c r="G29" s="234"/>
      <c r="H29" s="235"/>
      <c r="I29" s="236"/>
      <c r="J29" s="237"/>
    </row>
    <row r="30" spans="1:10" ht="30" customHeight="1" x14ac:dyDescent="0.2">
      <c r="A30" s="495" t="s">
        <v>34</v>
      </c>
      <c r="B30" s="61">
        <v>21</v>
      </c>
      <c r="C30" s="62">
        <v>2016</v>
      </c>
      <c r="D30" s="238"/>
      <c r="E30" s="239"/>
      <c r="F30" s="240"/>
      <c r="G30" s="239"/>
      <c r="H30" s="240"/>
      <c r="I30" s="241"/>
      <c r="J30" s="242"/>
    </row>
    <row r="31" spans="1:10" ht="30" customHeight="1" x14ac:dyDescent="0.2">
      <c r="A31" s="496"/>
      <c r="B31" s="72">
        <v>22</v>
      </c>
      <c r="C31" s="73" t="s">
        <v>49</v>
      </c>
      <c r="D31" s="243"/>
      <c r="E31" s="244"/>
      <c r="F31" s="244"/>
      <c r="G31" s="253"/>
      <c r="H31" s="246"/>
      <c r="I31" s="246"/>
      <c r="J31" s="247"/>
    </row>
    <row r="32" spans="1:10" ht="30" customHeight="1" thickBot="1" x14ac:dyDescent="0.25">
      <c r="A32" s="497"/>
      <c r="B32" s="68">
        <v>23</v>
      </c>
      <c r="C32" s="70" t="s">
        <v>50</v>
      </c>
      <c r="D32" s="248"/>
      <c r="E32" s="249"/>
      <c r="F32" s="249"/>
      <c r="G32" s="250"/>
      <c r="H32" s="251"/>
      <c r="I32" s="251"/>
      <c r="J32" s="252"/>
    </row>
    <row r="33" ht="3.95" customHeight="1" x14ac:dyDescent="0.2"/>
  </sheetData>
  <mergeCells count="4">
    <mergeCell ref="A30:A32"/>
    <mergeCell ref="G8:H8"/>
    <mergeCell ref="E8:F8"/>
    <mergeCell ref="A10:A26"/>
  </mergeCells>
  <phoneticPr fontId="4" type="noConversion"/>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L37"/>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67</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2" ht="18" customHeight="1" x14ac:dyDescent="0.2">
      <c r="A17" s="491"/>
      <c r="B17" s="16">
        <v>8</v>
      </c>
      <c r="C17" s="17">
        <v>2003</v>
      </c>
      <c r="D17" s="18"/>
      <c r="E17" s="12"/>
      <c r="F17" s="19"/>
      <c r="G17" s="20"/>
      <c r="H17" s="19"/>
      <c r="I17" s="21"/>
      <c r="J17" s="22"/>
    </row>
    <row r="18" spans="1:12" ht="18" customHeight="1" x14ac:dyDescent="0.2">
      <c r="A18" s="491"/>
      <c r="B18" s="23">
        <v>9</v>
      </c>
      <c r="C18" s="24">
        <v>2004</v>
      </c>
      <c r="D18" s="25"/>
      <c r="E18" s="26"/>
      <c r="F18" s="27"/>
      <c r="G18" s="26"/>
      <c r="H18" s="27"/>
      <c r="I18" s="28"/>
      <c r="J18" s="29"/>
    </row>
    <row r="19" spans="1:12" ht="18" customHeight="1" x14ac:dyDescent="0.2">
      <c r="A19" s="491"/>
      <c r="B19" s="16">
        <v>10</v>
      </c>
      <c r="C19" s="17">
        <v>2005</v>
      </c>
      <c r="D19" s="18"/>
      <c r="E19" s="40"/>
      <c r="F19" s="41"/>
      <c r="G19" s="26"/>
      <c r="H19" s="19"/>
      <c r="I19" s="21"/>
      <c r="J19" s="22"/>
    </row>
    <row r="20" spans="1:12" ht="18" customHeight="1" x14ac:dyDescent="0.2">
      <c r="A20" s="491"/>
      <c r="B20" s="35">
        <v>11</v>
      </c>
      <c r="C20" s="17">
        <v>2006</v>
      </c>
      <c r="D20" s="18"/>
      <c r="E20" s="40"/>
      <c r="F20" s="41"/>
      <c r="G20" s="20"/>
      <c r="H20" s="19"/>
      <c r="I20" s="21"/>
      <c r="J20" s="36"/>
    </row>
    <row r="21" spans="1:12" ht="18" customHeight="1" x14ac:dyDescent="0.2">
      <c r="A21" s="491"/>
      <c r="B21" s="33">
        <v>12</v>
      </c>
      <c r="C21" s="52">
        <v>2007</v>
      </c>
      <c r="D21" s="25"/>
      <c r="E21" s="42"/>
      <c r="F21" s="43"/>
      <c r="G21" s="26"/>
      <c r="H21" s="27"/>
      <c r="I21" s="28"/>
      <c r="J21" s="34"/>
      <c r="L21" s="130" t="s">
        <v>9</v>
      </c>
    </row>
    <row r="22" spans="1:12" ht="18" customHeight="1" x14ac:dyDescent="0.2">
      <c r="A22" s="491"/>
      <c r="B22" s="35">
        <v>13</v>
      </c>
      <c r="C22" s="59">
        <v>2008</v>
      </c>
      <c r="D22" s="18"/>
      <c r="E22" s="40"/>
      <c r="F22" s="41"/>
      <c r="G22" s="20"/>
      <c r="H22" s="19"/>
      <c r="I22" s="21"/>
      <c r="J22" s="36"/>
    </row>
    <row r="23" spans="1:12" ht="18" customHeight="1" x14ac:dyDescent="0.2">
      <c r="A23" s="491"/>
      <c r="B23" s="16">
        <v>14</v>
      </c>
      <c r="C23" s="59">
        <v>2009</v>
      </c>
      <c r="D23" s="18"/>
      <c r="E23" s="40"/>
      <c r="F23" s="41"/>
      <c r="G23" s="20"/>
      <c r="H23" s="19"/>
      <c r="I23" s="21"/>
      <c r="J23" s="22"/>
      <c r="K23" s="48"/>
    </row>
    <row r="24" spans="1:12" ht="18" customHeight="1" x14ac:dyDescent="0.2">
      <c r="A24" s="491"/>
      <c r="B24" s="35">
        <v>15</v>
      </c>
      <c r="C24" s="17">
        <v>2010</v>
      </c>
      <c r="D24" s="18"/>
      <c r="E24" s="40"/>
      <c r="F24" s="41"/>
      <c r="G24" s="20"/>
      <c r="H24" s="19"/>
      <c r="I24" s="21"/>
      <c r="J24" s="36"/>
      <c r="K24" s="48"/>
    </row>
    <row r="25" spans="1:12" ht="18" customHeight="1" x14ac:dyDescent="0.2">
      <c r="A25" s="491"/>
      <c r="B25" s="38">
        <v>16</v>
      </c>
      <c r="C25" s="92">
        <v>2011</v>
      </c>
      <c r="D25" s="93"/>
      <c r="E25" s="97"/>
      <c r="F25" s="98"/>
      <c r="G25" s="94"/>
      <c r="H25" s="95"/>
      <c r="I25" s="96"/>
      <c r="J25" s="39"/>
      <c r="K25" s="48"/>
    </row>
    <row r="26" spans="1:12" ht="18" customHeight="1" thickBot="1" x14ac:dyDescent="0.25">
      <c r="A26" s="491"/>
      <c r="B26" s="141">
        <v>17</v>
      </c>
      <c r="C26" s="142">
        <v>2012</v>
      </c>
      <c r="D26" s="143"/>
      <c r="E26" s="150"/>
      <c r="F26" s="151"/>
      <c r="G26" s="144"/>
      <c r="H26" s="145"/>
      <c r="I26" s="146"/>
      <c r="J26" s="147"/>
      <c r="K26" s="48"/>
    </row>
    <row r="27" spans="1:12" ht="30" customHeight="1" x14ac:dyDescent="0.2">
      <c r="A27" s="137"/>
      <c r="B27" s="152">
        <v>18</v>
      </c>
      <c r="C27" s="153">
        <v>2013</v>
      </c>
      <c r="D27" s="154"/>
      <c r="E27" s="158"/>
      <c r="F27" s="159"/>
      <c r="G27" s="128"/>
      <c r="H27" s="155"/>
      <c r="I27" s="156"/>
      <c r="J27" s="157"/>
      <c r="K27" s="48"/>
    </row>
    <row r="28" spans="1:12" ht="30" customHeight="1" x14ac:dyDescent="0.2">
      <c r="A28" s="137"/>
      <c r="B28" s="16">
        <v>19</v>
      </c>
      <c r="C28" s="59">
        <v>2014</v>
      </c>
      <c r="D28" s="18">
        <f>'OHCA_C-Report_2014-16'!L20</f>
        <v>3182</v>
      </c>
      <c r="E28" s="40"/>
      <c r="F28" s="41"/>
      <c r="G28" s="20">
        <f>H28/D28</f>
        <v>74.13670647391578</v>
      </c>
      <c r="H28" s="19">
        <f>'OHCA_C-Report_2014-16'!M21</f>
        <v>235903</v>
      </c>
      <c r="I28" s="21">
        <f>F28-H28</f>
        <v>-235903</v>
      </c>
      <c r="J28" s="22">
        <f>('May17-Exh12-College_All_2013'!J27*IOK_ESI_IP!$AQ$14)+I28</f>
        <v>-1853302.2157938671</v>
      </c>
      <c r="K28" s="48"/>
    </row>
    <row r="29" spans="1:12" ht="30" customHeight="1" thickBot="1" x14ac:dyDescent="0.25">
      <c r="A29" s="138"/>
      <c r="B29" s="134">
        <v>20</v>
      </c>
      <c r="C29" s="139">
        <v>2015</v>
      </c>
      <c r="D29" s="93">
        <f>'OHCA_C-Report_2014-16'!X$20</f>
        <v>1217</v>
      </c>
      <c r="E29" s="97"/>
      <c r="F29" s="98"/>
      <c r="G29" s="94">
        <f>H29/D29</f>
        <v>251.97945768282662</v>
      </c>
      <c r="H29" s="95">
        <f>'OHCA_C-Report_2014-16'!Y$21</f>
        <v>306659</v>
      </c>
      <c r="I29" s="96">
        <f>F29-H29</f>
        <v>-306659</v>
      </c>
      <c r="J29" s="101">
        <f>J28+I29</f>
        <v>-2159961.2157938671</v>
      </c>
      <c r="K29" s="48"/>
    </row>
    <row r="30" spans="1:12" ht="30" customHeight="1" x14ac:dyDescent="0.2">
      <c r="A30" s="500" t="s">
        <v>34</v>
      </c>
      <c r="B30" s="61">
        <v>21</v>
      </c>
      <c r="C30" s="62">
        <v>2016</v>
      </c>
      <c r="D30" s="263">
        <f>'OHCA_C-Report_2014-16'!AJ$20</f>
        <v>1450</v>
      </c>
      <c r="E30" s="267"/>
      <c r="F30" s="268"/>
      <c r="G30" s="269">
        <f>H30/D30</f>
        <v>239.70965517241379</v>
      </c>
      <c r="H30" s="270">
        <f>'OHCA_C-Report_2014-16'!AK$21</f>
        <v>347579</v>
      </c>
      <c r="I30" s="271">
        <f>F30-H30</f>
        <v>-347579</v>
      </c>
      <c r="J30" s="272">
        <f>J29+I30</f>
        <v>-2507540.2157938671</v>
      </c>
      <c r="K30" s="48"/>
    </row>
    <row r="31" spans="1:12" ht="30" customHeight="1" x14ac:dyDescent="0.2">
      <c r="A31" s="501"/>
      <c r="B31" s="72">
        <v>22</v>
      </c>
      <c r="C31" s="10" t="s">
        <v>49</v>
      </c>
      <c r="D31" s="264">
        <f>D30*(1+IOK_ESI_IP!$AN$14)</f>
        <v>1510.8654095300103</v>
      </c>
      <c r="E31" s="273"/>
      <c r="F31" s="273"/>
      <c r="G31" s="255">
        <f>G30*'May17-Exh1&amp;2-Trends'!$D$33</f>
        <v>250.25688</v>
      </c>
      <c r="H31" s="266">
        <f>G31*D31</f>
        <v>378104.46348890266</v>
      </c>
      <c r="I31" s="266">
        <f>F31-H31</f>
        <v>-378104.46348890266</v>
      </c>
      <c r="J31" s="274">
        <f>J30+I31</f>
        <v>-2885644.6792827696</v>
      </c>
    </row>
    <row r="32" spans="1:12" ht="30" customHeight="1" thickBot="1" x14ac:dyDescent="0.25">
      <c r="A32" s="502"/>
      <c r="B32" s="68">
        <v>23</v>
      </c>
      <c r="C32" s="70" t="s">
        <v>50</v>
      </c>
      <c r="D32" s="265">
        <f>D31*(1+IOK_ESI_IP!$AN$14)</f>
        <v>1574.2857142857144</v>
      </c>
      <c r="E32" s="275"/>
      <c r="F32" s="275"/>
      <c r="G32" s="256">
        <f>G31*'May17-Exh1&amp;2-Trends'!$D$33</f>
        <v>261.26818272000003</v>
      </c>
      <c r="H32" s="276">
        <f>G32*D32</f>
        <v>411310.76765348582</v>
      </c>
      <c r="I32" s="276">
        <f>F32-H32</f>
        <v>-411310.76765348582</v>
      </c>
      <c r="J32" s="277">
        <f>J31+I32</f>
        <v>-3296955.4469362553</v>
      </c>
    </row>
    <row r="33" ht="17.100000000000001" customHeight="1" x14ac:dyDescent="0.2"/>
    <row r="34" ht="18" customHeight="1" x14ac:dyDescent="0.2"/>
    <row r="35" ht="18" customHeight="1" x14ac:dyDescent="0.2"/>
    <row r="36" ht="18" customHeight="1" x14ac:dyDescent="0.2"/>
    <row r="37" ht="18" customHeight="1" x14ac:dyDescent="0.2"/>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J33"/>
  <sheetViews>
    <sheetView workbookViewId="0"/>
  </sheetViews>
  <sheetFormatPr defaultRowHeight="12.75" x14ac:dyDescent="0.2"/>
  <cols>
    <col min="3" max="3" width="14" customWidth="1"/>
    <col min="4" max="9" width="14.7109375" customWidth="1"/>
    <col min="10" max="10" width="15.7109375" customWidth="1"/>
  </cols>
  <sheetData>
    <row r="2" spans="1:10" ht="18" x14ac:dyDescent="0.25">
      <c r="A2" s="37" t="s">
        <v>0</v>
      </c>
    </row>
    <row r="3" spans="1:10" ht="18.75" x14ac:dyDescent="0.3">
      <c r="A3" s="37" t="s">
        <v>10</v>
      </c>
    </row>
    <row r="4" spans="1:10" ht="18" x14ac:dyDescent="0.25">
      <c r="A4" s="37"/>
    </row>
    <row r="5" spans="1:10" ht="18" x14ac:dyDescent="0.25">
      <c r="A5" s="37" t="s">
        <v>57</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c r="E10" s="5"/>
      <c r="F10" s="6"/>
      <c r="G10" s="5"/>
      <c r="H10" s="6"/>
      <c r="I10" s="7"/>
      <c r="J10" s="8"/>
    </row>
    <row r="11" spans="1:10" ht="18" customHeight="1" x14ac:dyDescent="0.2">
      <c r="A11" s="499"/>
      <c r="B11" s="9">
        <v>2</v>
      </c>
      <c r="C11" s="10">
        <v>1997</v>
      </c>
      <c r="D11" s="11"/>
      <c r="E11" s="12"/>
      <c r="F11" s="13"/>
      <c r="G11" s="12"/>
      <c r="H11" s="13"/>
      <c r="I11" s="14"/>
      <c r="J11" s="15"/>
    </row>
    <row r="12" spans="1:10" ht="18" customHeight="1" x14ac:dyDescent="0.2">
      <c r="A12" s="499"/>
      <c r="B12" s="9">
        <v>3</v>
      </c>
      <c r="C12" s="10">
        <v>1998</v>
      </c>
      <c r="D12" s="11"/>
      <c r="E12" s="12"/>
      <c r="F12" s="13"/>
      <c r="G12" s="12"/>
      <c r="H12" s="13"/>
      <c r="I12" s="14"/>
      <c r="J12" s="15"/>
    </row>
    <row r="13" spans="1:10" ht="18" customHeight="1" x14ac:dyDescent="0.2">
      <c r="A13" s="499"/>
      <c r="B13" s="9">
        <v>4</v>
      </c>
      <c r="C13" s="10">
        <v>1999</v>
      </c>
      <c r="D13" s="11"/>
      <c r="E13" s="12"/>
      <c r="F13" s="13"/>
      <c r="G13" s="12"/>
      <c r="H13" s="13"/>
      <c r="I13" s="14"/>
      <c r="J13" s="15"/>
    </row>
    <row r="14" spans="1:10" ht="18" customHeight="1" x14ac:dyDescent="0.2">
      <c r="A14" s="499"/>
      <c r="B14" s="9">
        <v>5</v>
      </c>
      <c r="C14" s="10">
        <v>2000</v>
      </c>
      <c r="D14" s="11"/>
      <c r="E14" s="12"/>
      <c r="F14" s="13"/>
      <c r="G14" s="12"/>
      <c r="H14" s="13"/>
      <c r="I14" s="14"/>
      <c r="J14" s="15"/>
    </row>
    <row r="15" spans="1:10" ht="18" customHeight="1" x14ac:dyDescent="0.2">
      <c r="A15" s="499"/>
      <c r="B15" s="9">
        <v>6</v>
      </c>
      <c r="C15" s="10">
        <v>2001</v>
      </c>
      <c r="D15" s="11"/>
      <c r="E15" s="12"/>
      <c r="F15" s="13"/>
      <c r="G15" s="12"/>
      <c r="H15" s="13"/>
      <c r="I15" s="14"/>
      <c r="J15" s="15"/>
    </row>
    <row r="16" spans="1:10" ht="18" customHeight="1" x14ac:dyDescent="0.2">
      <c r="A16" s="499"/>
      <c r="B16" s="9">
        <v>7</v>
      </c>
      <c r="C16" s="10">
        <v>2002</v>
      </c>
      <c r="D16" s="11"/>
      <c r="E16" s="12"/>
      <c r="F16" s="13"/>
      <c r="G16" s="12"/>
      <c r="H16" s="13"/>
      <c r="I16" s="14"/>
      <c r="J16" s="15"/>
    </row>
    <row r="17" spans="1:10" ht="18" customHeight="1" x14ac:dyDescent="0.2">
      <c r="A17" s="499"/>
      <c r="B17" s="16">
        <v>8</v>
      </c>
      <c r="C17" s="17">
        <v>2003</v>
      </c>
      <c r="D17" s="18"/>
      <c r="E17" s="12"/>
      <c r="F17" s="19"/>
      <c r="G17" s="20"/>
      <c r="H17" s="19"/>
      <c r="I17" s="21"/>
      <c r="J17" s="22"/>
    </row>
    <row r="18" spans="1:10" ht="18" customHeight="1" x14ac:dyDescent="0.2">
      <c r="A18" s="499"/>
      <c r="B18" s="23">
        <v>9</v>
      </c>
      <c r="C18" s="24">
        <v>2004</v>
      </c>
      <c r="D18" s="25"/>
      <c r="E18" s="26"/>
      <c r="F18" s="27"/>
      <c r="G18" s="26"/>
      <c r="H18" s="27"/>
      <c r="I18" s="28"/>
      <c r="J18" s="29"/>
    </row>
    <row r="19" spans="1:10" ht="18" customHeight="1" x14ac:dyDescent="0.2">
      <c r="A19" s="499"/>
      <c r="B19" s="16">
        <v>10</v>
      </c>
      <c r="C19" s="17">
        <v>2005</v>
      </c>
      <c r="D19" s="18"/>
      <c r="E19" s="20"/>
      <c r="F19" s="19"/>
      <c r="G19" s="26"/>
      <c r="H19" s="19"/>
      <c r="I19" s="21"/>
      <c r="J19" s="22"/>
    </row>
    <row r="20" spans="1:10" ht="18" customHeight="1" x14ac:dyDescent="0.2">
      <c r="A20" s="499"/>
      <c r="B20" s="35">
        <v>11</v>
      </c>
      <c r="C20" s="17">
        <v>2006</v>
      </c>
      <c r="D20" s="18"/>
      <c r="E20" s="20"/>
      <c r="F20" s="19"/>
      <c r="G20" s="20"/>
      <c r="H20" s="19"/>
      <c r="I20" s="21"/>
      <c r="J20" s="36"/>
    </row>
    <row r="21" spans="1:10" ht="18" customHeight="1" x14ac:dyDescent="0.2">
      <c r="A21" s="499"/>
      <c r="B21" s="33">
        <v>12</v>
      </c>
      <c r="C21" s="52">
        <v>2007</v>
      </c>
      <c r="D21" s="25"/>
      <c r="E21" s="26"/>
      <c r="F21" s="27"/>
      <c r="G21" s="26"/>
      <c r="H21" s="27"/>
      <c r="I21" s="28"/>
      <c r="J21" s="34"/>
    </row>
    <row r="22" spans="1:10" ht="18" customHeight="1" x14ac:dyDescent="0.2">
      <c r="A22" s="499"/>
      <c r="B22" s="35">
        <v>13</v>
      </c>
      <c r="C22" s="59">
        <v>2008</v>
      </c>
      <c r="D22" s="18"/>
      <c r="E22" s="20"/>
      <c r="F22" s="19"/>
      <c r="G22" s="20"/>
      <c r="H22" s="19"/>
      <c r="I22" s="21"/>
      <c r="J22" s="36"/>
    </row>
    <row r="23" spans="1:10" ht="18" customHeight="1" x14ac:dyDescent="0.2">
      <c r="A23" s="499"/>
      <c r="B23" s="16">
        <v>14</v>
      </c>
      <c r="C23" s="59">
        <v>2009</v>
      </c>
      <c r="D23" s="18"/>
      <c r="E23" s="20"/>
      <c r="F23" s="19"/>
      <c r="G23" s="20"/>
      <c r="H23" s="19"/>
      <c r="I23" s="21"/>
      <c r="J23" s="22"/>
    </row>
    <row r="24" spans="1:10" ht="18" customHeight="1" x14ac:dyDescent="0.2">
      <c r="A24" s="499"/>
      <c r="B24" s="35">
        <v>15</v>
      </c>
      <c r="C24" s="17">
        <v>2010</v>
      </c>
      <c r="D24" s="18"/>
      <c r="E24" s="20"/>
      <c r="F24" s="19"/>
      <c r="G24" s="20"/>
      <c r="H24" s="19"/>
      <c r="I24" s="21"/>
      <c r="J24" s="36"/>
    </row>
    <row r="25" spans="1:10" ht="18" customHeight="1" x14ac:dyDescent="0.2">
      <c r="A25" s="499"/>
      <c r="B25" s="38">
        <v>16</v>
      </c>
      <c r="C25" s="92">
        <v>2011</v>
      </c>
      <c r="D25" s="93"/>
      <c r="E25" s="94"/>
      <c r="F25" s="95"/>
      <c r="G25" s="94"/>
      <c r="H25" s="95"/>
      <c r="I25" s="96"/>
      <c r="J25" s="39"/>
    </row>
    <row r="26" spans="1:10" ht="18" customHeight="1" thickBot="1" x14ac:dyDescent="0.25">
      <c r="A26" s="499"/>
      <c r="B26" s="141">
        <v>17</v>
      </c>
      <c r="C26" s="142">
        <v>2012</v>
      </c>
      <c r="D26" s="143"/>
      <c r="E26" s="144"/>
      <c r="F26" s="145"/>
      <c r="G26" s="144"/>
      <c r="H26" s="145"/>
      <c r="I26" s="146"/>
      <c r="J26" s="147"/>
    </row>
    <row r="27" spans="1:10" ht="30" customHeight="1" x14ac:dyDescent="0.2">
      <c r="A27" s="135"/>
      <c r="B27" s="152">
        <v>18</v>
      </c>
      <c r="C27" s="153">
        <v>2013</v>
      </c>
      <c r="D27" s="154"/>
      <c r="E27" s="128"/>
      <c r="F27" s="155"/>
      <c r="G27" s="128"/>
      <c r="H27" s="155"/>
      <c r="I27" s="156"/>
      <c r="J27" s="157"/>
    </row>
    <row r="28" spans="1:10" ht="30" customHeight="1" x14ac:dyDescent="0.2">
      <c r="A28" s="135"/>
      <c r="B28" s="16">
        <v>19</v>
      </c>
      <c r="C28" s="59">
        <v>2014</v>
      </c>
      <c r="D28" s="18"/>
      <c r="E28" s="20"/>
      <c r="F28" s="19"/>
      <c r="G28" s="20"/>
      <c r="H28" s="19"/>
      <c r="I28" s="21"/>
      <c r="J28" s="22"/>
    </row>
    <row r="29" spans="1:10" ht="30" customHeight="1" thickBot="1" x14ac:dyDescent="0.25">
      <c r="A29" s="136"/>
      <c r="B29" s="134">
        <v>20</v>
      </c>
      <c r="C29" s="139">
        <v>2015</v>
      </c>
      <c r="D29" s="93"/>
      <c r="E29" s="94"/>
      <c r="F29" s="95"/>
      <c r="G29" s="94"/>
      <c r="H29" s="95"/>
      <c r="I29" s="96"/>
      <c r="J29" s="101"/>
    </row>
    <row r="30" spans="1:10" ht="30" customHeight="1" x14ac:dyDescent="0.2">
      <c r="A30" s="495" t="s">
        <v>34</v>
      </c>
      <c r="B30" s="61">
        <v>21</v>
      </c>
      <c r="C30" s="62">
        <v>2016</v>
      </c>
      <c r="D30" s="167"/>
      <c r="E30" s="168"/>
      <c r="F30" s="169"/>
      <c r="G30" s="168"/>
      <c r="H30" s="169"/>
      <c r="I30" s="170"/>
      <c r="J30" s="171"/>
    </row>
    <row r="31" spans="1:10" ht="30" customHeight="1" x14ac:dyDescent="0.2">
      <c r="A31" s="496"/>
      <c r="B31" s="72">
        <v>22</v>
      </c>
      <c r="C31" s="73" t="s">
        <v>49</v>
      </c>
      <c r="D31" s="177"/>
      <c r="E31" s="184"/>
      <c r="F31" s="184"/>
      <c r="G31" s="186"/>
      <c r="H31" s="172"/>
      <c r="I31" s="172"/>
      <c r="J31" s="179"/>
    </row>
    <row r="32" spans="1:10" ht="30" customHeight="1" thickBot="1" x14ac:dyDescent="0.25">
      <c r="A32" s="497"/>
      <c r="B32" s="68">
        <v>23</v>
      </c>
      <c r="C32" s="70" t="s">
        <v>50</v>
      </c>
      <c r="D32" s="173"/>
      <c r="E32" s="185"/>
      <c r="F32" s="185"/>
      <c r="G32" s="174"/>
      <c r="H32" s="175"/>
      <c r="I32" s="175"/>
      <c r="J32" s="176"/>
    </row>
    <row r="33" ht="3.75" customHeight="1" x14ac:dyDescent="0.2"/>
  </sheetData>
  <mergeCells count="4">
    <mergeCell ref="E8:F8"/>
    <mergeCell ref="G8:H8"/>
    <mergeCell ref="A30:A32"/>
    <mergeCell ref="A10:A26"/>
  </mergeCells>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J33"/>
  <sheetViews>
    <sheetView workbookViewId="0"/>
  </sheetViews>
  <sheetFormatPr defaultRowHeight="12.75" x14ac:dyDescent="0.2"/>
  <cols>
    <col min="3" max="3" width="14" customWidth="1"/>
    <col min="4" max="9" width="14.7109375" customWidth="1"/>
    <col min="10" max="10" width="15.7109375" customWidth="1"/>
  </cols>
  <sheetData>
    <row r="2" spans="1:10" ht="18" x14ac:dyDescent="0.25">
      <c r="A2" s="37" t="s">
        <v>0</v>
      </c>
    </row>
    <row r="3" spans="1:10" ht="18.75" x14ac:dyDescent="0.3">
      <c r="A3" s="37" t="s">
        <v>10</v>
      </c>
    </row>
    <row r="4" spans="1:10" ht="18" x14ac:dyDescent="0.25">
      <c r="A4" s="37"/>
    </row>
    <row r="5" spans="1:10" ht="18" x14ac:dyDescent="0.25">
      <c r="A5" s="37" t="s">
        <v>58</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c r="E10" s="5"/>
      <c r="F10" s="6"/>
      <c r="G10" s="5"/>
      <c r="H10" s="6"/>
      <c r="I10" s="7"/>
      <c r="J10" s="8"/>
    </row>
    <row r="11" spans="1:10" ht="18" customHeight="1" x14ac:dyDescent="0.2">
      <c r="A11" s="499"/>
      <c r="B11" s="9">
        <v>2</v>
      </c>
      <c r="C11" s="10">
        <v>1997</v>
      </c>
      <c r="D11" s="11"/>
      <c r="E11" s="12"/>
      <c r="F11" s="13"/>
      <c r="G11" s="12"/>
      <c r="H11" s="13"/>
      <c r="I11" s="14"/>
      <c r="J11" s="15"/>
    </row>
    <row r="12" spans="1:10" ht="18" customHeight="1" x14ac:dyDescent="0.2">
      <c r="A12" s="499"/>
      <c r="B12" s="9">
        <v>3</v>
      </c>
      <c r="C12" s="10">
        <v>1998</v>
      </c>
      <c r="D12" s="11"/>
      <c r="E12" s="12"/>
      <c r="F12" s="13"/>
      <c r="G12" s="12"/>
      <c r="H12" s="13"/>
      <c r="I12" s="14"/>
      <c r="J12" s="15"/>
    </row>
    <row r="13" spans="1:10" ht="18" customHeight="1" x14ac:dyDescent="0.2">
      <c r="A13" s="499"/>
      <c r="B13" s="9">
        <v>4</v>
      </c>
      <c r="C13" s="10">
        <v>1999</v>
      </c>
      <c r="D13" s="11"/>
      <c r="E13" s="12"/>
      <c r="F13" s="13"/>
      <c r="G13" s="12"/>
      <c r="H13" s="13"/>
      <c r="I13" s="14"/>
      <c r="J13" s="15"/>
    </row>
    <row r="14" spans="1:10" ht="18" customHeight="1" x14ac:dyDescent="0.2">
      <c r="A14" s="499"/>
      <c r="B14" s="9">
        <v>5</v>
      </c>
      <c r="C14" s="10">
        <v>2000</v>
      </c>
      <c r="D14" s="11"/>
      <c r="E14" s="12"/>
      <c r="F14" s="13"/>
      <c r="G14" s="12"/>
      <c r="H14" s="13"/>
      <c r="I14" s="14"/>
      <c r="J14" s="15"/>
    </row>
    <row r="15" spans="1:10" ht="18" customHeight="1" x14ac:dyDescent="0.2">
      <c r="A15" s="499"/>
      <c r="B15" s="9">
        <v>6</v>
      </c>
      <c r="C15" s="10">
        <v>2001</v>
      </c>
      <c r="D15" s="11"/>
      <c r="E15" s="12"/>
      <c r="F15" s="13"/>
      <c r="G15" s="12"/>
      <c r="H15" s="13"/>
      <c r="I15" s="14"/>
      <c r="J15" s="15"/>
    </row>
    <row r="16" spans="1:10" ht="18" customHeight="1" x14ac:dyDescent="0.2">
      <c r="A16" s="499"/>
      <c r="B16" s="9">
        <v>7</v>
      </c>
      <c r="C16" s="10">
        <v>2002</v>
      </c>
      <c r="D16" s="11"/>
      <c r="E16" s="12"/>
      <c r="F16" s="13"/>
      <c r="G16" s="12"/>
      <c r="H16" s="13"/>
      <c r="I16" s="14"/>
      <c r="J16" s="15"/>
    </row>
    <row r="17" spans="1:10" ht="18" customHeight="1" x14ac:dyDescent="0.2">
      <c r="A17" s="499"/>
      <c r="B17" s="16">
        <v>8</v>
      </c>
      <c r="C17" s="17">
        <v>2003</v>
      </c>
      <c r="D17" s="18"/>
      <c r="E17" s="12"/>
      <c r="F17" s="19"/>
      <c r="G17" s="20"/>
      <c r="H17" s="19"/>
      <c r="I17" s="21"/>
      <c r="J17" s="22"/>
    </row>
    <row r="18" spans="1:10" ht="18" customHeight="1" x14ac:dyDescent="0.2">
      <c r="A18" s="499"/>
      <c r="B18" s="23">
        <v>9</v>
      </c>
      <c r="C18" s="24">
        <v>2004</v>
      </c>
      <c r="D18" s="25"/>
      <c r="E18" s="26"/>
      <c r="F18" s="27"/>
      <c r="G18" s="26"/>
      <c r="H18" s="27"/>
      <c r="I18" s="28"/>
      <c r="J18" s="29"/>
    </row>
    <row r="19" spans="1:10" ht="18" customHeight="1" x14ac:dyDescent="0.2">
      <c r="A19" s="499"/>
      <c r="B19" s="16">
        <v>10</v>
      </c>
      <c r="C19" s="17">
        <v>2005</v>
      </c>
      <c r="D19" s="18"/>
      <c r="E19" s="20"/>
      <c r="F19" s="19"/>
      <c r="G19" s="26"/>
      <c r="H19" s="19"/>
      <c r="I19" s="21"/>
      <c r="J19" s="22"/>
    </row>
    <row r="20" spans="1:10" ht="18" customHeight="1" x14ac:dyDescent="0.2">
      <c r="A20" s="499"/>
      <c r="B20" s="35">
        <v>11</v>
      </c>
      <c r="C20" s="17">
        <v>2006</v>
      </c>
      <c r="D20" s="18"/>
      <c r="E20" s="20"/>
      <c r="F20" s="19"/>
      <c r="G20" s="20"/>
      <c r="H20" s="19"/>
      <c r="I20" s="21"/>
      <c r="J20" s="36"/>
    </row>
    <row r="21" spans="1:10" ht="18" customHeight="1" x14ac:dyDescent="0.2">
      <c r="A21" s="499"/>
      <c r="B21" s="33">
        <v>12</v>
      </c>
      <c r="C21" s="52">
        <v>2007</v>
      </c>
      <c r="D21" s="25"/>
      <c r="E21" s="26"/>
      <c r="F21" s="27"/>
      <c r="G21" s="26"/>
      <c r="H21" s="27"/>
      <c r="I21" s="28"/>
      <c r="J21" s="34"/>
    </row>
    <row r="22" spans="1:10" ht="18" customHeight="1" x14ac:dyDescent="0.2">
      <c r="A22" s="499"/>
      <c r="B22" s="35">
        <v>13</v>
      </c>
      <c r="C22" s="59">
        <v>2008</v>
      </c>
      <c r="D22" s="18"/>
      <c r="E22" s="20"/>
      <c r="F22" s="19"/>
      <c r="G22" s="20"/>
      <c r="H22" s="19"/>
      <c r="I22" s="21"/>
      <c r="J22" s="36"/>
    </row>
    <row r="23" spans="1:10" ht="18" customHeight="1" x14ac:dyDescent="0.2">
      <c r="A23" s="499"/>
      <c r="B23" s="16">
        <v>14</v>
      </c>
      <c r="C23" s="59">
        <v>2009</v>
      </c>
      <c r="D23" s="18"/>
      <c r="E23" s="20"/>
      <c r="F23" s="19"/>
      <c r="G23" s="20"/>
      <c r="H23" s="19"/>
      <c r="I23" s="21"/>
      <c r="J23" s="22"/>
    </row>
    <row r="24" spans="1:10" ht="18" customHeight="1" x14ac:dyDescent="0.2">
      <c r="A24" s="499"/>
      <c r="B24" s="35">
        <v>15</v>
      </c>
      <c r="C24" s="17">
        <v>2010</v>
      </c>
      <c r="D24" s="18"/>
      <c r="E24" s="20"/>
      <c r="F24" s="19"/>
      <c r="G24" s="20"/>
      <c r="H24" s="19"/>
      <c r="I24" s="21"/>
      <c r="J24" s="36"/>
    </row>
    <row r="25" spans="1:10" ht="18" customHeight="1" x14ac:dyDescent="0.2">
      <c r="A25" s="499"/>
      <c r="B25" s="38">
        <v>16</v>
      </c>
      <c r="C25" s="92">
        <v>2011</v>
      </c>
      <c r="D25" s="93"/>
      <c r="E25" s="94"/>
      <c r="F25" s="95"/>
      <c r="G25" s="94"/>
      <c r="H25" s="95"/>
      <c r="I25" s="96"/>
      <c r="J25" s="39"/>
    </row>
    <row r="26" spans="1:10" ht="18" customHeight="1" thickBot="1" x14ac:dyDescent="0.25">
      <c r="A26" s="499"/>
      <c r="B26" s="141">
        <v>17</v>
      </c>
      <c r="C26" s="142">
        <v>2012</v>
      </c>
      <c r="D26" s="143"/>
      <c r="E26" s="144"/>
      <c r="F26" s="145"/>
      <c r="G26" s="144"/>
      <c r="H26" s="145"/>
      <c r="I26" s="146"/>
      <c r="J26" s="147"/>
    </row>
    <row r="27" spans="1:10" ht="30" customHeight="1" x14ac:dyDescent="0.2">
      <c r="A27" s="135"/>
      <c r="B27" s="152">
        <v>18</v>
      </c>
      <c r="C27" s="153">
        <v>2013</v>
      </c>
      <c r="D27" s="154"/>
      <c r="E27" s="128"/>
      <c r="F27" s="155"/>
      <c r="G27" s="128"/>
      <c r="H27" s="155"/>
      <c r="I27" s="156"/>
      <c r="J27" s="157"/>
    </row>
    <row r="28" spans="1:10" ht="30" customHeight="1" x14ac:dyDescent="0.2">
      <c r="A28" s="135"/>
      <c r="B28" s="16">
        <v>19</v>
      </c>
      <c r="C28" s="59">
        <v>2014</v>
      </c>
      <c r="D28" s="18"/>
      <c r="E28" s="20"/>
      <c r="F28" s="19"/>
      <c r="G28" s="20"/>
      <c r="H28" s="19"/>
      <c r="I28" s="21"/>
      <c r="J28" s="22"/>
    </row>
    <row r="29" spans="1:10" ht="30" customHeight="1" thickBot="1" x14ac:dyDescent="0.25">
      <c r="A29" s="136"/>
      <c r="B29" s="134">
        <v>20</v>
      </c>
      <c r="C29" s="139">
        <v>2015</v>
      </c>
      <c r="D29" s="93"/>
      <c r="E29" s="94"/>
      <c r="F29" s="95"/>
      <c r="G29" s="94"/>
      <c r="H29" s="95"/>
      <c r="I29" s="96"/>
      <c r="J29" s="101"/>
    </row>
    <row r="30" spans="1:10" ht="30" customHeight="1" x14ac:dyDescent="0.2">
      <c r="A30" s="495" t="s">
        <v>34</v>
      </c>
      <c r="B30" s="61">
        <v>21</v>
      </c>
      <c r="C30" s="62">
        <v>2016</v>
      </c>
      <c r="D30" s="167"/>
      <c r="E30" s="168"/>
      <c r="F30" s="169"/>
      <c r="G30" s="168"/>
      <c r="H30" s="169"/>
      <c r="I30" s="170"/>
      <c r="J30" s="171"/>
    </row>
    <row r="31" spans="1:10" ht="30" customHeight="1" x14ac:dyDescent="0.2">
      <c r="A31" s="496"/>
      <c r="B31" s="72">
        <v>22</v>
      </c>
      <c r="C31" s="73" t="s">
        <v>49</v>
      </c>
      <c r="D31" s="177"/>
      <c r="E31" s="184"/>
      <c r="F31" s="184"/>
      <c r="G31" s="186"/>
      <c r="H31" s="172"/>
      <c r="I31" s="172"/>
      <c r="J31" s="179"/>
    </row>
    <row r="32" spans="1:10" ht="30" customHeight="1" thickBot="1" x14ac:dyDescent="0.25">
      <c r="A32" s="497"/>
      <c r="B32" s="68">
        <v>23</v>
      </c>
      <c r="C32" s="70" t="s">
        <v>50</v>
      </c>
      <c r="D32" s="173"/>
      <c r="E32" s="185"/>
      <c r="F32" s="185"/>
      <c r="G32" s="174"/>
      <c r="H32" s="175"/>
      <c r="I32" s="175"/>
      <c r="J32" s="176"/>
    </row>
    <row r="33" ht="3.95" customHeight="1" x14ac:dyDescent="0.2"/>
  </sheetData>
  <mergeCells count="4">
    <mergeCell ref="E8:F8"/>
    <mergeCell ref="G8:H8"/>
    <mergeCell ref="A30:A32"/>
    <mergeCell ref="A10:A26"/>
  </mergeCells>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M41"/>
  <sheetViews>
    <sheetView workbookViewId="0"/>
  </sheetViews>
  <sheetFormatPr defaultColWidth="8.85546875" defaultRowHeight="12.75" x14ac:dyDescent="0.2"/>
  <cols>
    <col min="1" max="2" width="8.85546875" style="368"/>
    <col min="3" max="3" width="14.140625" style="368" customWidth="1"/>
    <col min="4" max="9" width="14.7109375" style="368" customWidth="1"/>
    <col min="10" max="10" width="15.7109375" style="368" customWidth="1"/>
    <col min="11" max="11" width="2.5703125" style="368" customWidth="1"/>
    <col min="12" max="12" width="14.7109375" style="368" customWidth="1"/>
    <col min="13" max="15" width="13.85546875" style="368" customWidth="1"/>
    <col min="16" max="16" width="8.85546875" style="368"/>
    <col min="17" max="19" width="15.7109375" style="368" customWidth="1"/>
    <col min="20" max="16384" width="8.85546875" style="368"/>
  </cols>
  <sheetData>
    <row r="2" spans="1:13" ht="18" x14ac:dyDescent="0.25">
      <c r="A2" s="367" t="s">
        <v>0</v>
      </c>
    </row>
    <row r="3" spans="1:13" ht="18.75" x14ac:dyDescent="0.3">
      <c r="A3" s="367" t="s">
        <v>10</v>
      </c>
    </row>
    <row r="4" spans="1:13" ht="18" x14ac:dyDescent="0.25">
      <c r="A4" s="367"/>
    </row>
    <row r="5" spans="1:13" ht="18" x14ac:dyDescent="0.25">
      <c r="A5" s="367" t="s">
        <v>133</v>
      </c>
    </row>
    <row r="7" spans="1:13" ht="13.5" thickBot="1" x14ac:dyDescent="0.25">
      <c r="B7" s="369" t="s">
        <v>9</v>
      </c>
    </row>
    <row r="8" spans="1:13" ht="13.5" thickBot="1" x14ac:dyDescent="0.25">
      <c r="B8" s="370"/>
      <c r="C8" s="371"/>
      <c r="D8" s="371"/>
      <c r="E8" s="503" t="s">
        <v>1</v>
      </c>
      <c r="F8" s="504"/>
      <c r="G8" s="503" t="s">
        <v>2</v>
      </c>
      <c r="H8" s="504"/>
      <c r="I8" s="372"/>
      <c r="J8" s="371"/>
    </row>
    <row r="9" spans="1:13" ht="42" customHeight="1" thickBot="1" x14ac:dyDescent="0.25">
      <c r="B9" s="373" t="s">
        <v>3</v>
      </c>
      <c r="C9" s="374" t="s">
        <v>4</v>
      </c>
      <c r="D9" s="375" t="s">
        <v>25</v>
      </c>
      <c r="E9" s="376" t="s">
        <v>5</v>
      </c>
      <c r="F9" s="375" t="s">
        <v>6</v>
      </c>
      <c r="G9" s="375" t="s">
        <v>5</v>
      </c>
      <c r="H9" s="375" t="s">
        <v>6</v>
      </c>
      <c r="I9" s="376" t="s">
        <v>7</v>
      </c>
      <c r="J9" s="375" t="s">
        <v>8</v>
      </c>
      <c r="M9" s="377" t="s">
        <v>9</v>
      </c>
    </row>
    <row r="10" spans="1:13" ht="18" customHeight="1" x14ac:dyDescent="0.2">
      <c r="A10" s="505" t="s">
        <v>51</v>
      </c>
      <c r="B10" s="378">
        <v>1</v>
      </c>
      <c r="C10" s="379">
        <v>1996</v>
      </c>
      <c r="D10" s="4"/>
      <c r="E10" s="5"/>
      <c r="F10" s="6"/>
      <c r="G10" s="5"/>
      <c r="H10" s="6"/>
      <c r="I10" s="380"/>
      <c r="J10" s="381"/>
      <c r="M10" s="382" t="s">
        <v>9</v>
      </c>
    </row>
    <row r="11" spans="1:13" ht="18" customHeight="1" x14ac:dyDescent="0.2">
      <c r="A11" s="506"/>
      <c r="B11" s="383">
        <v>2</v>
      </c>
      <c r="C11" s="384">
        <v>1997</v>
      </c>
      <c r="D11" s="11"/>
      <c r="E11" s="12"/>
      <c r="F11" s="13"/>
      <c r="G11" s="12"/>
      <c r="H11" s="13"/>
      <c r="I11" s="385"/>
      <c r="J11" s="386"/>
    </row>
    <row r="12" spans="1:13" ht="18" customHeight="1" x14ac:dyDescent="0.2">
      <c r="A12" s="506"/>
      <c r="B12" s="383">
        <v>3</v>
      </c>
      <c r="C12" s="384">
        <v>1998</v>
      </c>
      <c r="D12" s="11"/>
      <c r="E12" s="12"/>
      <c r="F12" s="13"/>
      <c r="G12" s="12"/>
      <c r="H12" s="13"/>
      <c r="I12" s="385"/>
      <c r="J12" s="386"/>
    </row>
    <row r="13" spans="1:13" ht="18" customHeight="1" x14ac:dyDescent="0.2">
      <c r="A13" s="506"/>
      <c r="B13" s="383">
        <v>4</v>
      </c>
      <c r="C13" s="384">
        <v>1999</v>
      </c>
      <c r="D13" s="11"/>
      <c r="E13" s="12"/>
      <c r="F13" s="13"/>
      <c r="G13" s="12"/>
      <c r="H13" s="13"/>
      <c r="I13" s="385"/>
      <c r="J13" s="386"/>
    </row>
    <row r="14" spans="1:13" ht="18" customHeight="1" x14ac:dyDescent="0.2">
      <c r="A14" s="506"/>
      <c r="B14" s="383">
        <v>5</v>
      </c>
      <c r="C14" s="384">
        <v>2000</v>
      </c>
      <c r="D14" s="11"/>
      <c r="E14" s="12"/>
      <c r="F14" s="13"/>
      <c r="G14" s="12"/>
      <c r="H14" s="13"/>
      <c r="I14" s="385"/>
      <c r="J14" s="386"/>
    </row>
    <row r="15" spans="1:13" ht="18" customHeight="1" x14ac:dyDescent="0.2">
      <c r="A15" s="506"/>
      <c r="B15" s="383">
        <v>6</v>
      </c>
      <c r="C15" s="384">
        <v>2001</v>
      </c>
      <c r="D15" s="11"/>
      <c r="E15" s="12"/>
      <c r="F15" s="13"/>
      <c r="G15" s="12"/>
      <c r="H15" s="13"/>
      <c r="I15" s="385"/>
      <c r="J15" s="386"/>
    </row>
    <row r="16" spans="1:13" ht="18" customHeight="1" x14ac:dyDescent="0.2">
      <c r="A16" s="506"/>
      <c r="B16" s="383">
        <v>7</v>
      </c>
      <c r="C16" s="384">
        <v>2002</v>
      </c>
      <c r="D16" s="11"/>
      <c r="E16" s="12"/>
      <c r="F16" s="13"/>
      <c r="G16" s="12"/>
      <c r="H16" s="13"/>
      <c r="I16" s="385"/>
      <c r="J16" s="386"/>
    </row>
    <row r="17" spans="1:11" ht="18" customHeight="1" x14ac:dyDescent="0.2">
      <c r="A17" s="506"/>
      <c r="B17" s="387">
        <v>8</v>
      </c>
      <c r="C17" s="388">
        <v>2003</v>
      </c>
      <c r="D17" s="18"/>
      <c r="E17" s="12"/>
      <c r="F17" s="19"/>
      <c r="G17" s="20"/>
      <c r="H17" s="19"/>
      <c r="I17" s="389"/>
      <c r="J17" s="390"/>
    </row>
    <row r="18" spans="1:11" ht="18" customHeight="1" x14ac:dyDescent="0.2">
      <c r="A18" s="506"/>
      <c r="B18" s="391">
        <v>9</v>
      </c>
      <c r="C18" s="392">
        <v>2004</v>
      </c>
      <c r="D18" s="25"/>
      <c r="E18" s="26"/>
      <c r="F18" s="27"/>
      <c r="G18" s="26"/>
      <c r="H18" s="27"/>
      <c r="I18" s="393"/>
      <c r="J18" s="394"/>
    </row>
    <row r="19" spans="1:11" ht="18" customHeight="1" x14ac:dyDescent="0.2">
      <c r="A19" s="506"/>
      <c r="B19" s="387">
        <v>10</v>
      </c>
      <c r="C19" s="388">
        <v>2005</v>
      </c>
      <c r="D19" s="18"/>
      <c r="E19" s="40"/>
      <c r="F19" s="41"/>
      <c r="G19" s="26"/>
      <c r="H19" s="19"/>
      <c r="I19" s="389"/>
      <c r="J19" s="390"/>
    </row>
    <row r="20" spans="1:11" ht="18" customHeight="1" x14ac:dyDescent="0.2">
      <c r="A20" s="506"/>
      <c r="B20" s="395">
        <v>11</v>
      </c>
      <c r="C20" s="388">
        <v>2006</v>
      </c>
      <c r="D20" s="18"/>
      <c r="E20" s="40"/>
      <c r="F20" s="41"/>
      <c r="G20" s="20"/>
      <c r="H20" s="19"/>
      <c r="I20" s="389"/>
      <c r="J20" s="396"/>
    </row>
    <row r="21" spans="1:11" ht="18" customHeight="1" x14ac:dyDescent="0.2">
      <c r="A21" s="506"/>
      <c r="B21" s="397">
        <v>12</v>
      </c>
      <c r="C21" s="398">
        <v>2007</v>
      </c>
      <c r="D21" s="25"/>
      <c r="E21" s="42"/>
      <c r="F21" s="43"/>
      <c r="G21" s="26"/>
      <c r="H21" s="27"/>
      <c r="I21" s="393"/>
      <c r="J21" s="399"/>
    </row>
    <row r="22" spans="1:11" ht="18" customHeight="1" x14ac:dyDescent="0.2">
      <c r="A22" s="506"/>
      <c r="B22" s="395">
        <v>13</v>
      </c>
      <c r="C22" s="400">
        <v>2008</v>
      </c>
      <c r="D22" s="18"/>
      <c r="E22" s="40"/>
      <c r="F22" s="41"/>
      <c r="G22" s="20"/>
      <c r="H22" s="19"/>
      <c r="I22" s="389"/>
      <c r="J22" s="396"/>
    </row>
    <row r="23" spans="1:11" ht="18" customHeight="1" x14ac:dyDescent="0.2">
      <c r="A23" s="506"/>
      <c r="B23" s="387">
        <v>14</v>
      </c>
      <c r="C23" s="400">
        <v>2009</v>
      </c>
      <c r="D23" s="18"/>
      <c r="E23" s="40"/>
      <c r="F23" s="41"/>
      <c r="G23" s="20"/>
      <c r="H23" s="19"/>
      <c r="I23" s="389"/>
      <c r="J23" s="390"/>
      <c r="K23" s="401"/>
    </row>
    <row r="24" spans="1:11" ht="18" customHeight="1" x14ac:dyDescent="0.2">
      <c r="A24" s="506"/>
      <c r="B24" s="395">
        <v>15</v>
      </c>
      <c r="C24" s="388">
        <v>2010</v>
      </c>
      <c r="D24" s="18"/>
      <c r="E24" s="40"/>
      <c r="F24" s="41"/>
      <c r="G24" s="20"/>
      <c r="H24" s="19"/>
      <c r="I24" s="389"/>
      <c r="J24" s="396"/>
      <c r="K24" s="401"/>
    </row>
    <row r="25" spans="1:11" ht="18" customHeight="1" x14ac:dyDescent="0.2">
      <c r="A25" s="506"/>
      <c r="B25" s="402">
        <v>16</v>
      </c>
      <c r="C25" s="403">
        <v>2011</v>
      </c>
      <c r="D25" s="93"/>
      <c r="E25" s="97"/>
      <c r="F25" s="98"/>
      <c r="G25" s="94"/>
      <c r="H25" s="95"/>
      <c r="I25" s="404"/>
      <c r="J25" s="405"/>
      <c r="K25" s="401"/>
    </row>
    <row r="26" spans="1:11" ht="18" customHeight="1" thickBot="1" x14ac:dyDescent="0.25">
      <c r="A26" s="506"/>
      <c r="B26" s="406">
        <v>17</v>
      </c>
      <c r="C26" s="407">
        <v>2012</v>
      </c>
      <c r="D26" s="143"/>
      <c r="E26" s="150"/>
      <c r="F26" s="151"/>
      <c r="G26" s="144"/>
      <c r="H26" s="145"/>
      <c r="I26" s="408"/>
      <c r="J26" s="409"/>
      <c r="K26" s="401"/>
    </row>
    <row r="27" spans="1:11" ht="30" customHeight="1" x14ac:dyDescent="0.2">
      <c r="A27" s="506"/>
      <c r="B27" s="410">
        <v>18</v>
      </c>
      <c r="C27" s="411">
        <v>2013</v>
      </c>
      <c r="D27" s="154"/>
      <c r="E27" s="158"/>
      <c r="F27" s="159"/>
      <c r="G27" s="128"/>
      <c r="H27" s="155"/>
      <c r="I27" s="412"/>
      <c r="J27" s="413"/>
      <c r="K27" s="401"/>
    </row>
    <row r="28" spans="1:11" ht="30" customHeight="1" x14ac:dyDescent="0.2">
      <c r="A28" s="506"/>
      <c r="B28" s="387">
        <v>19</v>
      </c>
      <c r="C28" s="400">
        <v>2014</v>
      </c>
      <c r="D28" s="18" t="s">
        <v>9</v>
      </c>
      <c r="E28" s="40"/>
      <c r="F28" s="41"/>
      <c r="G28" s="255"/>
      <c r="H28" s="266"/>
      <c r="I28" s="389"/>
      <c r="J28" s="390"/>
      <c r="K28" s="401"/>
    </row>
    <row r="29" spans="1:11" ht="30" customHeight="1" thickBot="1" x14ac:dyDescent="0.25">
      <c r="A29" s="507"/>
      <c r="B29" s="414">
        <v>20</v>
      </c>
      <c r="C29" s="415">
        <v>2015</v>
      </c>
      <c r="D29" s="93" t="s">
        <v>9</v>
      </c>
      <c r="E29" s="97"/>
      <c r="F29" s="98"/>
      <c r="G29" s="94"/>
      <c r="H29" s="95"/>
      <c r="I29" s="404"/>
      <c r="J29" s="416"/>
      <c r="K29" s="401"/>
    </row>
    <row r="30" spans="1:11" ht="30" customHeight="1" x14ac:dyDescent="0.2">
      <c r="A30" s="508" t="s">
        <v>34</v>
      </c>
      <c r="B30" s="417">
        <v>21</v>
      </c>
      <c r="C30" s="418">
        <v>2016</v>
      </c>
      <c r="D30" s="263"/>
      <c r="E30" s="168"/>
      <c r="F30" s="169"/>
      <c r="G30" s="64"/>
      <c r="H30" s="65"/>
      <c r="I30" s="419"/>
      <c r="J30" s="420"/>
      <c r="K30" s="401"/>
    </row>
    <row r="31" spans="1:11" ht="30" customHeight="1" x14ac:dyDescent="0.2">
      <c r="A31" s="509"/>
      <c r="B31" s="421">
        <v>22</v>
      </c>
      <c r="C31" s="384" t="s">
        <v>49</v>
      </c>
      <c r="D31" s="264">
        <v>0</v>
      </c>
      <c r="E31" s="422"/>
      <c r="F31" s="422"/>
      <c r="G31" s="12"/>
      <c r="H31" s="13"/>
      <c r="I31" s="13"/>
      <c r="J31" s="78"/>
    </row>
    <row r="32" spans="1:11" ht="30" customHeight="1" thickBot="1" x14ac:dyDescent="0.25">
      <c r="A32" s="510"/>
      <c r="B32" s="423">
        <v>23</v>
      </c>
      <c r="C32" s="424" t="s">
        <v>50</v>
      </c>
      <c r="D32" s="265">
        <v>0</v>
      </c>
      <c r="E32" s="425"/>
      <c r="F32" s="425"/>
      <c r="G32" s="71"/>
      <c r="H32" s="76"/>
      <c r="I32" s="76"/>
      <c r="J32" s="77"/>
    </row>
    <row r="33" spans="4:4" ht="3.95" customHeight="1" x14ac:dyDescent="0.2"/>
    <row r="35" spans="4:4" ht="17.100000000000001" customHeight="1" x14ac:dyDescent="0.2">
      <c r="D35" s="426" t="s">
        <v>9</v>
      </c>
    </row>
    <row r="36" spans="4:4" ht="17.100000000000001" customHeight="1" x14ac:dyDescent="0.2"/>
    <row r="37" spans="4:4" ht="17.100000000000001" customHeight="1" x14ac:dyDescent="0.2"/>
    <row r="38" spans="4:4" ht="18" customHeight="1" x14ac:dyDescent="0.2"/>
    <row r="39" spans="4:4" ht="18" customHeight="1" x14ac:dyDescent="0.2"/>
    <row r="40" spans="4:4" ht="18" customHeight="1" x14ac:dyDescent="0.2"/>
    <row r="41" spans="4:4" ht="18" customHeight="1" x14ac:dyDescent="0.2"/>
  </sheetData>
  <mergeCells count="4">
    <mergeCell ref="E8:F8"/>
    <mergeCell ref="G8:H8"/>
    <mergeCell ref="A10:A29"/>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38"/>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69</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1" ht="18" customHeight="1" x14ac:dyDescent="0.2">
      <c r="A17" s="491"/>
      <c r="B17" s="16">
        <v>8</v>
      </c>
      <c r="C17" s="17">
        <v>2003</v>
      </c>
      <c r="D17" s="18"/>
      <c r="E17" s="12"/>
      <c r="F17" s="19"/>
      <c r="G17" s="20"/>
      <c r="H17" s="19"/>
      <c r="I17" s="21"/>
      <c r="J17" s="22"/>
    </row>
    <row r="18" spans="1:11" ht="18" customHeight="1" x14ac:dyDescent="0.2">
      <c r="A18" s="491"/>
      <c r="B18" s="23">
        <v>9</v>
      </c>
      <c r="C18" s="24">
        <v>2004</v>
      </c>
      <c r="D18" s="25"/>
      <c r="E18" s="26"/>
      <c r="F18" s="27"/>
      <c r="G18" s="26"/>
      <c r="H18" s="27"/>
      <c r="I18" s="28"/>
      <c r="J18" s="29"/>
    </row>
    <row r="19" spans="1:11" ht="18" customHeight="1" x14ac:dyDescent="0.2">
      <c r="A19" s="491"/>
      <c r="B19" s="16">
        <v>10</v>
      </c>
      <c r="C19" s="17">
        <v>2005</v>
      </c>
      <c r="D19" s="18"/>
      <c r="E19" s="40"/>
      <c r="F19" s="41"/>
      <c r="G19" s="26"/>
      <c r="H19" s="19"/>
      <c r="I19" s="21"/>
      <c r="J19" s="22"/>
    </row>
    <row r="20" spans="1:11" ht="18" customHeight="1" x14ac:dyDescent="0.2">
      <c r="A20" s="491"/>
      <c r="B20" s="35">
        <v>11</v>
      </c>
      <c r="C20" s="17">
        <v>2006</v>
      </c>
      <c r="D20" s="18"/>
      <c r="E20" s="40"/>
      <c r="F20" s="41"/>
      <c r="G20" s="20"/>
      <c r="H20" s="19"/>
      <c r="I20" s="21"/>
      <c r="J20" s="36"/>
    </row>
    <row r="21" spans="1:11" ht="18" customHeight="1" x14ac:dyDescent="0.2">
      <c r="A21" s="491"/>
      <c r="B21" s="33">
        <v>12</v>
      </c>
      <c r="C21" s="52">
        <v>2007</v>
      </c>
      <c r="D21" s="25"/>
      <c r="E21" s="42"/>
      <c r="F21" s="43"/>
      <c r="G21" s="26"/>
      <c r="H21" s="27"/>
      <c r="I21" s="28"/>
      <c r="J21" s="34"/>
    </row>
    <row r="22" spans="1:11" ht="18" customHeight="1" x14ac:dyDescent="0.2">
      <c r="A22" s="491"/>
      <c r="B22" s="35">
        <v>13</v>
      </c>
      <c r="C22" s="59">
        <v>2008</v>
      </c>
      <c r="D22" s="18"/>
      <c r="E22" s="40"/>
      <c r="F22" s="41"/>
      <c r="G22" s="20"/>
      <c r="H22" s="19"/>
      <c r="I22" s="21"/>
      <c r="J22" s="36"/>
    </row>
    <row r="23" spans="1:11" ht="18" customHeight="1" x14ac:dyDescent="0.2">
      <c r="A23" s="491"/>
      <c r="B23" s="16">
        <v>14</v>
      </c>
      <c r="C23" s="59">
        <v>2009</v>
      </c>
      <c r="D23" s="18"/>
      <c r="E23" s="40"/>
      <c r="F23" s="41"/>
      <c r="G23" s="20"/>
      <c r="H23" s="19"/>
      <c r="I23" s="21"/>
      <c r="J23" s="22"/>
      <c r="K23" s="48"/>
    </row>
    <row r="24" spans="1:11" ht="18" customHeight="1" x14ac:dyDescent="0.2">
      <c r="A24" s="491"/>
      <c r="B24" s="35">
        <v>15</v>
      </c>
      <c r="C24" s="17">
        <v>2010</v>
      </c>
      <c r="D24" s="18"/>
      <c r="E24" s="40"/>
      <c r="F24" s="41"/>
      <c r="G24" s="20"/>
      <c r="H24" s="19"/>
      <c r="I24" s="21"/>
      <c r="J24" s="36"/>
      <c r="K24" s="48"/>
    </row>
    <row r="25" spans="1:11" ht="18" customHeight="1" x14ac:dyDescent="0.2">
      <c r="A25" s="491"/>
      <c r="B25" s="38">
        <v>16</v>
      </c>
      <c r="C25" s="92">
        <v>2011</v>
      </c>
      <c r="D25" s="93"/>
      <c r="E25" s="97"/>
      <c r="F25" s="98"/>
      <c r="G25" s="94"/>
      <c r="H25" s="95"/>
      <c r="I25" s="96"/>
      <c r="J25" s="39"/>
      <c r="K25" s="48"/>
    </row>
    <row r="26" spans="1:11" ht="18" customHeight="1" thickBot="1" x14ac:dyDescent="0.25">
      <c r="A26" s="491"/>
      <c r="B26" s="141">
        <v>17</v>
      </c>
      <c r="C26" s="142">
        <v>2012</v>
      </c>
      <c r="D26" s="143"/>
      <c r="E26" s="150"/>
      <c r="F26" s="151"/>
      <c r="G26" s="144"/>
      <c r="H26" s="145"/>
      <c r="I26" s="146"/>
      <c r="J26" s="147"/>
      <c r="K26" s="48"/>
    </row>
    <row r="27" spans="1:11" ht="30" customHeight="1" x14ac:dyDescent="0.2">
      <c r="A27" s="137"/>
      <c r="B27" s="152">
        <v>18</v>
      </c>
      <c r="C27" s="153">
        <v>2013</v>
      </c>
      <c r="D27" s="154"/>
      <c r="E27" s="158"/>
      <c r="F27" s="159"/>
      <c r="G27" s="128"/>
      <c r="H27" s="155"/>
      <c r="I27" s="156"/>
      <c r="J27" s="157"/>
      <c r="K27" s="48"/>
    </row>
    <row r="28" spans="1:11" ht="30" customHeight="1" x14ac:dyDescent="0.2">
      <c r="A28" s="137"/>
      <c r="B28" s="457">
        <v>19</v>
      </c>
      <c r="C28" s="458">
        <v>2014</v>
      </c>
      <c r="D28" s="264">
        <f>'OHCA_C-Report_2014-16'!L16</f>
        <v>12712</v>
      </c>
      <c r="E28" s="459"/>
      <c r="F28" s="460"/>
      <c r="G28" s="255">
        <f>H28/D28</f>
        <v>4478.1508810572686</v>
      </c>
      <c r="H28" s="266">
        <f>'OHCA_C-Report_2014-16'!M17</f>
        <v>56926254</v>
      </c>
      <c r="I28" s="461">
        <f>F28-H28</f>
        <v>-56926254</v>
      </c>
      <c r="J28" s="462">
        <f>('May17-Exh7-NDWA_All_2013'!J27*IOK_ESI_IP!$AQ$10)+I28</f>
        <v>-287463860.84123409</v>
      </c>
      <c r="K28" s="48"/>
    </row>
    <row r="29" spans="1:11" ht="30" customHeight="1" thickBot="1" x14ac:dyDescent="0.25">
      <c r="A29" s="138"/>
      <c r="B29" s="134">
        <v>20</v>
      </c>
      <c r="C29" s="139">
        <v>2015</v>
      </c>
      <c r="D29" s="93">
        <f>'OHCA_C-Report_2014-16'!X$16</f>
        <v>48088</v>
      </c>
      <c r="E29" s="97"/>
      <c r="F29" s="98"/>
      <c r="G29" s="94">
        <f>H29/D29</f>
        <v>588.04096656130423</v>
      </c>
      <c r="H29" s="95">
        <f>('OHCA_C-Report_2014-16'!Y$17)</f>
        <v>28277714</v>
      </c>
      <c r="I29" s="96">
        <f>F29-H29</f>
        <v>-28277714</v>
      </c>
      <c r="J29" s="101">
        <f>J28+I29</f>
        <v>-315741574.84123409</v>
      </c>
      <c r="K29" s="48"/>
    </row>
    <row r="30" spans="1:11" ht="30" customHeight="1" x14ac:dyDescent="0.2">
      <c r="A30" s="500" t="s">
        <v>34</v>
      </c>
      <c r="B30" s="61">
        <v>21</v>
      </c>
      <c r="C30" s="62">
        <v>2016</v>
      </c>
      <c r="D30" s="263">
        <f>'OHCA_C-Report_2014-16'!AJ$16</f>
        <v>50320</v>
      </c>
      <c r="E30" s="168"/>
      <c r="F30" s="169"/>
      <c r="G30" s="64">
        <f>H30/D30</f>
        <v>543.92299284578701</v>
      </c>
      <c r="H30" s="65">
        <f>('OHCA_C-Report_2014-16'!AK$17)</f>
        <v>27370205</v>
      </c>
      <c r="I30" s="66">
        <f>F30-H30</f>
        <v>-27370205</v>
      </c>
      <c r="J30" s="67">
        <f>J29+I30</f>
        <v>-343111779.84123409</v>
      </c>
      <c r="K30" s="48"/>
    </row>
    <row r="31" spans="1:11" ht="30" customHeight="1" x14ac:dyDescent="0.2">
      <c r="A31" s="501"/>
      <c r="B31" s="72">
        <v>22</v>
      </c>
      <c r="C31" s="10" t="s">
        <v>49</v>
      </c>
      <c r="D31" s="264">
        <f>D30*(1+IOK_ESI_IP!$AN$10)</f>
        <v>52619.940304271135</v>
      </c>
      <c r="E31" s="184"/>
      <c r="F31" s="184"/>
      <c r="G31" s="12">
        <f>G30*'May17-Exh1&amp;2-Trends'!$D$30</f>
        <v>567.85560453100163</v>
      </c>
      <c r="H31" s="13">
        <f>G31*D31</f>
        <v>29880528.011867102</v>
      </c>
      <c r="I31" s="13">
        <f>F31-H31</f>
        <v>-29880528.011867102</v>
      </c>
      <c r="J31" s="78">
        <f>J30+I31</f>
        <v>-372992307.85310119</v>
      </c>
    </row>
    <row r="32" spans="1:11" ht="30" customHeight="1" thickBot="1" x14ac:dyDescent="0.25">
      <c r="A32" s="502"/>
      <c r="B32" s="68">
        <v>23</v>
      </c>
      <c r="C32" s="70" t="s">
        <v>50</v>
      </c>
      <c r="D32" s="265">
        <f>D31*(1+IOK_ESI_IP!$AN$10)</f>
        <v>55025.0023375409</v>
      </c>
      <c r="E32" s="185"/>
      <c r="F32" s="185"/>
      <c r="G32" s="71">
        <f>G31*'May17-Exh1&amp;2-Trends'!$D$30</f>
        <v>592.84125113036578</v>
      </c>
      <c r="H32" s="76">
        <f>G32*D32</f>
        <v>32621091.22923905</v>
      </c>
      <c r="I32" s="76">
        <f>F32-H32</f>
        <v>-32621091.22923905</v>
      </c>
      <c r="J32" s="77">
        <f>J31+I32</f>
        <v>-405613399.08234024</v>
      </c>
    </row>
    <row r="33" spans="4:8" ht="17.100000000000001" customHeight="1" x14ac:dyDescent="0.2">
      <c r="D33" s="455"/>
    </row>
    <row r="34" spans="4:8" ht="17.100000000000001" customHeight="1" x14ac:dyDescent="0.2">
      <c r="D34" s="456" t="s">
        <v>9</v>
      </c>
      <c r="G34" s="190"/>
      <c r="H34" s="190"/>
    </row>
    <row r="35" spans="4:8" ht="18" customHeight="1" x14ac:dyDescent="0.2">
      <c r="D35" s="190"/>
      <c r="G35" s="190"/>
      <c r="H35" s="190"/>
    </row>
    <row r="36" spans="4:8" ht="18" customHeight="1" x14ac:dyDescent="0.2">
      <c r="D36" s="190"/>
      <c r="G36" s="190"/>
      <c r="H36" s="190"/>
    </row>
    <row r="37" spans="4:8" ht="18" customHeight="1" x14ac:dyDescent="0.2">
      <c r="D37" s="190"/>
      <c r="G37" s="190"/>
      <c r="H37" s="190"/>
    </row>
    <row r="38" spans="4:8" ht="18" customHeight="1" x14ac:dyDescent="0.2">
      <c r="D38" s="190"/>
      <c r="G38" s="190"/>
      <c r="H38" s="190"/>
    </row>
  </sheetData>
  <mergeCells count="4">
    <mergeCell ref="E8:F8"/>
    <mergeCell ref="G8:H8"/>
    <mergeCell ref="A30:A32"/>
    <mergeCell ref="A10:A26"/>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41"/>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70</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1" ht="18" customHeight="1" x14ac:dyDescent="0.2">
      <c r="A17" s="491"/>
      <c r="B17" s="16">
        <v>8</v>
      </c>
      <c r="C17" s="17">
        <v>2003</v>
      </c>
      <c r="D17" s="18"/>
      <c r="E17" s="12"/>
      <c r="F17" s="19"/>
      <c r="G17" s="20"/>
      <c r="H17" s="19"/>
      <c r="I17" s="21"/>
      <c r="J17" s="22"/>
    </row>
    <row r="18" spans="1:11" ht="18" customHeight="1" x14ac:dyDescent="0.2">
      <c r="A18" s="491"/>
      <c r="B18" s="23">
        <v>9</v>
      </c>
      <c r="C18" s="24">
        <v>2004</v>
      </c>
      <c r="D18" s="25"/>
      <c r="E18" s="26"/>
      <c r="F18" s="27"/>
      <c r="G18" s="26"/>
      <c r="H18" s="27"/>
      <c r="I18" s="28"/>
      <c r="J18" s="29"/>
    </row>
    <row r="19" spans="1:11" ht="18" customHeight="1" x14ac:dyDescent="0.2">
      <c r="A19" s="491"/>
      <c r="B19" s="16">
        <v>10</v>
      </c>
      <c r="C19" s="17">
        <v>2005</v>
      </c>
      <c r="D19" s="18"/>
      <c r="E19" s="40"/>
      <c r="F19" s="41"/>
      <c r="G19" s="26"/>
      <c r="H19" s="19"/>
      <c r="I19" s="21"/>
      <c r="J19" s="22"/>
    </row>
    <row r="20" spans="1:11" ht="18" customHeight="1" x14ac:dyDescent="0.2">
      <c r="A20" s="491"/>
      <c r="B20" s="35">
        <v>11</v>
      </c>
      <c r="C20" s="17">
        <v>2006</v>
      </c>
      <c r="D20" s="18"/>
      <c r="E20" s="40"/>
      <c r="F20" s="41"/>
      <c r="G20" s="20"/>
      <c r="H20" s="19"/>
      <c r="I20" s="21"/>
      <c r="J20" s="36"/>
    </row>
    <row r="21" spans="1:11" ht="18" customHeight="1" x14ac:dyDescent="0.2">
      <c r="A21" s="491"/>
      <c r="B21" s="33">
        <v>12</v>
      </c>
      <c r="C21" s="52">
        <v>2007</v>
      </c>
      <c r="D21" s="25"/>
      <c r="E21" s="42"/>
      <c r="F21" s="43"/>
      <c r="G21" s="26"/>
      <c r="H21" s="27"/>
      <c r="I21" s="28"/>
      <c r="J21" s="34"/>
    </row>
    <row r="22" spans="1:11" ht="18" customHeight="1" x14ac:dyDescent="0.2">
      <c r="A22" s="491"/>
      <c r="B22" s="35">
        <v>13</v>
      </c>
      <c r="C22" s="59">
        <v>2008</v>
      </c>
      <c r="D22" s="18"/>
      <c r="E22" s="40"/>
      <c r="F22" s="41"/>
      <c r="G22" s="20"/>
      <c r="H22" s="19"/>
      <c r="I22" s="21"/>
      <c r="J22" s="36"/>
    </row>
    <row r="23" spans="1:11" ht="18" customHeight="1" x14ac:dyDescent="0.2">
      <c r="A23" s="491"/>
      <c r="B23" s="16">
        <v>14</v>
      </c>
      <c r="C23" s="59">
        <v>2009</v>
      </c>
      <c r="D23" s="18"/>
      <c r="E23" s="40"/>
      <c r="F23" s="41"/>
      <c r="G23" s="20"/>
      <c r="H23" s="19"/>
      <c r="I23" s="21"/>
      <c r="J23" s="22"/>
      <c r="K23" s="48"/>
    </row>
    <row r="24" spans="1:11" ht="18" customHeight="1" x14ac:dyDescent="0.2">
      <c r="A24" s="491"/>
      <c r="B24" s="35">
        <v>15</v>
      </c>
      <c r="C24" s="17">
        <v>2010</v>
      </c>
      <c r="D24" s="18"/>
      <c r="E24" s="40"/>
      <c r="F24" s="41"/>
      <c r="G24" s="20"/>
      <c r="H24" s="19"/>
      <c r="I24" s="21"/>
      <c r="J24" s="36"/>
      <c r="K24" s="48"/>
    </row>
    <row r="25" spans="1:11" ht="18" customHeight="1" x14ac:dyDescent="0.2">
      <c r="A25" s="491"/>
      <c r="B25" s="38">
        <v>16</v>
      </c>
      <c r="C25" s="92">
        <v>2011</v>
      </c>
      <c r="D25" s="93"/>
      <c r="E25" s="97"/>
      <c r="F25" s="98"/>
      <c r="G25" s="94"/>
      <c r="H25" s="95"/>
      <c r="I25" s="96"/>
      <c r="J25" s="39"/>
      <c r="K25" s="48"/>
    </row>
    <row r="26" spans="1:11" ht="18" customHeight="1" thickBot="1" x14ac:dyDescent="0.25">
      <c r="A26" s="491"/>
      <c r="B26" s="141">
        <v>17</v>
      </c>
      <c r="C26" s="142">
        <v>2012</v>
      </c>
      <c r="D26" s="143"/>
      <c r="E26" s="150"/>
      <c r="F26" s="151"/>
      <c r="G26" s="144"/>
      <c r="H26" s="145"/>
      <c r="I26" s="146"/>
      <c r="J26" s="147"/>
      <c r="K26" s="48"/>
    </row>
    <row r="27" spans="1:11" ht="30" customHeight="1" x14ac:dyDescent="0.2">
      <c r="A27" s="137"/>
      <c r="B27" s="152">
        <v>18</v>
      </c>
      <c r="C27" s="153">
        <v>2013</v>
      </c>
      <c r="D27" s="154"/>
      <c r="E27" s="158"/>
      <c r="F27" s="159"/>
      <c r="G27" s="128"/>
      <c r="H27" s="155"/>
      <c r="I27" s="156"/>
      <c r="J27" s="157"/>
      <c r="K27" s="48"/>
    </row>
    <row r="28" spans="1:11" ht="30" customHeight="1" x14ac:dyDescent="0.2">
      <c r="A28" s="137"/>
      <c r="B28" s="16">
        <v>19</v>
      </c>
      <c r="C28" s="458">
        <v>2014</v>
      </c>
      <c r="D28" s="264">
        <f>'OHCA_C-Report_2014-16'!L24</f>
        <v>4</v>
      </c>
      <c r="E28" s="459"/>
      <c r="F28" s="460"/>
      <c r="G28" s="255">
        <f>H28/D28</f>
        <v>1560.75</v>
      </c>
      <c r="H28" s="266">
        <f>'OHCA_C-Report_2014-16'!M25</f>
        <v>6243</v>
      </c>
      <c r="I28" s="461">
        <f>F28-H28</f>
        <v>-6243</v>
      </c>
      <c r="J28" s="462">
        <f>'May17-Exh9-WDA_All_2013'!J27+I28</f>
        <v>-556105.92999999993</v>
      </c>
      <c r="K28" s="48"/>
    </row>
    <row r="29" spans="1:11" ht="30" customHeight="1" thickBot="1" x14ac:dyDescent="0.25">
      <c r="A29" s="138"/>
      <c r="B29" s="134">
        <v>20</v>
      </c>
      <c r="C29" s="463">
        <v>2015</v>
      </c>
      <c r="D29" s="278">
        <f>'OHCA_C-Report_2014-16'!X$24</f>
        <v>11</v>
      </c>
      <c r="E29" s="464"/>
      <c r="F29" s="465"/>
      <c r="G29" s="444">
        <f>H29/D29</f>
        <v>4187.272727272727</v>
      </c>
      <c r="H29" s="445">
        <f>'OHCA_C-Report_2014-16'!Y$25</f>
        <v>46060</v>
      </c>
      <c r="I29" s="466">
        <f>F29-H29</f>
        <v>-46060</v>
      </c>
      <c r="J29" s="467">
        <f>J28+I29</f>
        <v>-602165.92999999993</v>
      </c>
      <c r="K29" s="48"/>
    </row>
    <row r="30" spans="1:11" ht="30" customHeight="1" x14ac:dyDescent="0.2">
      <c r="A30" s="500" t="s">
        <v>34</v>
      </c>
      <c r="B30" s="61">
        <v>21</v>
      </c>
      <c r="C30" s="468">
        <v>2016</v>
      </c>
      <c r="D30" s="263">
        <f>'OHCA_C-Report_2014-16'!AJ$24</f>
        <v>0</v>
      </c>
      <c r="E30" s="269"/>
      <c r="F30" s="270"/>
      <c r="G30" s="269">
        <f>G29*'May17-Exh1&amp;2-Trends'!$D$31</f>
        <v>4363.1381818181817</v>
      </c>
      <c r="H30" s="270">
        <f>'OHCA_C-Report_2014-16'!AK$25</f>
        <v>17555</v>
      </c>
      <c r="I30" s="271">
        <f>F30-H30</f>
        <v>-17555</v>
      </c>
      <c r="J30" s="272">
        <f>J29+I30</f>
        <v>-619720.92999999993</v>
      </c>
      <c r="K30" s="48"/>
    </row>
    <row r="31" spans="1:11" ht="30" customHeight="1" x14ac:dyDescent="0.2">
      <c r="A31" s="501"/>
      <c r="B31" s="72">
        <v>22</v>
      </c>
      <c r="C31" s="469" t="s">
        <v>49</v>
      </c>
      <c r="D31" s="264">
        <v>0</v>
      </c>
      <c r="E31" s="470"/>
      <c r="F31" s="470"/>
      <c r="G31" s="255">
        <f>G30*'May17-Exh1&amp;2-Trends'!$D$31</f>
        <v>4546.3899854545452</v>
      </c>
      <c r="H31" s="266">
        <f>G31*D31</f>
        <v>0</v>
      </c>
      <c r="I31" s="266">
        <f>F31-H31</f>
        <v>0</v>
      </c>
      <c r="J31" s="274">
        <f>J30+I31</f>
        <v>-619720.92999999993</v>
      </c>
    </row>
    <row r="32" spans="1:11" ht="30" customHeight="1" thickBot="1" x14ac:dyDescent="0.25">
      <c r="A32" s="502"/>
      <c r="B32" s="68">
        <v>23</v>
      </c>
      <c r="C32" s="471" t="s">
        <v>50</v>
      </c>
      <c r="D32" s="265">
        <v>0</v>
      </c>
      <c r="E32" s="472"/>
      <c r="F32" s="472"/>
      <c r="G32" s="256">
        <f>G31*'May17-Exh1&amp;2-Trends'!$D$31</f>
        <v>4737.3383648436366</v>
      </c>
      <c r="H32" s="276">
        <f>G32*D32</f>
        <v>0</v>
      </c>
      <c r="I32" s="276">
        <f>F32-H32</f>
        <v>0</v>
      </c>
      <c r="J32" s="277">
        <f>J31+I32</f>
        <v>-619720.92999999993</v>
      </c>
    </row>
    <row r="33" spans="4:9" ht="17.100000000000001" customHeight="1" x14ac:dyDescent="0.2"/>
    <row r="34" spans="4:9" ht="17.100000000000001" customHeight="1" x14ac:dyDescent="0.2">
      <c r="D34" s="450"/>
      <c r="E34" s="48"/>
      <c r="F34" s="48"/>
      <c r="G34" s="450"/>
      <c r="H34" s="450"/>
      <c r="I34" s="48"/>
    </row>
    <row r="35" spans="4:9" ht="18" customHeight="1" x14ac:dyDescent="0.2">
      <c r="D35" s="450"/>
      <c r="E35" s="48"/>
      <c r="F35" s="48"/>
      <c r="G35" s="450"/>
      <c r="H35" s="450"/>
      <c r="I35" s="48"/>
    </row>
    <row r="36" spans="4:9" ht="18" customHeight="1" x14ac:dyDescent="0.2">
      <c r="D36" s="450"/>
      <c r="E36" s="48"/>
      <c r="F36" s="48"/>
      <c r="G36" s="450"/>
      <c r="H36" s="450"/>
      <c r="I36" s="48"/>
    </row>
    <row r="37" spans="4:9" ht="18" customHeight="1" x14ac:dyDescent="0.2">
      <c r="D37" s="450"/>
      <c r="E37" s="48"/>
      <c r="F37" s="48"/>
      <c r="G37" s="450"/>
      <c r="H37" s="450"/>
      <c r="I37" s="48"/>
    </row>
    <row r="38" spans="4:9" ht="18" customHeight="1" x14ac:dyDescent="0.2">
      <c r="D38" s="450"/>
      <c r="E38" s="48"/>
      <c r="F38" s="48"/>
      <c r="G38" s="450"/>
      <c r="H38" s="450"/>
      <c r="I38" s="48"/>
    </row>
    <row r="39" spans="4:9" x14ac:dyDescent="0.2">
      <c r="D39" s="48"/>
      <c r="E39" s="48"/>
      <c r="F39" s="48"/>
      <c r="G39" s="48"/>
      <c r="H39" s="48"/>
      <c r="I39" s="48"/>
    </row>
    <row r="40" spans="4:9" x14ac:dyDescent="0.2">
      <c r="D40" s="48"/>
      <c r="E40" s="48"/>
      <c r="F40" s="48"/>
      <c r="G40" s="48"/>
      <c r="H40" s="48"/>
      <c r="I40" s="48"/>
    </row>
    <row r="41" spans="4:9" x14ac:dyDescent="0.2">
      <c r="D41" s="48"/>
      <c r="E41" s="48"/>
      <c r="F41" s="48"/>
      <c r="G41" s="48"/>
      <c r="H41" s="48"/>
      <c r="I41" s="48"/>
    </row>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34:F38"/>
  <sheetViews>
    <sheetView tabSelected="1" workbookViewId="0">
      <selection activeCell="M24" sqref="M24"/>
    </sheetView>
  </sheetViews>
  <sheetFormatPr defaultRowHeight="12.75" x14ac:dyDescent="0.2"/>
  <cols>
    <col min="12" max="12" width="11" bestFit="1" customWidth="1"/>
    <col min="13" max="13" width="9.7109375" customWidth="1"/>
  </cols>
  <sheetData>
    <row r="34" spans="1:6" x14ac:dyDescent="0.2">
      <c r="A34" s="1" t="s">
        <v>9</v>
      </c>
      <c r="C34" s="132"/>
      <c r="D34" s="132"/>
      <c r="E34" s="132"/>
      <c r="F34" s="132"/>
    </row>
    <row r="35" spans="1:6" x14ac:dyDescent="0.2">
      <c r="C35" s="132"/>
      <c r="D35" s="132"/>
      <c r="E35" s="132"/>
      <c r="F35" s="132"/>
    </row>
    <row r="36" spans="1:6" x14ac:dyDescent="0.2">
      <c r="C36" s="132"/>
      <c r="D36" s="132"/>
      <c r="E36" s="132"/>
      <c r="F36" s="132"/>
    </row>
    <row r="37" spans="1:6" x14ac:dyDescent="0.2">
      <c r="B37" s="132"/>
      <c r="E37" s="130" t="s">
        <v>9</v>
      </c>
    </row>
    <row r="38" spans="1:6" x14ac:dyDescent="0.2">
      <c r="B38" s="132"/>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1:L38"/>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1" spans="1:12" x14ac:dyDescent="0.2">
      <c r="L1" s="130" t="s">
        <v>9</v>
      </c>
    </row>
    <row r="2" spans="1:12" ht="18" x14ac:dyDescent="0.25">
      <c r="A2" s="37" t="s">
        <v>0</v>
      </c>
    </row>
    <row r="3" spans="1:12" ht="18.75" x14ac:dyDescent="0.3">
      <c r="A3" s="37" t="s">
        <v>10</v>
      </c>
    </row>
    <row r="4" spans="1:12" ht="18" x14ac:dyDescent="0.25">
      <c r="A4" s="37"/>
    </row>
    <row r="5" spans="1:12" ht="18" x14ac:dyDescent="0.25">
      <c r="A5" s="37" t="s">
        <v>71</v>
      </c>
    </row>
    <row r="7" spans="1:12" ht="13.5" thickBot="1" x14ac:dyDescent="0.25">
      <c r="B7" s="1" t="s">
        <v>9</v>
      </c>
    </row>
    <row r="8" spans="1:12" ht="13.5" thickBot="1" x14ac:dyDescent="0.25">
      <c r="B8" s="206"/>
      <c r="C8" s="207"/>
      <c r="D8" s="207"/>
      <c r="E8" s="488" t="s">
        <v>1</v>
      </c>
      <c r="F8" s="489"/>
      <c r="G8" s="488" t="s">
        <v>2</v>
      </c>
      <c r="H8" s="489"/>
      <c r="I8" s="208"/>
      <c r="J8" s="207"/>
    </row>
    <row r="9" spans="1:12" ht="42" customHeight="1" thickBot="1" x14ac:dyDescent="0.25">
      <c r="B9" s="209" t="s">
        <v>3</v>
      </c>
      <c r="C9" s="210" t="s">
        <v>4</v>
      </c>
      <c r="D9" s="211" t="s">
        <v>25</v>
      </c>
      <c r="E9" s="212" t="s">
        <v>5</v>
      </c>
      <c r="F9" s="211" t="s">
        <v>6</v>
      </c>
      <c r="G9" s="211" t="s">
        <v>5</v>
      </c>
      <c r="H9" s="211" t="s">
        <v>6</v>
      </c>
      <c r="I9" s="212" t="s">
        <v>7</v>
      </c>
      <c r="J9" s="211" t="s">
        <v>8</v>
      </c>
    </row>
    <row r="10" spans="1:12" ht="18" customHeight="1" x14ac:dyDescent="0.2">
      <c r="A10" s="490" t="s">
        <v>48</v>
      </c>
      <c r="B10" s="2">
        <v>1</v>
      </c>
      <c r="C10" s="3">
        <v>1996</v>
      </c>
      <c r="D10" s="4"/>
      <c r="E10" s="5"/>
      <c r="F10" s="6"/>
      <c r="G10" s="5"/>
      <c r="H10" s="6"/>
      <c r="I10" s="7"/>
      <c r="J10" s="8"/>
    </row>
    <row r="11" spans="1:12" ht="18" customHeight="1" x14ac:dyDescent="0.2">
      <c r="A11" s="491"/>
      <c r="B11" s="9">
        <v>2</v>
      </c>
      <c r="C11" s="10">
        <v>1997</v>
      </c>
      <c r="D11" s="11"/>
      <c r="E11" s="12"/>
      <c r="F11" s="13"/>
      <c r="G11" s="12"/>
      <c r="H11" s="13"/>
      <c r="I11" s="14"/>
      <c r="J11" s="15"/>
    </row>
    <row r="12" spans="1:12" ht="18" customHeight="1" x14ac:dyDescent="0.2">
      <c r="A12" s="491"/>
      <c r="B12" s="9">
        <v>3</v>
      </c>
      <c r="C12" s="10">
        <v>1998</v>
      </c>
      <c r="D12" s="11"/>
      <c r="E12" s="12"/>
      <c r="F12" s="13"/>
      <c r="G12" s="12"/>
      <c r="H12" s="13"/>
      <c r="I12" s="14"/>
      <c r="J12" s="15"/>
    </row>
    <row r="13" spans="1:12" ht="18" customHeight="1" x14ac:dyDescent="0.2">
      <c r="A13" s="491"/>
      <c r="B13" s="9">
        <v>4</v>
      </c>
      <c r="C13" s="10">
        <v>1999</v>
      </c>
      <c r="D13" s="11"/>
      <c r="E13" s="12"/>
      <c r="F13" s="13"/>
      <c r="G13" s="12"/>
      <c r="H13" s="13"/>
      <c r="I13" s="14"/>
      <c r="J13" s="15"/>
    </row>
    <row r="14" spans="1:12" ht="18" customHeight="1" x14ac:dyDescent="0.2">
      <c r="A14" s="491"/>
      <c r="B14" s="9">
        <v>5</v>
      </c>
      <c r="C14" s="10">
        <v>2000</v>
      </c>
      <c r="D14" s="11"/>
      <c r="E14" s="12"/>
      <c r="F14" s="13"/>
      <c r="G14" s="12"/>
      <c r="H14" s="13"/>
      <c r="I14" s="14"/>
      <c r="J14" s="15"/>
    </row>
    <row r="15" spans="1:12" ht="18" customHeight="1" x14ac:dyDescent="0.2">
      <c r="A15" s="491"/>
      <c r="B15" s="9">
        <v>6</v>
      </c>
      <c r="C15" s="10">
        <v>2001</v>
      </c>
      <c r="D15" s="11"/>
      <c r="E15" s="12"/>
      <c r="F15" s="13"/>
      <c r="G15" s="12"/>
      <c r="H15" s="13"/>
      <c r="I15" s="14"/>
      <c r="J15" s="15"/>
    </row>
    <row r="16" spans="1:12" ht="18" customHeight="1" x14ac:dyDescent="0.2">
      <c r="A16" s="491"/>
      <c r="B16" s="9">
        <v>7</v>
      </c>
      <c r="C16" s="10">
        <v>2002</v>
      </c>
      <c r="D16" s="11"/>
      <c r="E16" s="12"/>
      <c r="F16" s="13"/>
      <c r="G16" s="12"/>
      <c r="H16" s="13"/>
      <c r="I16" s="14"/>
      <c r="J16" s="15"/>
    </row>
    <row r="17" spans="1:11" ht="18" customHeight="1" x14ac:dyDescent="0.2">
      <c r="A17" s="491"/>
      <c r="B17" s="16">
        <v>8</v>
      </c>
      <c r="C17" s="17">
        <v>2003</v>
      </c>
      <c r="D17" s="18"/>
      <c r="E17" s="12"/>
      <c r="F17" s="19"/>
      <c r="G17" s="20"/>
      <c r="H17" s="19"/>
      <c r="I17" s="21"/>
      <c r="J17" s="22"/>
    </row>
    <row r="18" spans="1:11" ht="18" customHeight="1" x14ac:dyDescent="0.2">
      <c r="A18" s="491"/>
      <c r="B18" s="23">
        <v>9</v>
      </c>
      <c r="C18" s="24">
        <v>2004</v>
      </c>
      <c r="D18" s="25"/>
      <c r="E18" s="26"/>
      <c r="F18" s="27"/>
      <c r="G18" s="26"/>
      <c r="H18" s="27"/>
      <c r="I18" s="28"/>
      <c r="J18" s="29"/>
    </row>
    <row r="19" spans="1:11" ht="18" customHeight="1" x14ac:dyDescent="0.2">
      <c r="A19" s="491"/>
      <c r="B19" s="16">
        <v>10</v>
      </c>
      <c r="C19" s="17">
        <v>2005</v>
      </c>
      <c r="D19" s="18"/>
      <c r="E19" s="40"/>
      <c r="F19" s="41"/>
      <c r="G19" s="26"/>
      <c r="H19" s="19"/>
      <c r="I19" s="21"/>
      <c r="J19" s="22"/>
    </row>
    <row r="20" spans="1:11" ht="18" customHeight="1" x14ac:dyDescent="0.2">
      <c r="A20" s="491"/>
      <c r="B20" s="35">
        <v>11</v>
      </c>
      <c r="C20" s="17">
        <v>2006</v>
      </c>
      <c r="D20" s="18"/>
      <c r="E20" s="40"/>
      <c r="F20" s="41"/>
      <c r="G20" s="20"/>
      <c r="H20" s="19"/>
      <c r="I20" s="21"/>
      <c r="J20" s="36"/>
    </row>
    <row r="21" spans="1:11" ht="18" customHeight="1" x14ac:dyDescent="0.2">
      <c r="A21" s="491"/>
      <c r="B21" s="33">
        <v>12</v>
      </c>
      <c r="C21" s="52">
        <v>2007</v>
      </c>
      <c r="D21" s="25"/>
      <c r="E21" s="42"/>
      <c r="F21" s="43"/>
      <c r="G21" s="26"/>
      <c r="H21" s="27"/>
      <c r="I21" s="28"/>
      <c r="J21" s="34"/>
    </row>
    <row r="22" spans="1:11" ht="18" customHeight="1" x14ac:dyDescent="0.2">
      <c r="A22" s="491"/>
      <c r="B22" s="35">
        <v>13</v>
      </c>
      <c r="C22" s="59">
        <v>2008</v>
      </c>
      <c r="D22" s="18"/>
      <c r="E22" s="40"/>
      <c r="F22" s="41"/>
      <c r="G22" s="20"/>
      <c r="H22" s="19"/>
      <c r="I22" s="21"/>
      <c r="J22" s="36"/>
    </row>
    <row r="23" spans="1:11" ht="18" customHeight="1" x14ac:dyDescent="0.2">
      <c r="A23" s="491"/>
      <c r="B23" s="16">
        <v>14</v>
      </c>
      <c r="C23" s="59">
        <v>2009</v>
      </c>
      <c r="D23" s="18"/>
      <c r="E23" s="40"/>
      <c r="F23" s="41"/>
      <c r="G23" s="20"/>
      <c r="H23" s="19"/>
      <c r="I23" s="21"/>
      <c r="J23" s="22"/>
      <c r="K23" s="48"/>
    </row>
    <row r="24" spans="1:11" ht="18" customHeight="1" x14ac:dyDescent="0.2">
      <c r="A24" s="491"/>
      <c r="B24" s="35">
        <v>15</v>
      </c>
      <c r="C24" s="17">
        <v>2010</v>
      </c>
      <c r="D24" s="18"/>
      <c r="E24" s="40"/>
      <c r="F24" s="41"/>
      <c r="G24" s="20"/>
      <c r="H24" s="19"/>
      <c r="I24" s="21"/>
      <c r="J24" s="36"/>
      <c r="K24" s="48"/>
    </row>
    <row r="25" spans="1:11" ht="18" customHeight="1" x14ac:dyDescent="0.2">
      <c r="A25" s="491"/>
      <c r="B25" s="38">
        <v>16</v>
      </c>
      <c r="C25" s="92">
        <v>2011</v>
      </c>
      <c r="D25" s="93"/>
      <c r="E25" s="97"/>
      <c r="F25" s="98"/>
      <c r="G25" s="94"/>
      <c r="H25" s="95"/>
      <c r="I25" s="96"/>
      <c r="J25" s="39"/>
      <c r="K25" s="48"/>
    </row>
    <row r="26" spans="1:11" ht="18" customHeight="1" thickBot="1" x14ac:dyDescent="0.25">
      <c r="A26" s="491"/>
      <c r="B26" s="141">
        <v>17</v>
      </c>
      <c r="C26" s="142">
        <v>2012</v>
      </c>
      <c r="D26" s="143"/>
      <c r="E26" s="150"/>
      <c r="F26" s="151"/>
      <c r="G26" s="144"/>
      <c r="H26" s="145"/>
      <c r="I26" s="146"/>
      <c r="J26" s="147"/>
      <c r="K26" s="48"/>
    </row>
    <row r="27" spans="1:11" ht="30" customHeight="1" x14ac:dyDescent="0.2">
      <c r="A27" s="137"/>
      <c r="B27" s="152">
        <v>18</v>
      </c>
      <c r="C27" s="153">
        <v>2013</v>
      </c>
      <c r="D27" s="154"/>
      <c r="E27" s="158"/>
      <c r="F27" s="159"/>
      <c r="G27" s="128"/>
      <c r="H27" s="155"/>
      <c r="I27" s="156"/>
      <c r="J27" s="157"/>
      <c r="K27" s="48"/>
    </row>
    <row r="28" spans="1:11" ht="30" customHeight="1" x14ac:dyDescent="0.2">
      <c r="A28" s="137"/>
      <c r="B28" s="16">
        <v>19</v>
      </c>
      <c r="C28" s="59">
        <v>2014</v>
      </c>
      <c r="D28" s="264">
        <v>1</v>
      </c>
      <c r="E28" s="40"/>
      <c r="F28" s="41"/>
      <c r="G28" s="20">
        <f>H28/D28</f>
        <v>293200</v>
      </c>
      <c r="H28" s="19">
        <f>'OHCA_C-Report_2014-16'!M23</f>
        <v>293200</v>
      </c>
      <c r="I28" s="21">
        <f>F28-H28</f>
        <v>-293200</v>
      </c>
      <c r="J28" s="22">
        <f>('May17-Exh12-College_All_2013'!J27*IOK_ESI_IP!$AQ$15)+I28</f>
        <v>-2312592.7442061328</v>
      </c>
      <c r="K28" s="48"/>
    </row>
    <row r="29" spans="1:11" ht="30" customHeight="1" thickBot="1" x14ac:dyDescent="0.25">
      <c r="A29" s="138"/>
      <c r="B29" s="134">
        <v>20</v>
      </c>
      <c r="C29" s="139">
        <v>2015</v>
      </c>
      <c r="D29" s="278">
        <f>'OHCA_C-Report_2014-16'!X$22</f>
        <v>2126</v>
      </c>
      <c r="E29" s="97"/>
      <c r="F29" s="98"/>
      <c r="G29" s="94">
        <f>H29/D29</f>
        <v>180.09266227657574</v>
      </c>
      <c r="H29" s="95">
        <f>'OHCA_C-Report_2014-16'!Y$23</f>
        <v>382877</v>
      </c>
      <c r="I29" s="96">
        <f>F29-H29</f>
        <v>-382877</v>
      </c>
      <c r="J29" s="101">
        <f>J28+I29</f>
        <v>-2695469.7442061328</v>
      </c>
      <c r="K29" s="48"/>
    </row>
    <row r="30" spans="1:11" ht="30" customHeight="1" x14ac:dyDescent="0.2">
      <c r="A30" s="500" t="s">
        <v>34</v>
      </c>
      <c r="B30" s="61">
        <v>21</v>
      </c>
      <c r="C30" s="62">
        <v>2016</v>
      </c>
      <c r="D30" s="263">
        <f>'OHCA_C-Report_2014-16'!AJ$22</f>
        <v>2303</v>
      </c>
      <c r="E30" s="168"/>
      <c r="F30" s="169"/>
      <c r="G30" s="64">
        <f>H30/D30</f>
        <v>180.93313069908814</v>
      </c>
      <c r="H30" s="65">
        <f>'OHCA_C-Report_2014-16'!AK$23</f>
        <v>416689</v>
      </c>
      <c r="I30" s="66">
        <f>F30-H30</f>
        <v>-416689</v>
      </c>
      <c r="J30" s="67">
        <f>J29+I30</f>
        <v>-3112158.7442061328</v>
      </c>
      <c r="K30" s="48"/>
    </row>
    <row r="31" spans="1:11" ht="30" customHeight="1" x14ac:dyDescent="0.2">
      <c r="A31" s="501"/>
      <c r="B31" s="72">
        <v>22</v>
      </c>
      <c r="C31" s="10" t="s">
        <v>49</v>
      </c>
      <c r="D31" s="264">
        <f>D30*(1+IOK_ESI_IP!$AN$15)</f>
        <v>2367.1626952933971</v>
      </c>
      <c r="E31" s="184"/>
      <c r="F31" s="184"/>
      <c r="G31" s="255">
        <f>G30*'May17-Exh1&amp;2-Trends'!$D$33</f>
        <v>188.89418844984803</v>
      </c>
      <c r="H31" s="13">
        <f>G31*D31</f>
        <v>447143.27625620115</v>
      </c>
      <c r="I31" s="13">
        <f>F31-H31</f>
        <v>-447143.27625620115</v>
      </c>
      <c r="J31" s="78">
        <f>J30+I31</f>
        <v>-3559302.0204623342</v>
      </c>
    </row>
    <row r="32" spans="1:11" ht="30" customHeight="1" thickBot="1" x14ac:dyDescent="0.25">
      <c r="A32" s="502"/>
      <c r="B32" s="68">
        <v>23</v>
      </c>
      <c r="C32" s="70" t="s">
        <v>50</v>
      </c>
      <c r="D32" s="265">
        <f>D31*(1+IOK_ESI_IP!$AN$15)</f>
        <v>2433.1129943502824</v>
      </c>
      <c r="E32" s="185"/>
      <c r="F32" s="185"/>
      <c r="G32" s="71">
        <f>G31*'May17-Exh1&amp;2-Trends'!$D$33</f>
        <v>197.20553274164135</v>
      </c>
      <c r="H32" s="76">
        <f>G32*D32</f>
        <v>479823.34427145764</v>
      </c>
      <c r="I32" s="76">
        <f>F32-H32</f>
        <v>-479823.34427145764</v>
      </c>
      <c r="J32" s="77">
        <f>J31+I32</f>
        <v>-4039125.3647337919</v>
      </c>
    </row>
    <row r="33" spans="4:8" ht="17.100000000000001" customHeight="1" x14ac:dyDescent="0.2">
      <c r="D33" s="450"/>
      <c r="E33" s="48"/>
      <c r="F33" s="48"/>
      <c r="G33" s="450"/>
      <c r="H33" s="450"/>
    </row>
    <row r="34" spans="4:8" ht="18" customHeight="1" x14ac:dyDescent="0.2">
      <c r="D34" s="450"/>
      <c r="E34" s="48"/>
      <c r="F34" s="48"/>
      <c r="G34" s="450"/>
      <c r="H34" s="450"/>
    </row>
    <row r="35" spans="4:8" ht="18" customHeight="1" x14ac:dyDescent="0.2">
      <c r="D35" s="450"/>
      <c r="E35" s="48"/>
      <c r="F35" s="48"/>
      <c r="G35" s="450"/>
      <c r="H35" s="450"/>
    </row>
    <row r="36" spans="4:8" ht="18" customHeight="1" x14ac:dyDescent="0.2">
      <c r="D36" s="450"/>
      <c r="E36" s="48"/>
      <c r="F36" s="48"/>
      <c r="G36" s="450"/>
      <c r="H36" s="450"/>
    </row>
    <row r="37" spans="4:8" ht="18" customHeight="1" x14ac:dyDescent="0.2">
      <c r="D37" s="450"/>
      <c r="E37" s="48"/>
      <c r="F37" s="48"/>
      <c r="G37" s="450"/>
      <c r="H37" s="450"/>
    </row>
    <row r="38" spans="4:8" x14ac:dyDescent="0.2">
      <c r="D38" s="48"/>
      <c r="E38" s="48"/>
      <c r="F38" s="48"/>
      <c r="G38" s="48"/>
      <c r="H38" s="48"/>
    </row>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41"/>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59</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1" ht="18" customHeight="1" x14ac:dyDescent="0.2">
      <c r="A17" s="491"/>
      <c r="B17" s="16">
        <v>8</v>
      </c>
      <c r="C17" s="17">
        <v>2003</v>
      </c>
      <c r="D17" s="18"/>
      <c r="E17" s="12"/>
      <c r="F17" s="19"/>
      <c r="G17" s="20"/>
      <c r="H17" s="19"/>
      <c r="I17" s="21"/>
      <c r="J17" s="22"/>
    </row>
    <row r="18" spans="1:11" ht="18" customHeight="1" x14ac:dyDescent="0.2">
      <c r="A18" s="491"/>
      <c r="B18" s="23">
        <v>9</v>
      </c>
      <c r="C18" s="24">
        <v>2004</v>
      </c>
      <c r="D18" s="25"/>
      <c r="E18" s="26"/>
      <c r="F18" s="27"/>
      <c r="G18" s="26"/>
      <c r="H18" s="27"/>
      <c r="I18" s="28"/>
      <c r="J18" s="29"/>
    </row>
    <row r="19" spans="1:11" ht="18" customHeight="1" x14ac:dyDescent="0.2">
      <c r="A19" s="491"/>
      <c r="B19" s="16">
        <v>10</v>
      </c>
      <c r="C19" s="17">
        <v>2005</v>
      </c>
      <c r="D19" s="18"/>
      <c r="E19" s="40"/>
      <c r="F19" s="41"/>
      <c r="G19" s="26"/>
      <c r="H19" s="19"/>
      <c r="I19" s="21"/>
      <c r="J19" s="22"/>
    </row>
    <row r="20" spans="1:11" ht="18" customHeight="1" x14ac:dyDescent="0.2">
      <c r="A20" s="491"/>
      <c r="B20" s="35">
        <v>11</v>
      </c>
      <c r="C20" s="17">
        <v>2006</v>
      </c>
      <c r="D20" s="18"/>
      <c r="E20" s="40"/>
      <c r="F20" s="41"/>
      <c r="G20" s="20"/>
      <c r="H20" s="19"/>
      <c r="I20" s="21"/>
      <c r="J20" s="36"/>
    </row>
    <row r="21" spans="1:11" ht="18" customHeight="1" x14ac:dyDescent="0.2">
      <c r="A21" s="491"/>
      <c r="B21" s="33">
        <v>12</v>
      </c>
      <c r="C21" s="52">
        <v>2007</v>
      </c>
      <c r="D21" s="25"/>
      <c r="E21" s="42"/>
      <c r="F21" s="43"/>
      <c r="G21" s="26"/>
      <c r="H21" s="27"/>
      <c r="I21" s="28"/>
      <c r="J21" s="34"/>
    </row>
    <row r="22" spans="1:11" ht="18" customHeight="1" x14ac:dyDescent="0.2">
      <c r="A22" s="491"/>
      <c r="B22" s="35">
        <v>13</v>
      </c>
      <c r="C22" s="59">
        <v>2008</v>
      </c>
      <c r="D22" s="18"/>
      <c r="E22" s="40"/>
      <c r="F22" s="41"/>
      <c r="G22" s="20"/>
      <c r="H22" s="19"/>
      <c r="I22" s="21"/>
      <c r="J22" s="36"/>
    </row>
    <row r="23" spans="1:11" ht="18" customHeight="1" x14ac:dyDescent="0.2">
      <c r="A23" s="491"/>
      <c r="B23" s="16">
        <v>14</v>
      </c>
      <c r="C23" s="59">
        <v>2009</v>
      </c>
      <c r="D23" s="18"/>
      <c r="E23" s="40"/>
      <c r="F23" s="41"/>
      <c r="G23" s="20"/>
      <c r="H23" s="19"/>
      <c r="I23" s="21"/>
      <c r="J23" s="22"/>
      <c r="K23" s="48"/>
    </row>
    <row r="24" spans="1:11" ht="18" customHeight="1" x14ac:dyDescent="0.2">
      <c r="A24" s="491"/>
      <c r="B24" s="35">
        <v>15</v>
      </c>
      <c r="C24" s="17">
        <v>2010</v>
      </c>
      <c r="D24" s="18"/>
      <c r="E24" s="40"/>
      <c r="F24" s="41"/>
      <c r="G24" s="20"/>
      <c r="H24" s="19"/>
      <c r="I24" s="21"/>
      <c r="J24" s="36"/>
      <c r="K24" s="48"/>
    </row>
    <row r="25" spans="1:11" ht="18" customHeight="1" x14ac:dyDescent="0.2">
      <c r="A25" s="491"/>
      <c r="B25" s="38">
        <v>16</v>
      </c>
      <c r="C25" s="92">
        <v>2011</v>
      </c>
      <c r="D25" s="93"/>
      <c r="E25" s="97"/>
      <c r="F25" s="98"/>
      <c r="G25" s="94"/>
      <c r="H25" s="95"/>
      <c r="I25" s="96"/>
      <c r="J25" s="39"/>
      <c r="K25" s="48"/>
    </row>
    <row r="26" spans="1:11" ht="18" customHeight="1" thickBot="1" x14ac:dyDescent="0.25">
      <c r="A26" s="491"/>
      <c r="B26" s="141">
        <v>17</v>
      </c>
      <c r="C26" s="142">
        <v>2012</v>
      </c>
      <c r="D26" s="143"/>
      <c r="E26" s="150"/>
      <c r="F26" s="151"/>
      <c r="G26" s="144"/>
      <c r="H26" s="145"/>
      <c r="I26" s="146"/>
      <c r="J26" s="147"/>
      <c r="K26" s="48"/>
    </row>
    <row r="27" spans="1:11" ht="30" customHeight="1" x14ac:dyDescent="0.2">
      <c r="A27" s="137"/>
      <c r="B27" s="152">
        <v>18</v>
      </c>
      <c r="C27" s="153">
        <v>2013</v>
      </c>
      <c r="D27" s="154"/>
      <c r="E27" s="158"/>
      <c r="F27" s="159"/>
      <c r="G27" s="128"/>
      <c r="H27" s="155"/>
      <c r="I27" s="156"/>
      <c r="J27" s="157"/>
      <c r="K27" s="48"/>
    </row>
    <row r="28" spans="1:11" ht="30" customHeight="1" x14ac:dyDescent="0.2">
      <c r="A28" s="137"/>
      <c r="B28" s="16">
        <v>19</v>
      </c>
      <c r="C28" s="59">
        <v>2014</v>
      </c>
      <c r="D28" s="18"/>
      <c r="E28" s="40"/>
      <c r="F28" s="41"/>
      <c r="G28" s="20"/>
      <c r="H28" s="19"/>
      <c r="I28" s="21"/>
      <c r="J28" s="22"/>
      <c r="K28" s="48"/>
    </row>
    <row r="29" spans="1:11" ht="30" customHeight="1" thickBot="1" x14ac:dyDescent="0.25">
      <c r="A29" s="138"/>
      <c r="B29" s="134">
        <v>20</v>
      </c>
      <c r="C29" s="139">
        <v>2015</v>
      </c>
      <c r="D29" s="93"/>
      <c r="E29" s="97"/>
      <c r="F29" s="98"/>
      <c r="G29" s="94"/>
      <c r="H29" s="95"/>
      <c r="I29" s="96"/>
      <c r="J29" s="101"/>
      <c r="K29" s="48"/>
    </row>
    <row r="30" spans="1:11" ht="30" customHeight="1" x14ac:dyDescent="0.2">
      <c r="A30" s="500" t="s">
        <v>34</v>
      </c>
      <c r="B30" s="61">
        <v>21</v>
      </c>
      <c r="C30" s="62">
        <v>2016</v>
      </c>
      <c r="D30" s="167"/>
      <c r="E30" s="168"/>
      <c r="F30" s="169"/>
      <c r="G30" s="168"/>
      <c r="H30" s="169"/>
      <c r="I30" s="170"/>
      <c r="J30" s="171"/>
      <c r="K30" s="48"/>
    </row>
    <row r="31" spans="1:11" ht="30" customHeight="1" x14ac:dyDescent="0.2">
      <c r="A31" s="501"/>
      <c r="B31" s="72">
        <v>22</v>
      </c>
      <c r="C31" s="10" t="s">
        <v>49</v>
      </c>
      <c r="D31" s="180"/>
      <c r="E31" s="184"/>
      <c r="F31" s="184"/>
      <c r="G31" s="178"/>
      <c r="H31" s="172"/>
      <c r="I31" s="172"/>
      <c r="J31" s="179"/>
    </row>
    <row r="32" spans="1:11" ht="30" customHeight="1" thickBot="1" x14ac:dyDescent="0.25">
      <c r="A32" s="502"/>
      <c r="B32" s="68">
        <v>23</v>
      </c>
      <c r="C32" s="70" t="s">
        <v>50</v>
      </c>
      <c r="D32" s="181"/>
      <c r="E32" s="185"/>
      <c r="F32" s="185"/>
      <c r="G32" s="174"/>
      <c r="H32" s="175"/>
      <c r="I32" s="175"/>
      <c r="J32" s="176"/>
    </row>
    <row r="33" spans="4:4" ht="3.95" customHeight="1" x14ac:dyDescent="0.2"/>
    <row r="35" spans="4:4" ht="17.100000000000001" customHeight="1" x14ac:dyDescent="0.2">
      <c r="D35" s="81" t="s">
        <v>9</v>
      </c>
    </row>
    <row r="36" spans="4:4" ht="17.100000000000001" customHeight="1" x14ac:dyDescent="0.2"/>
    <row r="37" spans="4:4" ht="17.100000000000001" customHeight="1" x14ac:dyDescent="0.2"/>
    <row r="38" spans="4:4" ht="18" customHeight="1" x14ac:dyDescent="0.2"/>
    <row r="39" spans="4:4" ht="18" customHeight="1" x14ac:dyDescent="0.2"/>
    <row r="40" spans="4:4" ht="18" customHeight="1" x14ac:dyDescent="0.2"/>
    <row r="41" spans="4:4" ht="18" customHeight="1" x14ac:dyDescent="0.2"/>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41"/>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60</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1" ht="18" customHeight="1" x14ac:dyDescent="0.2">
      <c r="A17" s="491"/>
      <c r="B17" s="16">
        <v>8</v>
      </c>
      <c r="C17" s="17">
        <v>2003</v>
      </c>
      <c r="D17" s="18"/>
      <c r="E17" s="12"/>
      <c r="F17" s="19"/>
      <c r="G17" s="20"/>
      <c r="H17" s="19"/>
      <c r="I17" s="21"/>
      <c r="J17" s="22"/>
    </row>
    <row r="18" spans="1:11" ht="18" customHeight="1" x14ac:dyDescent="0.2">
      <c r="A18" s="491"/>
      <c r="B18" s="23">
        <v>9</v>
      </c>
      <c r="C18" s="24">
        <v>2004</v>
      </c>
      <c r="D18" s="25"/>
      <c r="E18" s="26"/>
      <c r="F18" s="27"/>
      <c r="G18" s="26"/>
      <c r="H18" s="27"/>
      <c r="I18" s="28"/>
      <c r="J18" s="29"/>
    </row>
    <row r="19" spans="1:11" ht="18" customHeight="1" x14ac:dyDescent="0.2">
      <c r="A19" s="491"/>
      <c r="B19" s="16">
        <v>10</v>
      </c>
      <c r="C19" s="17">
        <v>2005</v>
      </c>
      <c r="D19" s="18"/>
      <c r="E19" s="40"/>
      <c r="F19" s="41"/>
      <c r="G19" s="26"/>
      <c r="H19" s="19"/>
      <c r="I19" s="21"/>
      <c r="J19" s="22"/>
    </row>
    <row r="20" spans="1:11" ht="18" customHeight="1" x14ac:dyDescent="0.2">
      <c r="A20" s="491"/>
      <c r="B20" s="35">
        <v>11</v>
      </c>
      <c r="C20" s="17">
        <v>2006</v>
      </c>
      <c r="D20" s="18"/>
      <c r="E20" s="40"/>
      <c r="F20" s="41"/>
      <c r="G20" s="20"/>
      <c r="H20" s="19"/>
      <c r="I20" s="21"/>
      <c r="J20" s="36"/>
    </row>
    <row r="21" spans="1:11" ht="18" customHeight="1" x14ac:dyDescent="0.2">
      <c r="A21" s="491"/>
      <c r="B21" s="33">
        <v>12</v>
      </c>
      <c r="C21" s="52">
        <v>2007</v>
      </c>
      <c r="D21" s="25"/>
      <c r="E21" s="42"/>
      <c r="F21" s="43"/>
      <c r="G21" s="26"/>
      <c r="H21" s="27"/>
      <c r="I21" s="28"/>
      <c r="J21" s="34"/>
    </row>
    <row r="22" spans="1:11" ht="18" customHeight="1" x14ac:dyDescent="0.2">
      <c r="A22" s="491"/>
      <c r="B22" s="35">
        <v>13</v>
      </c>
      <c r="C22" s="59">
        <v>2008</v>
      </c>
      <c r="D22" s="18"/>
      <c r="E22" s="40"/>
      <c r="F22" s="41"/>
      <c r="G22" s="20"/>
      <c r="H22" s="19"/>
      <c r="I22" s="21"/>
      <c r="J22" s="36"/>
    </row>
    <row r="23" spans="1:11" ht="18" customHeight="1" x14ac:dyDescent="0.2">
      <c r="A23" s="491"/>
      <c r="B23" s="16">
        <v>14</v>
      </c>
      <c r="C23" s="59">
        <v>2009</v>
      </c>
      <c r="D23" s="18"/>
      <c r="E23" s="40"/>
      <c r="F23" s="41"/>
      <c r="G23" s="20"/>
      <c r="H23" s="19"/>
      <c r="I23" s="21"/>
      <c r="J23" s="22"/>
      <c r="K23" s="48"/>
    </row>
    <row r="24" spans="1:11" ht="18" customHeight="1" x14ac:dyDescent="0.2">
      <c r="A24" s="491"/>
      <c r="B24" s="35">
        <v>15</v>
      </c>
      <c r="C24" s="17">
        <v>2010</v>
      </c>
      <c r="D24" s="18"/>
      <c r="E24" s="40"/>
      <c r="F24" s="41"/>
      <c r="G24" s="20"/>
      <c r="H24" s="19"/>
      <c r="I24" s="21"/>
      <c r="J24" s="36"/>
      <c r="K24" s="48"/>
    </row>
    <row r="25" spans="1:11" ht="18" customHeight="1" x14ac:dyDescent="0.2">
      <c r="A25" s="491"/>
      <c r="B25" s="38">
        <v>16</v>
      </c>
      <c r="C25" s="92">
        <v>2011</v>
      </c>
      <c r="D25" s="93"/>
      <c r="E25" s="97"/>
      <c r="F25" s="98"/>
      <c r="G25" s="94"/>
      <c r="H25" s="95"/>
      <c r="I25" s="96"/>
      <c r="J25" s="39"/>
      <c r="K25" s="48"/>
    </row>
    <row r="26" spans="1:11" ht="18" customHeight="1" thickBot="1" x14ac:dyDescent="0.25">
      <c r="A26" s="491"/>
      <c r="B26" s="141">
        <v>17</v>
      </c>
      <c r="C26" s="142">
        <v>2012</v>
      </c>
      <c r="D26" s="143"/>
      <c r="E26" s="150"/>
      <c r="F26" s="151"/>
      <c r="G26" s="144"/>
      <c r="H26" s="145"/>
      <c r="I26" s="146"/>
      <c r="J26" s="147"/>
      <c r="K26" s="48"/>
    </row>
    <row r="27" spans="1:11" ht="30" customHeight="1" x14ac:dyDescent="0.2">
      <c r="A27" s="137"/>
      <c r="B27" s="152">
        <v>18</v>
      </c>
      <c r="C27" s="153">
        <v>2013</v>
      </c>
      <c r="D27" s="154"/>
      <c r="E27" s="158"/>
      <c r="F27" s="159"/>
      <c r="G27" s="128"/>
      <c r="H27" s="155"/>
      <c r="I27" s="156"/>
      <c r="J27" s="157"/>
      <c r="K27" s="48"/>
    </row>
    <row r="28" spans="1:11" ht="30" customHeight="1" x14ac:dyDescent="0.2">
      <c r="A28" s="137"/>
      <c r="B28" s="16">
        <v>19</v>
      </c>
      <c r="C28" s="59">
        <v>2014</v>
      </c>
      <c r="D28" s="18"/>
      <c r="E28" s="40"/>
      <c r="F28" s="41"/>
      <c r="G28" s="20"/>
      <c r="H28" s="19"/>
      <c r="I28" s="21"/>
      <c r="J28" s="22"/>
      <c r="K28" s="48"/>
    </row>
    <row r="29" spans="1:11" ht="30" customHeight="1" thickBot="1" x14ac:dyDescent="0.25">
      <c r="A29" s="138"/>
      <c r="B29" s="134">
        <v>20</v>
      </c>
      <c r="C29" s="139">
        <v>2015</v>
      </c>
      <c r="D29" s="93"/>
      <c r="E29" s="97"/>
      <c r="F29" s="98"/>
      <c r="G29" s="94"/>
      <c r="H29" s="95"/>
      <c r="I29" s="96"/>
      <c r="J29" s="101"/>
      <c r="K29" s="48"/>
    </row>
    <row r="30" spans="1:11" ht="30" customHeight="1" x14ac:dyDescent="0.2">
      <c r="A30" s="500" t="s">
        <v>34</v>
      </c>
      <c r="B30" s="61">
        <v>21</v>
      </c>
      <c r="C30" s="62">
        <v>2016</v>
      </c>
      <c r="D30" s="167"/>
      <c r="E30" s="168"/>
      <c r="F30" s="169"/>
      <c r="G30" s="168"/>
      <c r="H30" s="169"/>
      <c r="I30" s="170"/>
      <c r="J30" s="171"/>
      <c r="K30" s="48"/>
    </row>
    <row r="31" spans="1:11" ht="30" customHeight="1" x14ac:dyDescent="0.2">
      <c r="A31" s="501"/>
      <c r="B31" s="72">
        <v>22</v>
      </c>
      <c r="C31" s="10" t="s">
        <v>49</v>
      </c>
      <c r="D31" s="180"/>
      <c r="E31" s="184"/>
      <c r="F31" s="184"/>
      <c r="G31" s="178"/>
      <c r="H31" s="172"/>
      <c r="I31" s="172"/>
      <c r="J31" s="179"/>
    </row>
    <row r="32" spans="1:11" ht="30" customHeight="1" thickBot="1" x14ac:dyDescent="0.25">
      <c r="A32" s="502"/>
      <c r="B32" s="68">
        <v>23</v>
      </c>
      <c r="C32" s="70" t="s">
        <v>50</v>
      </c>
      <c r="D32" s="181"/>
      <c r="E32" s="185"/>
      <c r="F32" s="185"/>
      <c r="G32" s="174"/>
      <c r="H32" s="175"/>
      <c r="I32" s="175"/>
      <c r="J32" s="176"/>
    </row>
    <row r="33" spans="4:4" ht="3.95" customHeight="1" x14ac:dyDescent="0.2"/>
    <row r="35" spans="4:4" ht="17.100000000000001" customHeight="1" x14ac:dyDescent="0.2">
      <c r="D35" s="81" t="s">
        <v>9</v>
      </c>
    </row>
    <row r="36" spans="4:4" ht="17.100000000000001" customHeight="1" x14ac:dyDescent="0.2"/>
    <row r="37" spans="4:4" ht="17.100000000000001" customHeight="1" x14ac:dyDescent="0.2"/>
    <row r="38" spans="4:4" ht="18" customHeight="1" x14ac:dyDescent="0.2"/>
    <row r="39" spans="4:4" ht="18" customHeight="1" x14ac:dyDescent="0.2"/>
    <row r="40" spans="4:4" ht="18" customHeight="1" x14ac:dyDescent="0.2"/>
    <row r="41" spans="4:4" ht="18" customHeight="1" x14ac:dyDescent="0.2"/>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J43"/>
  <sheetViews>
    <sheetView workbookViewId="0"/>
  </sheetViews>
  <sheetFormatPr defaultRowHeight="12.75" x14ac:dyDescent="0.2"/>
  <cols>
    <col min="3" max="3" width="14" customWidth="1"/>
    <col min="4" max="9" width="14.7109375" customWidth="1"/>
    <col min="10" max="10" width="15.7109375" customWidth="1"/>
    <col min="12" max="14" width="12.7109375" customWidth="1"/>
  </cols>
  <sheetData>
    <row r="2" spans="1:10" ht="18" x14ac:dyDescent="0.25">
      <c r="A2" s="37" t="s">
        <v>0</v>
      </c>
    </row>
    <row r="3" spans="1:10" ht="18.75" x14ac:dyDescent="0.3">
      <c r="A3" s="37" t="s">
        <v>10</v>
      </c>
    </row>
    <row r="4" spans="1:10" ht="18" x14ac:dyDescent="0.25">
      <c r="A4" s="37"/>
    </row>
    <row r="5" spans="1:10" ht="18" x14ac:dyDescent="0.25">
      <c r="A5" s="37" t="s">
        <v>37</v>
      </c>
    </row>
    <row r="7" spans="1:10" ht="13.5" thickBot="1" x14ac:dyDescent="0.25">
      <c r="B7" s="1" t="s">
        <v>9</v>
      </c>
    </row>
    <row r="8" spans="1:10" ht="13.5" thickBot="1" x14ac:dyDescent="0.25">
      <c r="B8" s="206"/>
      <c r="C8" s="207"/>
      <c r="D8" s="207"/>
      <c r="E8" s="488" t="s">
        <v>1</v>
      </c>
      <c r="F8" s="489"/>
      <c r="G8" s="488" t="s">
        <v>2</v>
      </c>
      <c r="H8" s="489"/>
      <c r="I8" s="208"/>
      <c r="J8" s="207"/>
    </row>
    <row r="9" spans="1:10" ht="42" customHeight="1" thickBot="1" x14ac:dyDescent="0.25">
      <c r="B9" s="209" t="s">
        <v>3</v>
      </c>
      <c r="C9" s="210" t="s">
        <v>4</v>
      </c>
      <c r="D9" s="211" t="s">
        <v>38</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0" ht="18" customHeight="1" x14ac:dyDescent="0.2">
      <c r="A17" s="491"/>
      <c r="B17" s="16">
        <v>8</v>
      </c>
      <c r="C17" s="17">
        <v>2003</v>
      </c>
      <c r="D17" s="18"/>
      <c r="E17" s="12"/>
      <c r="F17" s="19"/>
      <c r="G17" s="20"/>
      <c r="H17" s="19"/>
      <c r="I17" s="21"/>
      <c r="J17" s="22"/>
    </row>
    <row r="18" spans="1:10" ht="18" customHeight="1" x14ac:dyDescent="0.2">
      <c r="A18" s="491"/>
      <c r="B18" s="23">
        <v>9</v>
      </c>
      <c r="C18" s="24">
        <v>2004</v>
      </c>
      <c r="D18" s="25"/>
      <c r="E18" s="26"/>
      <c r="F18" s="27"/>
      <c r="G18" s="26"/>
      <c r="H18" s="27"/>
      <c r="I18" s="28"/>
      <c r="J18" s="29"/>
    </row>
    <row r="19" spans="1:10" ht="18" customHeight="1" x14ac:dyDescent="0.2">
      <c r="A19" s="491"/>
      <c r="B19" s="16">
        <v>10</v>
      </c>
      <c r="C19" s="17">
        <v>2005</v>
      </c>
      <c r="D19" s="18"/>
      <c r="E19" s="20"/>
      <c r="F19" s="19"/>
      <c r="G19" s="26"/>
      <c r="H19" s="19"/>
      <c r="I19" s="21"/>
      <c r="J19" s="22"/>
    </row>
    <row r="20" spans="1:10" ht="18" customHeight="1" x14ac:dyDescent="0.2">
      <c r="A20" s="491"/>
      <c r="B20" s="35">
        <v>11</v>
      </c>
      <c r="C20" s="17">
        <v>2006</v>
      </c>
      <c r="D20" s="18"/>
      <c r="E20" s="20"/>
      <c r="F20" s="19"/>
      <c r="G20" s="20"/>
      <c r="H20" s="19"/>
      <c r="I20" s="21"/>
      <c r="J20" s="36"/>
    </row>
    <row r="21" spans="1:10" ht="18" customHeight="1" x14ac:dyDescent="0.2">
      <c r="A21" s="491"/>
      <c r="B21" s="33">
        <v>12</v>
      </c>
      <c r="C21" s="52">
        <v>2007</v>
      </c>
      <c r="D21" s="25"/>
      <c r="E21" s="26"/>
      <c r="F21" s="27"/>
      <c r="G21" s="26"/>
      <c r="H21" s="27"/>
      <c r="I21" s="28"/>
      <c r="J21" s="34"/>
    </row>
    <row r="22" spans="1:10" ht="18" customHeight="1" x14ac:dyDescent="0.2">
      <c r="A22" s="491"/>
      <c r="B22" s="35">
        <v>13</v>
      </c>
      <c r="C22" s="59">
        <v>2008</v>
      </c>
      <c r="D22" s="18"/>
      <c r="E22" s="20"/>
      <c r="F22" s="19"/>
      <c r="G22" s="20"/>
      <c r="H22" s="19"/>
      <c r="I22" s="21"/>
      <c r="J22" s="36"/>
    </row>
    <row r="23" spans="1:10" ht="18" customHeight="1" x14ac:dyDescent="0.2">
      <c r="A23" s="491"/>
      <c r="B23" s="16">
        <v>14</v>
      </c>
      <c r="C23" s="59">
        <v>2009</v>
      </c>
      <c r="D23" s="18" t="s">
        <v>9</v>
      </c>
      <c r="E23" s="20"/>
      <c r="F23" s="19"/>
      <c r="G23" s="20" t="s">
        <v>9</v>
      </c>
      <c r="H23" s="19" t="s">
        <v>9</v>
      </c>
      <c r="I23" s="21" t="s">
        <v>9</v>
      </c>
      <c r="J23" s="22" t="s">
        <v>9</v>
      </c>
    </row>
    <row r="24" spans="1:10" ht="18" customHeight="1" x14ac:dyDescent="0.2">
      <c r="A24" s="491"/>
      <c r="B24" s="35">
        <v>15</v>
      </c>
      <c r="C24" s="17" t="s">
        <v>39</v>
      </c>
      <c r="D24" s="18">
        <v>149104</v>
      </c>
      <c r="E24" s="20"/>
      <c r="F24" s="19"/>
      <c r="G24" s="20">
        <f>H24/D24</f>
        <v>5</v>
      </c>
      <c r="H24" s="19">
        <v>745520</v>
      </c>
      <c r="I24" s="21">
        <f t="shared" ref="I24:I32" si="0">F24-H24</f>
        <v>-745520</v>
      </c>
      <c r="J24" s="36">
        <f>I24</f>
        <v>-745520</v>
      </c>
    </row>
    <row r="25" spans="1:10" ht="18" customHeight="1" x14ac:dyDescent="0.2">
      <c r="A25" s="491"/>
      <c r="B25" s="38">
        <v>16</v>
      </c>
      <c r="C25" s="92">
        <v>2011</v>
      </c>
      <c r="D25" s="93">
        <v>428898</v>
      </c>
      <c r="E25" s="94"/>
      <c r="F25" s="95"/>
      <c r="G25" s="94">
        <f>H25/D25</f>
        <v>5</v>
      </c>
      <c r="H25" s="95">
        <v>2144490</v>
      </c>
      <c r="I25" s="96">
        <f t="shared" si="0"/>
        <v>-2144490</v>
      </c>
      <c r="J25" s="39">
        <f t="shared" ref="J25:J32" si="1">J24+I25</f>
        <v>-2890010</v>
      </c>
    </row>
    <row r="26" spans="1:10" ht="18" customHeight="1" thickBot="1" x14ac:dyDescent="0.25">
      <c r="A26" s="491"/>
      <c r="B26" s="141">
        <v>17</v>
      </c>
      <c r="C26" s="142">
        <v>2012</v>
      </c>
      <c r="D26" s="143">
        <f>H26/5</f>
        <v>542657</v>
      </c>
      <c r="E26" s="144"/>
      <c r="F26" s="145"/>
      <c r="G26" s="144">
        <f>+H26/D26</f>
        <v>5</v>
      </c>
      <c r="H26" s="145">
        <v>2713285</v>
      </c>
      <c r="I26" s="146">
        <f t="shared" si="0"/>
        <v>-2713285</v>
      </c>
      <c r="J26" s="147">
        <f t="shared" si="1"/>
        <v>-5603295</v>
      </c>
    </row>
    <row r="27" spans="1:10" ht="30" customHeight="1" x14ac:dyDescent="0.2">
      <c r="A27" s="137"/>
      <c r="B27" s="152">
        <v>18</v>
      </c>
      <c r="C27" s="153">
        <v>2013</v>
      </c>
      <c r="D27" s="154">
        <f>H27/5</f>
        <v>1010286</v>
      </c>
      <c r="E27" s="128"/>
      <c r="F27" s="155"/>
      <c r="G27" s="128">
        <f>H27/D27</f>
        <v>5</v>
      </c>
      <c r="H27" s="155">
        <v>5051430</v>
      </c>
      <c r="I27" s="156">
        <f t="shared" si="0"/>
        <v>-5051430</v>
      </c>
      <c r="J27" s="157">
        <f t="shared" si="1"/>
        <v>-10654725</v>
      </c>
    </row>
    <row r="28" spans="1:10" ht="30" customHeight="1" x14ac:dyDescent="0.2">
      <c r="A28" s="137"/>
      <c r="B28" s="16">
        <v>19</v>
      </c>
      <c r="C28" s="59">
        <v>2014</v>
      </c>
      <c r="D28" s="18">
        <f>H28/5</f>
        <v>1396342</v>
      </c>
      <c r="E28" s="20"/>
      <c r="F28" s="19"/>
      <c r="G28" s="20">
        <f>H28/D28</f>
        <v>5</v>
      </c>
      <c r="H28" s="19">
        <f>'OHCA_C-Report_2014-16'!M27</f>
        <v>6981710</v>
      </c>
      <c r="I28" s="21">
        <f t="shared" si="0"/>
        <v>-6981710</v>
      </c>
      <c r="J28" s="22">
        <f t="shared" si="1"/>
        <v>-17636435</v>
      </c>
    </row>
    <row r="29" spans="1:10" ht="30" customHeight="1" thickBot="1" x14ac:dyDescent="0.25">
      <c r="A29" s="138"/>
      <c r="B29" s="134">
        <v>20</v>
      </c>
      <c r="C29" s="139">
        <v>2015</v>
      </c>
      <c r="D29" s="93">
        <f t="shared" ref="D29:D30" si="2">H29/5</f>
        <v>1426788</v>
      </c>
      <c r="E29" s="94"/>
      <c r="F29" s="95"/>
      <c r="G29" s="94">
        <v>5</v>
      </c>
      <c r="H29" s="95">
        <f>'OHCA_C-Report_2014-16'!Y$27</f>
        <v>7133940</v>
      </c>
      <c r="I29" s="96">
        <f t="shared" si="0"/>
        <v>-7133940</v>
      </c>
      <c r="J29" s="101">
        <f t="shared" si="1"/>
        <v>-24770375</v>
      </c>
    </row>
    <row r="30" spans="1:10" ht="30" customHeight="1" x14ac:dyDescent="0.2">
      <c r="A30" s="500" t="s">
        <v>34</v>
      </c>
      <c r="B30" s="61">
        <v>21</v>
      </c>
      <c r="C30" s="62">
        <v>2016</v>
      </c>
      <c r="D30" s="63">
        <f t="shared" si="2"/>
        <v>1363486</v>
      </c>
      <c r="E30" s="168"/>
      <c r="F30" s="169"/>
      <c r="G30" s="64">
        <v>5</v>
      </c>
      <c r="H30" s="65">
        <f>'OHCA_C-Report_2014-16'!AK$27</f>
        <v>6817430</v>
      </c>
      <c r="I30" s="66">
        <f t="shared" si="0"/>
        <v>-6817430</v>
      </c>
      <c r="J30" s="67">
        <f t="shared" si="1"/>
        <v>-31587805</v>
      </c>
    </row>
    <row r="31" spans="1:10" ht="30" customHeight="1" x14ac:dyDescent="0.2">
      <c r="A31" s="501"/>
      <c r="B31" s="72">
        <v>22</v>
      </c>
      <c r="C31" s="17" t="s">
        <v>49</v>
      </c>
      <c r="D31" s="18">
        <f>D30*(1+'May17-Exh1&amp;2-Trends'!$K$10)</f>
        <v>1406943.8377687493</v>
      </c>
      <c r="E31" s="182"/>
      <c r="F31" s="182"/>
      <c r="G31" s="106">
        <v>5</v>
      </c>
      <c r="H31" s="19">
        <f>G31*D31</f>
        <v>7034719.1888437467</v>
      </c>
      <c r="I31" s="19">
        <f t="shared" si="0"/>
        <v>-7034719.1888437467</v>
      </c>
      <c r="J31" s="80">
        <f t="shared" si="1"/>
        <v>-38622524.188843749</v>
      </c>
    </row>
    <row r="32" spans="1:10" ht="30" customHeight="1" thickBot="1" x14ac:dyDescent="0.25">
      <c r="A32" s="502"/>
      <c r="B32" s="68">
        <v>23</v>
      </c>
      <c r="C32" s="107" t="s">
        <v>50</v>
      </c>
      <c r="D32" s="30">
        <f>D31*(1+'May17-Exh1&amp;2-Trends'!$K$10)</f>
        <v>1451786.7896226707</v>
      </c>
      <c r="E32" s="183"/>
      <c r="F32" s="183"/>
      <c r="G32" s="31">
        <v>5</v>
      </c>
      <c r="H32" s="32">
        <f>G32*D32</f>
        <v>7258933.9481133539</v>
      </c>
      <c r="I32" s="32">
        <f t="shared" si="0"/>
        <v>-7258933.9481133539</v>
      </c>
      <c r="J32" s="102">
        <f t="shared" si="1"/>
        <v>-45881458.136957102</v>
      </c>
    </row>
    <row r="33" spans="1:10" ht="30" hidden="1" customHeight="1" thickBot="1" x14ac:dyDescent="0.25">
      <c r="A33" s="428"/>
      <c r="B33" s="2"/>
      <c r="C33" s="92"/>
      <c r="D33" s="93"/>
      <c r="E33" s="446"/>
      <c r="F33" s="446"/>
      <c r="G33" s="94"/>
      <c r="H33" s="95"/>
      <c r="I33" s="95"/>
      <c r="J33" s="447"/>
    </row>
    <row r="34" spans="1:10" ht="30" hidden="1" customHeight="1" x14ac:dyDescent="0.2">
      <c r="A34" s="500" t="s">
        <v>34</v>
      </c>
      <c r="B34" s="61">
        <v>24</v>
      </c>
      <c r="C34" s="62" t="s">
        <v>155</v>
      </c>
      <c r="D34" s="263">
        <f>D32*(1+'May17-Exh1&amp;2-Trends'!$K$10)</f>
        <v>1498059.0027427434</v>
      </c>
      <c r="E34" s="267"/>
      <c r="F34" s="268"/>
      <c r="G34" s="269">
        <v>5</v>
      </c>
      <c r="H34" s="270">
        <f t="shared" ref="H34:H36" si="3">G34*D34</f>
        <v>7490295.0137137165</v>
      </c>
      <c r="I34" s="271">
        <f t="shared" ref="I34:I36" si="4">F34-H34</f>
        <v>-7490295.0137137165</v>
      </c>
      <c r="J34" s="272">
        <f>I34+J32</f>
        <v>-53371753.150670819</v>
      </c>
    </row>
    <row r="35" spans="1:10" ht="30" hidden="1" customHeight="1" x14ac:dyDescent="0.2">
      <c r="A35" s="501"/>
      <c r="B35" s="72">
        <v>25</v>
      </c>
      <c r="C35" s="10" t="s">
        <v>156</v>
      </c>
      <c r="D35" s="264">
        <f>D34*(1+'May17-Exh1&amp;2-Trends'!$K$10)</f>
        <v>1545806.031395189</v>
      </c>
      <c r="E35" s="273"/>
      <c r="F35" s="273"/>
      <c r="G35" s="473">
        <v>5</v>
      </c>
      <c r="H35" s="266">
        <f t="shared" si="3"/>
        <v>7729030.1569759455</v>
      </c>
      <c r="I35" s="266">
        <f t="shared" si="4"/>
        <v>-7729030.1569759455</v>
      </c>
      <c r="J35" s="274">
        <f t="shared" ref="J35:J36" si="5">I35+J34</f>
        <v>-61100783.307646766</v>
      </c>
    </row>
    <row r="36" spans="1:10" ht="30" hidden="1" customHeight="1" thickBot="1" x14ac:dyDescent="0.25">
      <c r="A36" s="502"/>
      <c r="B36" s="68">
        <v>26</v>
      </c>
      <c r="C36" s="70" t="s">
        <v>157</v>
      </c>
      <c r="D36" s="265">
        <f>D35*(1+'May17-Exh1&amp;2-Trends'!$K$10)</f>
        <v>1595074.8817789305</v>
      </c>
      <c r="E36" s="275"/>
      <c r="F36" s="275"/>
      <c r="G36" s="256">
        <v>5</v>
      </c>
      <c r="H36" s="276">
        <f t="shared" si="3"/>
        <v>7975374.4088946525</v>
      </c>
      <c r="I36" s="276">
        <f t="shared" si="4"/>
        <v>-7975374.4088946525</v>
      </c>
      <c r="J36" s="277">
        <f t="shared" si="5"/>
        <v>-69076157.716541424</v>
      </c>
    </row>
    <row r="38" spans="1:10" x14ac:dyDescent="0.2">
      <c r="D38" s="450"/>
      <c r="E38" s="48"/>
      <c r="F38" s="48"/>
      <c r="G38" s="450"/>
      <c r="H38" s="450"/>
      <c r="I38" s="48"/>
    </row>
    <row r="39" spans="1:10" x14ac:dyDescent="0.2">
      <c r="D39" s="450"/>
      <c r="E39" s="48"/>
      <c r="F39" s="48"/>
      <c r="G39" s="450"/>
      <c r="H39" s="450"/>
      <c r="I39" s="48"/>
    </row>
    <row r="40" spans="1:10" x14ac:dyDescent="0.2">
      <c r="D40" s="450"/>
      <c r="E40" s="48"/>
      <c r="F40" s="48"/>
      <c r="G40" s="450"/>
      <c r="H40" s="450"/>
      <c r="I40" s="48"/>
    </row>
    <row r="41" spans="1:10" x14ac:dyDescent="0.2">
      <c r="D41" s="450"/>
      <c r="E41" s="48"/>
      <c r="F41" s="48"/>
      <c r="G41" s="450"/>
      <c r="H41" s="450"/>
      <c r="I41" s="48"/>
    </row>
    <row r="42" spans="1:10" x14ac:dyDescent="0.2">
      <c r="D42" s="450"/>
      <c r="E42" s="48"/>
      <c r="F42" s="48"/>
      <c r="G42" s="450"/>
      <c r="H42" s="450"/>
      <c r="I42" s="48"/>
    </row>
    <row r="43" spans="1:10" x14ac:dyDescent="0.2">
      <c r="D43" s="48"/>
      <c r="E43" s="48"/>
      <c r="F43" s="48"/>
      <c r="G43" s="48"/>
      <c r="H43" s="48"/>
      <c r="I43" s="48"/>
    </row>
  </sheetData>
  <mergeCells count="5">
    <mergeCell ref="A30:A32"/>
    <mergeCell ref="G8:H8"/>
    <mergeCell ref="E8:F8"/>
    <mergeCell ref="A10:A26"/>
    <mergeCell ref="A34:A36"/>
  </mergeCells>
  <phoneticPr fontId="4" type="noConversion"/>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P37"/>
  <sheetViews>
    <sheetView workbookViewId="0"/>
  </sheetViews>
  <sheetFormatPr defaultRowHeight="12.75" x14ac:dyDescent="0.2"/>
  <cols>
    <col min="3" max="3" width="14" customWidth="1"/>
    <col min="4" max="12" width="10.7109375" customWidth="1"/>
    <col min="13" max="13" width="12.5703125" customWidth="1"/>
  </cols>
  <sheetData>
    <row r="2" spans="1:16" ht="18" x14ac:dyDescent="0.25">
      <c r="A2" s="37" t="s">
        <v>0</v>
      </c>
    </row>
    <row r="3" spans="1:16" ht="18" x14ac:dyDescent="0.25">
      <c r="A3" s="37"/>
    </row>
    <row r="4" spans="1:16" ht="18" x14ac:dyDescent="0.25">
      <c r="A4" s="37" t="s">
        <v>43</v>
      </c>
    </row>
    <row r="5" spans="1:16" ht="18" x14ac:dyDescent="0.25">
      <c r="A5" s="37"/>
    </row>
    <row r="6" spans="1:16" ht="18" x14ac:dyDescent="0.25">
      <c r="A6" s="37"/>
    </row>
    <row r="7" spans="1:16" ht="22.15" customHeight="1" thickBot="1" x14ac:dyDescent="0.25">
      <c r="B7" s="1" t="s">
        <v>9</v>
      </c>
    </row>
    <row r="8" spans="1:16" ht="18" customHeight="1" thickBot="1" x14ac:dyDescent="0.25">
      <c r="B8" s="206"/>
      <c r="C8" s="207"/>
      <c r="D8" s="488" t="s">
        <v>44</v>
      </c>
      <c r="E8" s="511"/>
      <c r="F8" s="511"/>
      <c r="G8" s="511"/>
      <c r="H8" s="489"/>
      <c r="I8" s="488" t="s">
        <v>45</v>
      </c>
      <c r="J8" s="512"/>
      <c r="K8" s="512"/>
      <c r="L8" s="512"/>
      <c r="M8" s="489"/>
      <c r="N8" s="132" t="s">
        <v>9</v>
      </c>
    </row>
    <row r="9" spans="1:16" ht="42" customHeight="1" thickBot="1" x14ac:dyDescent="0.25">
      <c r="B9" s="209" t="s">
        <v>3</v>
      </c>
      <c r="C9" s="210" t="s">
        <v>4</v>
      </c>
      <c r="D9" s="212" t="s">
        <v>15</v>
      </c>
      <c r="E9" s="213" t="s">
        <v>16</v>
      </c>
      <c r="F9" s="213" t="s">
        <v>17</v>
      </c>
      <c r="G9" s="213" t="s">
        <v>18</v>
      </c>
      <c r="H9" s="214" t="s">
        <v>42</v>
      </c>
      <c r="I9" s="212" t="s">
        <v>15</v>
      </c>
      <c r="J9" s="213" t="s">
        <v>16</v>
      </c>
      <c r="K9" s="213" t="s">
        <v>17</v>
      </c>
      <c r="L9" s="213" t="s">
        <v>18</v>
      </c>
      <c r="M9" s="211" t="s">
        <v>46</v>
      </c>
    </row>
    <row r="10" spans="1:16" ht="18" customHeight="1" x14ac:dyDescent="0.2">
      <c r="A10" s="490" t="s">
        <v>48</v>
      </c>
      <c r="B10" s="2">
        <v>1</v>
      </c>
      <c r="C10" s="3">
        <v>1996</v>
      </c>
      <c r="D10" s="5"/>
      <c r="E10" s="108"/>
      <c r="F10" s="108"/>
      <c r="G10" s="108"/>
      <c r="H10" s="112"/>
      <c r="I10" s="120"/>
      <c r="J10" s="5"/>
      <c r="K10" s="5"/>
      <c r="L10" s="5"/>
      <c r="M10" s="109"/>
      <c r="P10" s="279" t="s">
        <v>9</v>
      </c>
    </row>
    <row r="11" spans="1:16" ht="18" customHeight="1" x14ac:dyDescent="0.2">
      <c r="A11" s="491"/>
      <c r="B11" s="9">
        <v>2</v>
      </c>
      <c r="C11" s="10">
        <v>1997</v>
      </c>
      <c r="D11" s="12"/>
      <c r="E11" s="12"/>
      <c r="F11" s="12"/>
      <c r="G11" s="12"/>
      <c r="H11" s="113"/>
      <c r="I11" s="121"/>
      <c r="J11" s="12"/>
      <c r="K11" s="12"/>
      <c r="L11" s="12"/>
      <c r="M11" s="78"/>
    </row>
    <row r="12" spans="1:16" ht="18" customHeight="1" x14ac:dyDescent="0.2">
      <c r="A12" s="491"/>
      <c r="B12" s="9">
        <v>3</v>
      </c>
      <c r="C12" s="10">
        <v>1998</v>
      </c>
      <c r="D12" s="12"/>
      <c r="E12" s="12"/>
      <c r="F12" s="12"/>
      <c r="G12" s="12"/>
      <c r="H12" s="113"/>
      <c r="I12" s="121"/>
      <c r="J12" s="12"/>
      <c r="K12" s="12"/>
      <c r="L12" s="12"/>
      <c r="M12" s="78"/>
    </row>
    <row r="13" spans="1:16" ht="18" customHeight="1" x14ac:dyDescent="0.2">
      <c r="A13" s="491"/>
      <c r="B13" s="9">
        <v>4</v>
      </c>
      <c r="C13" s="10">
        <v>1999</v>
      </c>
      <c r="D13" s="12"/>
      <c r="E13" s="12"/>
      <c r="F13" s="12"/>
      <c r="G13" s="12"/>
      <c r="H13" s="113"/>
      <c r="I13" s="121"/>
      <c r="J13" s="12"/>
      <c r="K13" s="12"/>
      <c r="L13" s="12"/>
      <c r="M13" s="78"/>
    </row>
    <row r="14" spans="1:16" ht="18" customHeight="1" x14ac:dyDescent="0.2">
      <c r="A14" s="491"/>
      <c r="B14" s="9">
        <v>5</v>
      </c>
      <c r="C14" s="10">
        <v>2000</v>
      </c>
      <c r="D14" s="12"/>
      <c r="E14" s="12"/>
      <c r="F14" s="12"/>
      <c r="G14" s="12"/>
      <c r="H14" s="113"/>
      <c r="I14" s="121"/>
      <c r="J14" s="12"/>
      <c r="K14" s="12"/>
      <c r="L14" s="12"/>
      <c r="M14" s="78"/>
    </row>
    <row r="15" spans="1:16" ht="18" customHeight="1" x14ac:dyDescent="0.2">
      <c r="A15" s="491"/>
      <c r="B15" s="9">
        <v>6</v>
      </c>
      <c r="C15" s="10">
        <v>2001</v>
      </c>
      <c r="D15" s="12"/>
      <c r="E15" s="12"/>
      <c r="F15" s="12"/>
      <c r="G15" s="12"/>
      <c r="H15" s="113"/>
      <c r="I15" s="121"/>
      <c r="J15" s="12"/>
      <c r="K15" s="12"/>
      <c r="L15" s="12"/>
      <c r="M15" s="78"/>
    </row>
    <row r="16" spans="1:16" ht="18" customHeight="1" x14ac:dyDescent="0.2">
      <c r="A16" s="491"/>
      <c r="B16" s="9">
        <v>7</v>
      </c>
      <c r="C16" s="10">
        <v>2002</v>
      </c>
      <c r="D16" s="12"/>
      <c r="E16" s="12"/>
      <c r="F16" s="12"/>
      <c r="G16" s="12"/>
      <c r="H16" s="113"/>
      <c r="I16" s="121"/>
      <c r="J16" s="12"/>
      <c r="K16" s="12"/>
      <c r="L16" s="12"/>
      <c r="M16" s="78"/>
    </row>
    <row r="17" spans="1:13" ht="18" customHeight="1" x14ac:dyDescent="0.2">
      <c r="A17" s="491"/>
      <c r="B17" s="16">
        <v>8</v>
      </c>
      <c r="C17" s="17">
        <v>2003</v>
      </c>
      <c r="D17" s="12"/>
      <c r="E17" s="12"/>
      <c r="F17" s="12"/>
      <c r="G17" s="12"/>
      <c r="H17" s="114"/>
      <c r="I17" s="122"/>
      <c r="J17" s="20"/>
      <c r="K17" s="20"/>
      <c r="L17" s="20"/>
      <c r="M17" s="80"/>
    </row>
    <row r="18" spans="1:13" ht="18" customHeight="1" x14ac:dyDescent="0.2">
      <c r="A18" s="491"/>
      <c r="B18" s="23">
        <v>9</v>
      </c>
      <c r="C18" s="24">
        <v>2004</v>
      </c>
      <c r="D18" s="26"/>
      <c r="E18" s="26"/>
      <c r="F18" s="26"/>
      <c r="G18" s="26"/>
      <c r="H18" s="115"/>
      <c r="I18" s="123"/>
      <c r="J18" s="26"/>
      <c r="K18" s="26"/>
      <c r="L18" s="26"/>
      <c r="M18" s="110"/>
    </row>
    <row r="19" spans="1:13" ht="18" customHeight="1" x14ac:dyDescent="0.2">
      <c r="A19" s="491"/>
      <c r="B19" s="16">
        <v>10</v>
      </c>
      <c r="C19" s="17">
        <v>2005</v>
      </c>
      <c r="D19" s="20"/>
      <c r="E19" s="20"/>
      <c r="F19" s="20"/>
      <c r="G19" s="20"/>
      <c r="H19" s="114"/>
      <c r="I19" s="123"/>
      <c r="J19" s="26"/>
      <c r="K19" s="26"/>
      <c r="L19" s="26"/>
      <c r="M19" s="80"/>
    </row>
    <row r="20" spans="1:13" ht="18" customHeight="1" x14ac:dyDescent="0.2">
      <c r="A20" s="491"/>
      <c r="B20" s="35">
        <v>11</v>
      </c>
      <c r="C20" s="17">
        <v>2006</v>
      </c>
      <c r="D20" s="20"/>
      <c r="E20" s="20"/>
      <c r="F20" s="20"/>
      <c r="G20" s="20"/>
      <c r="H20" s="114"/>
      <c r="I20" s="122"/>
      <c r="J20" s="20"/>
      <c r="K20" s="20"/>
      <c r="L20" s="20"/>
      <c r="M20" s="80"/>
    </row>
    <row r="21" spans="1:13" ht="18" customHeight="1" x14ac:dyDescent="0.2">
      <c r="A21" s="491"/>
      <c r="B21" s="33">
        <v>12</v>
      </c>
      <c r="C21" s="52">
        <v>2007</v>
      </c>
      <c r="D21" s="26"/>
      <c r="E21" s="26"/>
      <c r="F21" s="26"/>
      <c r="G21" s="26"/>
      <c r="H21" s="115"/>
      <c r="I21" s="123"/>
      <c r="J21" s="26"/>
      <c r="K21" s="26"/>
      <c r="L21" s="26"/>
      <c r="M21" s="110"/>
    </row>
    <row r="22" spans="1:13" ht="18" customHeight="1" x14ac:dyDescent="0.2">
      <c r="A22" s="491"/>
      <c r="B22" s="35">
        <v>13</v>
      </c>
      <c r="C22" s="59">
        <v>2008</v>
      </c>
      <c r="D22" s="20"/>
      <c r="E22" s="20"/>
      <c r="F22" s="20"/>
      <c r="G22" s="20"/>
      <c r="H22" s="114"/>
      <c r="I22" s="122"/>
      <c r="J22" s="20"/>
      <c r="K22" s="20"/>
      <c r="L22" s="20"/>
      <c r="M22" s="80"/>
    </row>
    <row r="23" spans="1:13" ht="18" customHeight="1" x14ac:dyDescent="0.2">
      <c r="A23" s="491"/>
      <c r="B23" s="16">
        <v>14</v>
      </c>
      <c r="C23" s="59">
        <v>2009</v>
      </c>
      <c r="D23" s="20"/>
      <c r="E23" s="20"/>
      <c r="F23" s="20"/>
      <c r="G23" s="20"/>
      <c r="H23" s="114"/>
      <c r="I23" s="122" t="s">
        <v>9</v>
      </c>
      <c r="J23" s="20"/>
      <c r="K23" s="20"/>
      <c r="L23" s="20"/>
      <c r="M23" s="80"/>
    </row>
    <row r="24" spans="1:13" ht="18" customHeight="1" x14ac:dyDescent="0.2">
      <c r="A24" s="491"/>
      <c r="B24" s="35">
        <v>15</v>
      </c>
      <c r="C24" s="17">
        <v>2010</v>
      </c>
      <c r="D24" s="20"/>
      <c r="E24" s="20"/>
      <c r="F24" s="20"/>
      <c r="G24" s="20"/>
      <c r="H24" s="114"/>
      <c r="I24" s="122"/>
      <c r="J24" s="20"/>
      <c r="K24" s="20"/>
      <c r="L24" s="20"/>
      <c r="M24" s="80"/>
    </row>
    <row r="25" spans="1:13" ht="18" customHeight="1" x14ac:dyDescent="0.2">
      <c r="A25" s="491"/>
      <c r="B25" s="38">
        <v>16</v>
      </c>
      <c r="C25" s="92">
        <v>2011</v>
      </c>
      <c r="D25" s="94"/>
      <c r="E25" s="94"/>
      <c r="F25" s="94"/>
      <c r="G25" s="94"/>
      <c r="H25" s="116"/>
      <c r="I25" s="124"/>
      <c r="J25" s="94"/>
      <c r="K25" s="94"/>
      <c r="L25" s="26"/>
      <c r="M25" s="110"/>
    </row>
    <row r="26" spans="1:13" ht="18" customHeight="1" thickBot="1" x14ac:dyDescent="0.25">
      <c r="A26" s="491"/>
      <c r="B26" s="141">
        <v>17</v>
      </c>
      <c r="C26" s="142">
        <v>2012</v>
      </c>
      <c r="D26" s="144"/>
      <c r="E26" s="144"/>
      <c r="F26" s="144"/>
      <c r="G26" s="144"/>
      <c r="H26" s="148"/>
      <c r="I26" s="149"/>
      <c r="J26" s="144"/>
      <c r="K26" s="31"/>
      <c r="L26" s="31"/>
      <c r="M26" s="102"/>
    </row>
    <row r="27" spans="1:13" ht="30" customHeight="1" x14ac:dyDescent="0.2">
      <c r="A27" s="137"/>
      <c r="B27" s="152">
        <v>18</v>
      </c>
      <c r="C27" s="153">
        <v>2013</v>
      </c>
      <c r="D27" s="154">
        <f>'May17-Exh3-TANFU'!$D27</f>
        <v>3741817</v>
      </c>
      <c r="E27" s="154">
        <f>'May17-Exh4-TANFR'!$D27</f>
        <v>2618683</v>
      </c>
      <c r="F27" s="154">
        <f>'May17-Exh5-ABDU'!$D27</f>
        <v>360205</v>
      </c>
      <c r="G27" s="154">
        <f>'May17-Exh6-ABDR'!$D27</f>
        <v>290965</v>
      </c>
      <c r="H27" s="193">
        <f t="shared" ref="H27:H32" si="0">SUM(D27:G27)</f>
        <v>7011670</v>
      </c>
      <c r="I27" s="196">
        <f t="shared" ref="I27:L29" si="1">$M27*(D27/$H27)</f>
        <v>3118500.8488114811</v>
      </c>
      <c r="J27" s="155">
        <f t="shared" si="1"/>
        <v>2182459.793802903</v>
      </c>
      <c r="K27" s="155">
        <f t="shared" si="1"/>
        <v>300201.63953665819</v>
      </c>
      <c r="L27" s="155">
        <f t="shared" si="1"/>
        <v>242495.71784895752</v>
      </c>
      <c r="M27" s="165">
        <v>5843658</v>
      </c>
    </row>
    <row r="28" spans="1:13" ht="30" customHeight="1" x14ac:dyDescent="0.2">
      <c r="A28" s="137"/>
      <c r="B28" s="16">
        <v>19</v>
      </c>
      <c r="C28" s="59">
        <v>2014</v>
      </c>
      <c r="D28" s="18">
        <f>'May17-Exh3-TANFU'!$D28</f>
        <v>4001208</v>
      </c>
      <c r="E28" s="18">
        <f>'May17-Exh4-TANFR'!$D28</f>
        <v>2745120</v>
      </c>
      <c r="F28" s="18">
        <f>'May17-Exh5-ABDU'!$D28</f>
        <v>365630</v>
      </c>
      <c r="G28" s="18">
        <f>'May17-Exh6-ABDR'!$D28</f>
        <v>291806</v>
      </c>
      <c r="H28" s="118">
        <f t="shared" si="0"/>
        <v>7403764</v>
      </c>
      <c r="I28" s="197">
        <f t="shared" si="1"/>
        <v>8334149.090123347</v>
      </c>
      <c r="J28" s="19">
        <f t="shared" si="1"/>
        <v>5717833.0519881509</v>
      </c>
      <c r="K28" s="19">
        <f t="shared" si="1"/>
        <v>761573.73768666852</v>
      </c>
      <c r="L28" s="19">
        <f t="shared" si="1"/>
        <v>607805.12020183238</v>
      </c>
      <c r="M28" s="274">
        <f>'OHCA_C-Report_2014-16'!M29</f>
        <v>15421361</v>
      </c>
    </row>
    <row r="29" spans="1:13" ht="30" customHeight="1" thickBot="1" x14ac:dyDescent="0.25">
      <c r="A29" s="138"/>
      <c r="B29" s="134">
        <v>20</v>
      </c>
      <c r="C29" s="139">
        <v>2015</v>
      </c>
      <c r="D29" s="93">
        <f>'May17-Exh3-TANFU'!$D29</f>
        <v>4101736</v>
      </c>
      <c r="E29" s="93">
        <f>'May17-Exh4-TANFR'!$D29</f>
        <v>2807836</v>
      </c>
      <c r="F29" s="93">
        <f>'May17-Exh5-ABDU'!$D29</f>
        <v>362810</v>
      </c>
      <c r="G29" s="93">
        <f>'May17-Exh6-ABDR'!$D29</f>
        <v>287250</v>
      </c>
      <c r="H29" s="194">
        <f t="shared" si="0"/>
        <v>7559632</v>
      </c>
      <c r="I29" s="198">
        <f t="shared" si="1"/>
        <v>3959815.5367943835</v>
      </c>
      <c r="J29" s="95">
        <f t="shared" si="1"/>
        <v>2710684.6022197907</v>
      </c>
      <c r="K29" s="95">
        <f t="shared" si="1"/>
        <v>350256.73883067328</v>
      </c>
      <c r="L29" s="145">
        <f t="shared" si="1"/>
        <v>277311.12215515255</v>
      </c>
      <c r="M29" s="166">
        <f>'OHCA_C-Report_2014-16'!Y29</f>
        <v>7298068</v>
      </c>
    </row>
    <row r="30" spans="1:13" ht="30" customHeight="1" x14ac:dyDescent="0.2">
      <c r="A30" s="500" t="s">
        <v>34</v>
      </c>
      <c r="B30" s="61">
        <v>21</v>
      </c>
      <c r="C30" s="62">
        <v>2016</v>
      </c>
      <c r="D30" s="63">
        <f>'May17-Exh3-TANFU'!$D30</f>
        <v>4023592</v>
      </c>
      <c r="E30" s="63">
        <f>'May17-Exh4-TANFR'!$D30</f>
        <v>2721130</v>
      </c>
      <c r="F30" s="63">
        <f>'May17-Exh5-ABDU'!$D30</f>
        <v>373088</v>
      </c>
      <c r="G30" s="63">
        <f>'May17-Exh6-ABDR'!$D30</f>
        <v>278503</v>
      </c>
      <c r="H30" s="117">
        <f t="shared" si="0"/>
        <v>7396313</v>
      </c>
      <c r="I30" s="125">
        <f>$M30*(D30/$H30)</f>
        <v>5621545.4016843252</v>
      </c>
      <c r="J30" s="65">
        <f t="shared" ref="J30:L32" si="2">$M30*(E30/$H30)</f>
        <v>3801815.849838967</v>
      </c>
      <c r="K30" s="65">
        <f t="shared" si="2"/>
        <v>521258.40065881476</v>
      </c>
      <c r="L30" s="65">
        <f t="shared" si="2"/>
        <v>389109.34781789256</v>
      </c>
      <c r="M30" s="111">
        <f>'OHCA_C-Report_2014-16'!AK29</f>
        <v>10333729</v>
      </c>
    </row>
    <row r="31" spans="1:13" ht="30" customHeight="1" x14ac:dyDescent="0.2">
      <c r="A31" s="501"/>
      <c r="B31" s="72">
        <v>22</v>
      </c>
      <c r="C31" s="17" t="s">
        <v>49</v>
      </c>
      <c r="D31" s="18">
        <f>'May17-Exh3-TANFU'!$D31</f>
        <v>4151834.320334523</v>
      </c>
      <c r="E31" s="18">
        <f>'May17-Exh4-TANFR'!$D31</f>
        <v>2773075.6650501336</v>
      </c>
      <c r="F31" s="18">
        <f>'May17-Exh5-ABDU'!$D31</f>
        <v>381325.74272315425</v>
      </c>
      <c r="G31" s="18">
        <f>'May17-Exh6-ABDR'!$D31</f>
        <v>278571.39207759162</v>
      </c>
      <c r="H31" s="118">
        <f t="shared" si="0"/>
        <v>7584807.1201854013</v>
      </c>
      <c r="I31" s="126">
        <f>$M31*(D31/$H31)</f>
        <v>5826258.7222828474</v>
      </c>
      <c r="J31" s="21">
        <f t="shared" si="2"/>
        <v>3891450.1481713434</v>
      </c>
      <c r="K31" s="21">
        <f t="shared" si="2"/>
        <v>535113.46146219887</v>
      </c>
      <c r="L31" s="21">
        <f t="shared" si="2"/>
        <v>390918.53808361304</v>
      </c>
      <c r="M31" s="80">
        <f>M30*1.03</f>
        <v>10643740.870000001</v>
      </c>
    </row>
    <row r="32" spans="1:13" ht="30" customHeight="1" thickBot="1" x14ac:dyDescent="0.25">
      <c r="A32" s="502"/>
      <c r="B32" s="68">
        <v>23</v>
      </c>
      <c r="C32" s="107" t="s">
        <v>50</v>
      </c>
      <c r="D32" s="30">
        <f>'May17-Exh3-TANFU'!$D32</f>
        <v>4284164.0562730096</v>
      </c>
      <c r="E32" s="30">
        <f>'May17-Exh4-TANFR'!$D32</f>
        <v>2826012.9593563117</v>
      </c>
      <c r="F32" s="30">
        <f>'May17-Exh5-ABDU'!$D32</f>
        <v>389745.37391544413</v>
      </c>
      <c r="G32" s="30">
        <f>'May17-Exh6-ABDR'!$D32</f>
        <v>278639.80095024925</v>
      </c>
      <c r="H32" s="119">
        <f t="shared" si="0"/>
        <v>7778562.1904950151</v>
      </c>
      <c r="I32" s="127">
        <f>$M32*(D32/$H32)</f>
        <v>6038071.9304032745</v>
      </c>
      <c r="J32" s="32">
        <f t="shared" si="2"/>
        <v>3982963.6075350721</v>
      </c>
      <c r="K32" s="32">
        <f t="shared" si="2"/>
        <v>549304.50172597356</v>
      </c>
      <c r="L32" s="32">
        <f t="shared" si="2"/>
        <v>392713.05643568037</v>
      </c>
      <c r="M32" s="102">
        <f>M31*1.03</f>
        <v>10963053.096100001</v>
      </c>
    </row>
    <row r="33" spans="4:13" x14ac:dyDescent="0.2">
      <c r="D33" s="190"/>
      <c r="E33" s="190"/>
      <c r="F33" s="190"/>
      <c r="G33" s="190"/>
      <c r="H33" s="190"/>
      <c r="I33" s="190"/>
      <c r="J33" s="190"/>
      <c r="K33" s="190"/>
      <c r="L33" s="190"/>
      <c r="M33" s="190"/>
    </row>
    <row r="34" spans="4:13" x14ac:dyDescent="0.2">
      <c r="D34" s="190"/>
      <c r="E34" s="190"/>
      <c r="F34" s="190"/>
      <c r="G34" s="190"/>
      <c r="H34" s="190"/>
      <c r="I34" s="190"/>
      <c r="J34" s="190"/>
      <c r="K34" s="190"/>
      <c r="L34" s="190"/>
      <c r="M34" s="190"/>
    </row>
    <row r="35" spans="4:13" x14ac:dyDescent="0.2">
      <c r="D35" s="190"/>
      <c r="E35" s="190"/>
      <c r="F35" s="190"/>
      <c r="G35" s="190"/>
      <c r="H35" s="190"/>
      <c r="I35" s="190"/>
      <c r="J35" s="190"/>
      <c r="K35" s="190"/>
      <c r="L35" s="190"/>
      <c r="M35" s="190"/>
    </row>
    <row r="36" spans="4:13" x14ac:dyDescent="0.2">
      <c r="D36" s="190"/>
      <c r="E36" s="190"/>
      <c r="F36" s="190"/>
      <c r="G36" s="190"/>
      <c r="H36" s="190"/>
      <c r="I36" s="190"/>
      <c r="J36" s="190"/>
      <c r="K36" s="190"/>
      <c r="L36" s="190"/>
      <c r="M36" s="190"/>
    </row>
    <row r="37" spans="4:13" x14ac:dyDescent="0.2">
      <c r="D37" s="190"/>
      <c r="E37" s="190"/>
      <c r="F37" s="190"/>
      <c r="G37" s="190"/>
      <c r="H37" s="190"/>
      <c r="I37" s="190"/>
      <c r="J37" s="190"/>
      <c r="K37" s="190"/>
      <c r="L37" s="190"/>
      <c r="M37" s="190"/>
    </row>
  </sheetData>
  <mergeCells count="4">
    <mergeCell ref="D8:H8"/>
    <mergeCell ref="I8:M8"/>
    <mergeCell ref="A30:A32"/>
    <mergeCell ref="A10:A26"/>
  </mergeCells>
  <pageMargins left="0.41" right="0.25" top="1" bottom="1" header="0.5" footer="0.5"/>
  <pageSetup scale="60" orientation="landscape" r:id="rId1"/>
  <headerFooter alignWithMargins="0">
    <oddFooter xml:space="preserve">&amp;L&amp;8 &amp;C&amp;A </oddFooter>
  </headerFooter>
  <rowBreaks count="1" manualBreakCount="1">
    <brk id="23"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A75C4"/>
    <pageSetUpPr fitToPage="1"/>
  </sheetPr>
  <dimension ref="A2:R69"/>
  <sheetViews>
    <sheetView workbookViewId="0"/>
  </sheetViews>
  <sheetFormatPr defaultRowHeight="12.75" x14ac:dyDescent="0.2"/>
  <cols>
    <col min="3" max="3" width="13.7109375" customWidth="1"/>
    <col min="4" max="9" width="14.7109375" customWidth="1"/>
    <col min="10" max="10" width="15.7109375" customWidth="1"/>
    <col min="11" max="11" width="22.7109375" customWidth="1"/>
    <col min="12" max="12" width="15" customWidth="1"/>
    <col min="13" max="13" width="16" customWidth="1"/>
    <col min="14" max="14" width="13.85546875" customWidth="1"/>
    <col min="15" max="15" width="14.7109375" customWidth="1"/>
    <col min="16" max="18" width="12.7109375" customWidth="1"/>
  </cols>
  <sheetData>
    <row r="2" spans="1:10" ht="18" x14ac:dyDescent="0.25">
      <c r="A2" s="37" t="s">
        <v>0</v>
      </c>
    </row>
    <row r="3" spans="1:10" ht="18.75" x14ac:dyDescent="0.3">
      <c r="A3" s="37" t="s">
        <v>10</v>
      </c>
    </row>
    <row r="4" spans="1:10" ht="18" x14ac:dyDescent="0.25">
      <c r="A4" s="37"/>
    </row>
    <row r="5" spans="1:10" ht="18" x14ac:dyDescent="0.25">
      <c r="A5" s="37" t="s">
        <v>61</v>
      </c>
    </row>
    <row r="7" spans="1:10" ht="33" customHeight="1" thickBot="1" x14ac:dyDescent="0.25">
      <c r="B7" s="1" t="s">
        <v>9</v>
      </c>
    </row>
    <row r="8" spans="1:10" ht="13.5" thickBot="1" x14ac:dyDescent="0.25">
      <c r="B8" s="206"/>
      <c r="C8" s="207"/>
      <c r="D8" s="207"/>
      <c r="E8" s="488" t="s">
        <v>1</v>
      </c>
      <c r="F8" s="489"/>
      <c r="G8" s="488" t="s">
        <v>2</v>
      </c>
      <c r="H8" s="489"/>
      <c r="I8" s="208"/>
      <c r="J8" s="207"/>
    </row>
    <row r="9" spans="1:10" ht="34.5"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f>'May17-Exh3-TANFU'!D10+'May17-Exh4-TANFR'!D10+'May17-Exh5-ABDU'!D10+'May17-Exh6-ABDR'!D10</f>
        <v>2337532</v>
      </c>
      <c r="E10" s="5">
        <f>F10/D10</f>
        <v>122.41058027868708</v>
      </c>
      <c r="F10" s="6">
        <f>'May17-Exh3-TANFU'!F10+'May17-Exh4-TANFR'!F10+'May17-Exh5-ABDU'!F10+'May17-Exh6-ABDR'!F10</f>
        <v>286138648.53999996</v>
      </c>
      <c r="G10" s="5">
        <f>H10/D10</f>
        <v>170.69260356649664</v>
      </c>
      <c r="H10" s="56">
        <v>398999423</v>
      </c>
      <c r="I10" s="7">
        <f t="shared" ref="I10:I26" si="0">F10-H10</f>
        <v>-112860774.46000004</v>
      </c>
      <c r="J10" s="8">
        <f>I10</f>
        <v>-112860774.46000004</v>
      </c>
    </row>
    <row r="11" spans="1:10" ht="18" customHeight="1" x14ac:dyDescent="0.2">
      <c r="A11" s="499"/>
      <c r="B11" s="9">
        <v>2</v>
      </c>
      <c r="C11" s="10">
        <v>1997</v>
      </c>
      <c r="D11" s="11">
        <f>'May17-Exh3-TANFU'!D11+'May17-Exh4-TANFR'!D11+'May17-Exh5-ABDU'!D11+'May17-Exh6-ABDR'!D11</f>
        <v>2282744</v>
      </c>
      <c r="E11" s="12">
        <f t="shared" ref="E11:E32" si="1">F11/D11</f>
        <v>130.39395048743265</v>
      </c>
      <c r="F11" s="13">
        <f>'May17-Exh3-TANFU'!F11+'May17-Exh4-TANFR'!F11+'May17-Exh5-ABDU'!F11+'May17-Exh6-ABDR'!F11</f>
        <v>297656008.11148393</v>
      </c>
      <c r="G11" s="12">
        <f t="shared" ref="G11:G32" si="2">H11/D11</f>
        <v>134.54269291694558</v>
      </c>
      <c r="H11" s="13">
        <v>307126525</v>
      </c>
      <c r="I11" s="14">
        <f t="shared" si="0"/>
        <v>-9470516.8885160685</v>
      </c>
      <c r="J11" s="15">
        <f t="shared" ref="J11:J26" si="3">J10+I11</f>
        <v>-122331291.34851611</v>
      </c>
    </row>
    <row r="12" spans="1:10" ht="18" customHeight="1" x14ac:dyDescent="0.2">
      <c r="A12" s="499"/>
      <c r="B12" s="9">
        <v>3</v>
      </c>
      <c r="C12" s="10">
        <v>1998</v>
      </c>
      <c r="D12" s="11">
        <f>'May17-Exh3-TANFU'!D12+'May17-Exh4-TANFR'!D12+'May17-Exh5-ABDU'!D12+'May17-Exh6-ABDR'!D12</f>
        <v>2550505</v>
      </c>
      <c r="E12" s="12">
        <f t="shared" si="1"/>
        <v>138.91572168540822</v>
      </c>
      <c r="F12" s="13">
        <f>'May17-Exh3-TANFU'!F12+'May17-Exh4-TANFR'!F12+'May17-Exh5-ABDU'!F12+'May17-Exh6-ABDR'!F12</f>
        <v>354305242.7372421</v>
      </c>
      <c r="G12" s="12">
        <f t="shared" si="2"/>
        <v>106.61703427360465</v>
      </c>
      <c r="H12" s="13">
        <v>271927279</v>
      </c>
      <c r="I12" s="14">
        <f t="shared" si="0"/>
        <v>82377963.737242103</v>
      </c>
      <c r="J12" s="15">
        <f t="shared" si="3"/>
        <v>-39953327.611274004</v>
      </c>
    </row>
    <row r="13" spans="1:10" ht="18" customHeight="1" x14ac:dyDescent="0.2">
      <c r="A13" s="499"/>
      <c r="B13" s="9">
        <v>4</v>
      </c>
      <c r="C13" s="10">
        <v>1999</v>
      </c>
      <c r="D13" s="11">
        <f>'May17-Exh3-TANFU'!D13+'May17-Exh4-TANFR'!D13+'May17-Exh5-ABDU'!D13+'May17-Exh6-ABDR'!D13</f>
        <v>3201226</v>
      </c>
      <c r="E13" s="12">
        <f t="shared" si="1"/>
        <v>168.75395879876802</v>
      </c>
      <c r="F13" s="13">
        <f>'May17-Exh3-TANFU'!F13+'May17-Exh4-TANFR'!F13+'May17-Exh5-ABDU'!F13+'May17-Exh6-ABDR'!F13</f>
        <v>540219560.50954497</v>
      </c>
      <c r="G13" s="12">
        <f t="shared" si="2"/>
        <v>144.64790052311207</v>
      </c>
      <c r="H13" s="13">
        <v>463050620</v>
      </c>
      <c r="I13" s="14">
        <f t="shared" si="0"/>
        <v>77168940.509544969</v>
      </c>
      <c r="J13" s="15">
        <f t="shared" si="3"/>
        <v>37215612.898270965</v>
      </c>
    </row>
    <row r="14" spans="1:10" ht="18" customHeight="1" x14ac:dyDescent="0.2">
      <c r="A14" s="499"/>
      <c r="B14" s="9">
        <v>5</v>
      </c>
      <c r="C14" s="10">
        <v>2000</v>
      </c>
      <c r="D14" s="11">
        <f>'May17-Exh3-TANFU'!D14+'May17-Exh4-TANFR'!D14+'May17-Exh5-ABDU'!D14+'May17-Exh6-ABDR'!D14</f>
        <v>3496982</v>
      </c>
      <c r="E14" s="12">
        <f t="shared" si="1"/>
        <v>197.53366459539473</v>
      </c>
      <c r="F14" s="13">
        <f>'May17-Exh3-TANFU'!F14+'May17-Exh4-TANFR'!F14+'May17-Exh5-ABDU'!F14+'May17-Exh6-ABDR'!F14</f>
        <v>690771669.48413265</v>
      </c>
      <c r="G14" s="12">
        <f t="shared" si="2"/>
        <v>171.74812423970155</v>
      </c>
      <c r="H14" s="13">
        <v>600600099</v>
      </c>
      <c r="I14" s="14">
        <f t="shared" si="0"/>
        <v>90171570.484132648</v>
      </c>
      <c r="J14" s="15">
        <f t="shared" si="3"/>
        <v>127387183.38240361</v>
      </c>
    </row>
    <row r="15" spans="1:10" ht="18" customHeight="1" x14ac:dyDescent="0.2">
      <c r="A15" s="499"/>
      <c r="B15" s="9">
        <v>6</v>
      </c>
      <c r="C15" s="10">
        <v>2001</v>
      </c>
      <c r="D15" s="11">
        <f>'May17-Exh3-TANFU'!D15+'May17-Exh4-TANFR'!D15+'May17-Exh5-ABDU'!D15+'May17-Exh6-ABDR'!D15</f>
        <v>4513310</v>
      </c>
      <c r="E15" s="12">
        <f t="shared" si="1"/>
        <v>217.40008821737314</v>
      </c>
      <c r="F15" s="13">
        <f>'May17-Exh3-TANFU'!F15+'May17-Exh4-TANFR'!F15+'May17-Exh5-ABDU'!F15+'May17-Exh6-ABDR'!F15</f>
        <v>981193992.15235233</v>
      </c>
      <c r="G15" s="12">
        <f t="shared" si="2"/>
        <v>129.18546321879063</v>
      </c>
      <c r="H15" s="13">
        <v>583054043</v>
      </c>
      <c r="I15" s="14">
        <f t="shared" si="0"/>
        <v>398139949.15235233</v>
      </c>
      <c r="J15" s="15">
        <f t="shared" si="3"/>
        <v>525527132.53475595</v>
      </c>
    </row>
    <row r="16" spans="1:10" ht="18" customHeight="1" x14ac:dyDescent="0.2">
      <c r="A16" s="499"/>
      <c r="B16" s="9">
        <v>7</v>
      </c>
      <c r="C16" s="10">
        <v>2002</v>
      </c>
      <c r="D16" s="11">
        <f>'May17-Exh3-TANFU'!D16+'May17-Exh4-TANFR'!D16+'May17-Exh5-ABDU'!D16+'May17-Exh6-ABDR'!D16</f>
        <v>4823829</v>
      </c>
      <c r="E16" s="12">
        <f t="shared" si="1"/>
        <v>231.18661095585517</v>
      </c>
      <c r="F16" s="13">
        <f>'May17-Exh3-TANFU'!F16+'May17-Exh4-TANFR'!F16+'May17-Exh5-ABDU'!F16+'May17-Exh6-ABDR'!F16</f>
        <v>1115204678.3405719</v>
      </c>
      <c r="G16" s="12">
        <f t="shared" si="2"/>
        <v>176.23294917792484</v>
      </c>
      <c r="H16" s="13">
        <v>850117611</v>
      </c>
      <c r="I16" s="14">
        <f t="shared" si="0"/>
        <v>265087067.34057188</v>
      </c>
      <c r="J16" s="15">
        <f t="shared" si="3"/>
        <v>790614199.87532783</v>
      </c>
    </row>
    <row r="17" spans="1:18" ht="18" customHeight="1" x14ac:dyDescent="0.2">
      <c r="A17" s="499"/>
      <c r="B17" s="16">
        <v>8</v>
      </c>
      <c r="C17" s="17">
        <v>2003</v>
      </c>
      <c r="D17" s="18">
        <f>'May17-Exh3-TANFU'!D17+'May17-Exh4-TANFR'!D17+'May17-Exh5-ABDU'!D17+'May17-Exh6-ABDR'!D17</f>
        <v>4716758</v>
      </c>
      <c r="E17" s="12">
        <f t="shared" si="1"/>
        <v>230.57729632456346</v>
      </c>
      <c r="F17" s="19">
        <f>'May17-Exh3-TANFU'!F17+'May17-Exh4-TANFR'!F17+'May17-Exh5-ABDU'!F17+'May17-Exh6-ABDR'!F17</f>
        <v>1087577307.0572553</v>
      </c>
      <c r="G17" s="20">
        <f t="shared" si="2"/>
        <v>194.44666336496383</v>
      </c>
      <c r="H17" s="19">
        <v>917157855</v>
      </c>
      <c r="I17" s="21">
        <f t="shared" si="0"/>
        <v>170419452.05725527</v>
      </c>
      <c r="J17" s="22">
        <f t="shared" si="3"/>
        <v>961033651.93258309</v>
      </c>
    </row>
    <row r="18" spans="1:18" ht="18" customHeight="1" x14ac:dyDescent="0.2">
      <c r="A18" s="499"/>
      <c r="B18" s="23">
        <v>9</v>
      </c>
      <c r="C18" s="24">
        <v>2004</v>
      </c>
      <c r="D18" s="25">
        <f>'May17-Exh3-TANFU'!D18+'May17-Exh4-TANFR'!D18+'May17-Exh5-ABDU'!D18+'May17-Exh6-ABDR'!D18</f>
        <v>4886804</v>
      </c>
      <c r="E18" s="26">
        <f t="shared" si="1"/>
        <v>245.50337328713951</v>
      </c>
      <c r="F18" s="27">
        <f>'May17-Exh3-TANFU'!F18+'May17-Exh4-TANFR'!F18+'May17-Exh5-ABDU'!F18+'May17-Exh6-ABDR'!F18</f>
        <v>1199726866.5930865</v>
      </c>
      <c r="G18" s="26">
        <f t="shared" si="2"/>
        <v>181.28186745365682</v>
      </c>
      <c r="H18" s="27">
        <f>'May17-Exh3-TANFU'!H18+'May17-Exh4-TANFR'!H18+'May17-Exh5-ABDU'!H18+'May17-Exh6-ABDR'!H18+'May17-Exh7-NDWA_All_2013'!H18+'May17-Exh9-WDA_All_2013'!H18+'May17-Exh11-TEFRA'!H18+'May17-Exh12-College_All_2013'!H18</f>
        <v>885888955</v>
      </c>
      <c r="I18" s="28">
        <f t="shared" si="0"/>
        <v>313837911.59308648</v>
      </c>
      <c r="J18" s="29">
        <f t="shared" si="3"/>
        <v>1274871563.5256696</v>
      </c>
    </row>
    <row r="19" spans="1:18" ht="18" customHeight="1" x14ac:dyDescent="0.2">
      <c r="A19" s="499"/>
      <c r="B19" s="16">
        <v>10</v>
      </c>
      <c r="C19" s="17">
        <v>2005</v>
      </c>
      <c r="D19" s="18">
        <f>'May17-Exh3-TANFU'!D19+'May17-Exh4-TANFR'!D19+'May17-Exh5-ABDU'!D19+'May17-Exh6-ABDR'!D19</f>
        <v>5038078</v>
      </c>
      <c r="E19" s="20">
        <f t="shared" si="1"/>
        <v>261.38121401196702</v>
      </c>
      <c r="F19" s="19">
        <f>'May17-Exh3-TANFU'!F19+'May17-Exh4-TANFR'!F19+'May17-Exh5-ABDU'!F19+'May17-Exh6-ABDR'!F19</f>
        <v>1316858943.9269826</v>
      </c>
      <c r="G19" s="26">
        <f t="shared" si="2"/>
        <v>222.43344505583281</v>
      </c>
      <c r="H19" s="27">
        <f>'May17-Exh3-TANFU'!H19+'May17-Exh4-TANFR'!H19+'May17-Exh5-ABDU'!H19+'May17-Exh6-ABDR'!H19+'May17-Exh7-NDWA_All_2013'!H19+'May17-Exh9-WDA_All_2013'!H19+'May17-Exh11-TEFRA'!H19+'May17-Exh12-College_All_2013'!H19</f>
        <v>1120637046</v>
      </c>
      <c r="I19" s="21">
        <f t="shared" si="0"/>
        <v>196221897.92698264</v>
      </c>
      <c r="J19" s="22">
        <f t="shared" si="3"/>
        <v>1471093461.4526522</v>
      </c>
    </row>
    <row r="20" spans="1:18" ht="18" customHeight="1" x14ac:dyDescent="0.2">
      <c r="A20" s="499"/>
      <c r="B20" s="35">
        <v>11</v>
      </c>
      <c r="C20" s="17">
        <v>2006</v>
      </c>
      <c r="D20" s="18">
        <f>'May17-Exh3-TANFU'!D20+'May17-Exh4-TANFR'!D20+'May17-Exh5-ABDU'!D20+'May17-Exh6-ABDR'!D20</f>
        <v>5180782</v>
      </c>
      <c r="E20" s="20">
        <f t="shared" si="1"/>
        <v>277.35354049536352</v>
      </c>
      <c r="F20" s="19">
        <f>'May17-Exh3-TANFU'!F20+'May17-Exh4-TANFR'!F20+'May17-Exh5-ABDU'!F20+'May17-Exh6-ABDR'!F20</f>
        <v>1436908230.2346504</v>
      </c>
      <c r="G20" s="20">
        <f t="shared" si="2"/>
        <v>264.23938799200585</v>
      </c>
      <c r="H20" s="19">
        <f>'May17-Exh3-TANFU'!H20+'May17-Exh4-TANFR'!H20+'May17-Exh5-ABDU'!H20+'May17-Exh6-ABDR'!H20+'May17-Exh7-NDWA_All_2013'!H20+'May17-Exh9-WDA_All_2013'!H20+'May17-Exh11-TEFRA'!H20+'May17-Exh12-College_All_2013'!H20</f>
        <v>1368966665</v>
      </c>
      <c r="I20" s="21">
        <f t="shared" si="0"/>
        <v>67941565.234650373</v>
      </c>
      <c r="J20" s="36">
        <f t="shared" si="3"/>
        <v>1539035026.6873026</v>
      </c>
    </row>
    <row r="21" spans="1:18" ht="18" customHeight="1" x14ac:dyDescent="0.2">
      <c r="A21" s="499"/>
      <c r="B21" s="33">
        <v>12</v>
      </c>
      <c r="C21" s="52">
        <v>2007</v>
      </c>
      <c r="D21" s="25">
        <f>'May17-Exh3-TANFU'!D21+'May17-Exh4-TANFR'!D21+'May17-Exh5-ABDU'!D21+'May17-Exh6-ABDR'!D21</f>
        <v>5451378</v>
      </c>
      <c r="E21" s="26">
        <f t="shared" si="1"/>
        <v>290.30988939677269</v>
      </c>
      <c r="F21" s="27">
        <f>'May17-Exh3-TANFU'!F21+'May17-Exh4-TANFR'!F21+'May17-Exh5-ABDU'!F21+'May17-Exh6-ABDR'!F21</f>
        <v>1582588944.24</v>
      </c>
      <c r="G21" s="26">
        <f t="shared" si="2"/>
        <v>271.9559074788063</v>
      </c>
      <c r="H21" s="27">
        <f>'May17-Exh3-TANFU'!H21+'May17-Exh4-TANFR'!H21+'May17-Exh5-ABDU'!H21+'May17-Exh6-ABDR'!H21+'May17-Exh7-NDWA_All_2013'!H21+'May17-Exh9-WDA_All_2013'!H21+'May17-Exh11-TEFRA'!H21+'May17-Exh12-College_All_2013'!H21</f>
        <v>1482534451</v>
      </c>
      <c r="I21" s="28">
        <f t="shared" si="0"/>
        <v>100054493.24000001</v>
      </c>
      <c r="J21" s="34">
        <f t="shared" si="3"/>
        <v>1639089519.9273026</v>
      </c>
    </row>
    <row r="22" spans="1:18" ht="18" customHeight="1" x14ac:dyDescent="0.2">
      <c r="A22" s="499"/>
      <c r="B22" s="35">
        <v>13</v>
      </c>
      <c r="C22" s="59">
        <v>2008</v>
      </c>
      <c r="D22" s="18">
        <f>'May17-Exh3-TANFU'!D22+'May17-Exh4-TANFR'!D22+'May17-Exh5-ABDU'!D22+'May17-Exh6-ABDR'!D22</f>
        <v>5386004</v>
      </c>
      <c r="E22" s="20">
        <f t="shared" si="1"/>
        <v>308.25214299289104</v>
      </c>
      <c r="F22" s="19">
        <f>'May17-Exh3-TANFU'!F22+'May17-Exh4-TANFR'!F22+'May17-Exh5-ABDU'!F22+'May17-Exh6-ABDR'!F22</f>
        <v>1660247275.1682832</v>
      </c>
      <c r="G22" s="20">
        <f t="shared" si="2"/>
        <v>300.7881999344969</v>
      </c>
      <c r="H22" s="19">
        <f>'May17-Exh3-TANFU'!H22+'May17-Exh4-TANFR'!H22+'May17-Exh5-ABDU'!H22+'May17-Exh6-ABDR'!H22+'May17-Exh7-NDWA_All_2013'!H22+'May17-Exh9-WDA_All_2013'!H22+'May17-Exh11-TEFRA'!H22+'May17-Exh12-College_All_2013'!H22</f>
        <v>1620046448</v>
      </c>
      <c r="I22" s="21">
        <f t="shared" si="0"/>
        <v>40200827.168283224</v>
      </c>
      <c r="J22" s="36">
        <f t="shared" si="3"/>
        <v>1679290347.0955858</v>
      </c>
    </row>
    <row r="23" spans="1:18" ht="18" customHeight="1" x14ac:dyDescent="0.2">
      <c r="A23" s="499"/>
      <c r="B23" s="16">
        <v>14</v>
      </c>
      <c r="C23" s="59">
        <v>2009</v>
      </c>
      <c r="D23" s="18">
        <f>'May17-Exh3-TANFU'!D23+'May17-Exh4-TANFR'!D23+'May17-Exh5-ABDU'!D23+'May17-Exh6-ABDR'!D23</f>
        <v>5839782</v>
      </c>
      <c r="E23" s="20">
        <f t="shared" si="1"/>
        <v>322.58968282716978</v>
      </c>
      <c r="F23" s="19">
        <f>'May17-Exh3-TANFU'!F23+'May17-Exh4-TANFR'!F23+'May17-Exh5-ABDU'!F23+'May17-Exh6-ABDR'!F23</f>
        <v>1883853423.1598151</v>
      </c>
      <c r="G23" s="20">
        <f t="shared" si="2"/>
        <v>321.57565967359739</v>
      </c>
      <c r="H23" s="19">
        <f>'May17-Exh3-TANFU'!H23+'May17-Exh4-TANFR'!H23+'May17-Exh5-ABDU'!H23+'May17-Exh6-ABDR'!H23+'May17-Exh7-NDWA_All_2013'!H23+'May17-Exh9-WDA_All_2013'!H23+'May17-Exh11-TEFRA'!H23+'May17-Exh12-College_All_2013'!H23</f>
        <v>1877931749</v>
      </c>
      <c r="I23" s="21">
        <f t="shared" si="0"/>
        <v>5921674.159815073</v>
      </c>
      <c r="J23" s="22">
        <f t="shared" si="3"/>
        <v>1685212021.2554009</v>
      </c>
    </row>
    <row r="24" spans="1:18" ht="18" customHeight="1" x14ac:dyDescent="0.2">
      <c r="A24" s="499"/>
      <c r="B24" s="35">
        <v>15</v>
      </c>
      <c r="C24" s="17">
        <v>2010</v>
      </c>
      <c r="D24" s="18">
        <f>'May17-Exh3-TANFU'!D24++'May17-Exh4-TANFR'!D24+'May17-Exh5-ABDU'!D24+'May17-Exh6-ABDR'!D24</f>
        <v>6367794</v>
      </c>
      <c r="E24" s="20">
        <f t="shared" si="1"/>
        <v>338.4042885437276</v>
      </c>
      <c r="F24" s="19">
        <f>'May17-Exh3-TANFU'!F24+'May17-Exh4-TANFR'!F24+'May17-Exh5-ABDU'!F24+'May17-Exh6-ABDR'!F24</f>
        <v>2154888798.1630173</v>
      </c>
      <c r="G24" s="20">
        <f t="shared" si="2"/>
        <v>313.40370621285803</v>
      </c>
      <c r="H24" s="19">
        <f>'May17-Exh3-TANFU'!H24+'May17-Exh4-TANFR'!H24+'May17-Exh5-ABDU'!H24+'May17-Exh6-ABDR'!H24+'May17-Exh7-NDWA_All_2013'!H24+'May17-Exh9-WDA_All_2013'!H24+'May17-Exh11-TEFRA'!H24+'May17-Exh12-College_All_2013'!H24+'May17-Exh22-HAN'!H24</f>
        <v>1995690240</v>
      </c>
      <c r="I24" s="21">
        <f t="shared" si="0"/>
        <v>159198558.16301727</v>
      </c>
      <c r="J24" s="36">
        <f t="shared" si="3"/>
        <v>1844410579.4184182</v>
      </c>
    </row>
    <row r="25" spans="1:18" s="48" customFormat="1" ht="18" customHeight="1" x14ac:dyDescent="0.2">
      <c r="A25" s="499"/>
      <c r="B25" s="38">
        <v>16</v>
      </c>
      <c r="C25" s="92">
        <v>2011</v>
      </c>
      <c r="D25" s="93">
        <f>'May17-Exh3-TANFU'!D25++'May17-Exh4-TANFR'!D25+'May17-Exh5-ABDU'!D25+'May17-Exh6-ABDR'!D25</f>
        <v>6420012</v>
      </c>
      <c r="E25" s="94">
        <f t="shared" si="1"/>
        <v>357.87867380055974</v>
      </c>
      <c r="F25" s="95">
        <f>'May17-Exh3-TANFU'!F25+'May17-Exh4-TANFR'!F25+'May17-Exh5-ABDU'!F25+'May17-Exh6-ABDR'!F25</f>
        <v>2297585380.343679</v>
      </c>
      <c r="G25" s="94">
        <f t="shared" si="2"/>
        <v>329.92722777932505</v>
      </c>
      <c r="H25" s="95">
        <f>'May17-Exh3-TANFU'!H25+'May17-Exh4-TANFR'!H25+'May17-Exh5-ABDU'!H25+'May17-Exh6-ABDR'!H25+'May17-Exh7-NDWA_All_2013'!H25+'May17-Exh9-WDA_All_2013'!H25+'May17-Exh11-TEFRA'!H25+'May17-Exh12-College_All_2013'!H25+'May17-Exh22-HAN'!H25</f>
        <v>2118136761.4700003</v>
      </c>
      <c r="I25" s="96">
        <f t="shared" si="0"/>
        <v>179448618.87367868</v>
      </c>
      <c r="J25" s="39">
        <f t="shared" si="3"/>
        <v>2023859198.2920969</v>
      </c>
      <c r="L25"/>
      <c r="M25"/>
      <c r="N25"/>
      <c r="P25"/>
      <c r="Q25"/>
      <c r="R25"/>
    </row>
    <row r="26" spans="1:18" s="48" customFormat="1" ht="18" customHeight="1" thickBot="1" x14ac:dyDescent="0.4">
      <c r="A26" s="499"/>
      <c r="B26" s="141">
        <v>17</v>
      </c>
      <c r="C26" s="142">
        <v>2012</v>
      </c>
      <c r="D26" s="143">
        <f>'May17-Exh3-TANFU'!D26+'May17-Exh4-TANFR'!D26+'May17-Exh5-ABDU'!D26+'May17-Exh6-ABDR'!D26</f>
        <v>6819943</v>
      </c>
      <c r="E26" s="144">
        <f t="shared" si="1"/>
        <v>372.94517456550136</v>
      </c>
      <c r="F26" s="145">
        <f>'May17-Exh3-TANFU'!F26+'May17-Exh4-TANFR'!F26+'May17-Exh5-ABDU'!F26+'May17-Exh6-ABDR'!F26</f>
        <v>2543464832.6617689</v>
      </c>
      <c r="G26" s="144">
        <f t="shared" si="2"/>
        <v>326.37808351184168</v>
      </c>
      <c r="H26" s="145">
        <f>'May17-Exh3-TANFU'!H26+'May17-Exh4-TANFR'!H26+'May17-Exh5-ABDU'!H26+'May17-Exh6-ABDR'!H26+'May17-Exh7-NDWA_All_2013'!H26+'May17-Exh9-WDA_All_2013'!H26+'May17-Exh11-TEFRA'!H26+'May17-Exh12-College_All_2013'!H26+'May17-Exh22-HAN'!H26</f>
        <v>2225879926</v>
      </c>
      <c r="I26" s="146">
        <f t="shared" si="0"/>
        <v>317584906.66176891</v>
      </c>
      <c r="J26" s="147">
        <f t="shared" si="3"/>
        <v>2341444104.953866</v>
      </c>
      <c r="L26"/>
      <c r="M26"/>
      <c r="N26"/>
      <c r="O26" s="100"/>
      <c r="P26"/>
      <c r="Q26"/>
      <c r="R26"/>
    </row>
    <row r="27" spans="1:18" s="48" customFormat="1" ht="30" customHeight="1" x14ac:dyDescent="0.35">
      <c r="A27" s="135"/>
      <c r="B27" s="152">
        <v>18</v>
      </c>
      <c r="C27" s="153">
        <v>2013</v>
      </c>
      <c r="D27" s="154">
        <f>'May17-Exh3-TANFU'!D27+'May17-Exh4-TANFR'!D27+'May17-Exh5-ABDU'!D27+'May17-Exh6-ABDR'!D27</f>
        <v>7011670</v>
      </c>
      <c r="E27" s="128">
        <f t="shared" si="1"/>
        <v>389.10677117291601</v>
      </c>
      <c r="F27" s="155">
        <f>'May17-Exh3-TANFU'!F27+'May17-Exh4-TANFR'!F27+'May17-Exh5-ABDU'!F27+'May17-Exh6-ABDR'!F27</f>
        <v>2728288274.23</v>
      </c>
      <c r="G27" s="128">
        <f t="shared" si="2"/>
        <v>330.46999758973254</v>
      </c>
      <c r="H27" s="155">
        <f>'May17-Exh3-TANFU'!H27+'May17-Exh4-TANFR'!H27+'May17-Exh5-ABDU'!H27+'May17-Exh6-ABDR'!H27+'May17-Exh7-NDWA_All_2013'!H27+'May17-Exh9-WDA_All_2013'!H27+'May17-Exh11-TEFRA'!H27+'May17-Exh12-College_All_2013'!H27+'May17-Exh22-HAN'!H27</f>
        <v>2317146568</v>
      </c>
      <c r="I27" s="156">
        <f t="shared" ref="I27:I32" si="4">F27-H27</f>
        <v>411141706.23000002</v>
      </c>
      <c r="J27" s="157">
        <f t="shared" ref="J27:J32" si="5">J26+I27</f>
        <v>2752585811.183866</v>
      </c>
      <c r="L27"/>
      <c r="M27"/>
      <c r="N27"/>
      <c r="O27" s="100"/>
      <c r="P27"/>
      <c r="Q27"/>
      <c r="R27"/>
    </row>
    <row r="28" spans="1:18" s="48" customFormat="1" ht="30" customHeight="1" x14ac:dyDescent="0.35">
      <c r="A28" s="135"/>
      <c r="B28" s="16">
        <v>19</v>
      </c>
      <c r="C28" s="59">
        <v>2014</v>
      </c>
      <c r="D28" s="18">
        <f>'May17-Exh3-TANFU'!D28+'May17-Exh4-TANFR'!D28+'May17-Exh5-ABDU'!D28+'May17-Exh6-ABDR'!D28</f>
        <v>7403764</v>
      </c>
      <c r="E28" s="20">
        <f t="shared" si="1"/>
        <v>403.10336267336453</v>
      </c>
      <c r="F28" s="19">
        <f>'May17-Exh3-TANFU'!F28+'May17-Exh4-TANFR'!F28+'May17-Exh5-ABDU'!F28+'May17-Exh6-ABDR'!F28</f>
        <v>2984482164.8400002</v>
      </c>
      <c r="G28" s="20">
        <f t="shared" si="2"/>
        <v>318.02182619543248</v>
      </c>
      <c r="H28" s="19">
        <f>'May17-Exh3-TANFU'!H28+'May17-Exh4-TANFR'!H28+'May17-Exh5-ABDU'!H28+'May17-Exh6-ABDR'!H28+'May17-Exh8-NDWA_ESI_2014'!H28+'May17-Exh17-NDWA_IP_2014'!H28+'May17-Exh10-WDA_ESI_2014'!H28+'May17-Exh18-WDA_IP_2014'!H28+'May17-Exh11-TEFRA'!H28+'May17-Exh13-College_ESI_2014'!H28+'May17-Exh19-College_IP_2014'!H28+'May17-Exh22-HAN'!H28</f>
        <v>2354558548</v>
      </c>
      <c r="I28" s="21">
        <f t="shared" si="4"/>
        <v>629923616.84000015</v>
      </c>
      <c r="J28" s="22">
        <f t="shared" si="5"/>
        <v>3382509428.0238662</v>
      </c>
      <c r="L28"/>
      <c r="M28"/>
      <c r="N28"/>
      <c r="O28" s="100"/>
      <c r="P28"/>
      <c r="Q28"/>
      <c r="R28"/>
    </row>
    <row r="29" spans="1:18" s="48" customFormat="1" ht="30" customHeight="1" thickBot="1" x14ac:dyDescent="0.4">
      <c r="A29" s="136"/>
      <c r="B29" s="134">
        <v>20</v>
      </c>
      <c r="C29" s="139">
        <v>2015</v>
      </c>
      <c r="D29" s="93">
        <f>'May17-Exh3-TANFU'!D29+'May17-Exh4-TANFR'!D29+'May17-Exh5-ABDU'!D29+'May17-Exh6-ABDR'!D29</f>
        <v>7559632</v>
      </c>
      <c r="E29" s="94">
        <f t="shared" si="1"/>
        <v>418.55007874721946</v>
      </c>
      <c r="F29" s="95">
        <f>'May17-Exh3-TANFU'!F29+'May17-Exh4-TANFR'!F29+'May17-Exh5-ABDU'!F29+'May17-Exh6-ABDR'!F29</f>
        <v>3164084568.9000001</v>
      </c>
      <c r="G29" s="94">
        <f t="shared" si="2"/>
        <v>311.71125261123819</v>
      </c>
      <c r="H29" s="95">
        <f>'May17-Exh3-TANFU'!H29+'May17-Exh4-TANFR'!H29+'May17-Exh5-ABDU'!H29+'May17-Exh6-ABDR'!H29+'May17-Exh8-NDWA_ESI_2014'!H29+'May17-Exh17-NDWA_IP_2014'!H29+'May17-Exh10-WDA_ESI_2014'!H29+'May17-Exh18-WDA_IP_2014'!H29+'May17-Exh11-TEFRA'!H29+'May17-Exh13-College_ESI_2014'!H29+'May17-Exh19-College_IP_2014'!H29+'May17-Exh22-HAN'!H29</f>
        <v>2356422360</v>
      </c>
      <c r="I29" s="96">
        <f t="shared" si="4"/>
        <v>807662208.9000001</v>
      </c>
      <c r="J29" s="101">
        <f t="shared" si="5"/>
        <v>4190171636.9238663</v>
      </c>
      <c r="L29"/>
      <c r="M29"/>
      <c r="N29"/>
      <c r="O29" s="100"/>
      <c r="P29"/>
      <c r="Q29"/>
      <c r="R29"/>
    </row>
    <row r="30" spans="1:18" ht="30" customHeight="1" x14ac:dyDescent="0.2">
      <c r="A30" s="495" t="s">
        <v>34</v>
      </c>
      <c r="B30" s="61">
        <v>21</v>
      </c>
      <c r="C30" s="62">
        <v>2016</v>
      </c>
      <c r="D30" s="63">
        <f>'May17-Exh3-TANFU'!D30+'May17-Exh4-TANFR'!D30+'May17-Exh5-ABDU'!D30+'May17-Exh6-ABDR'!D30</f>
        <v>7396313</v>
      </c>
      <c r="E30" s="64">
        <f t="shared" si="1"/>
        <v>438.83678256585409</v>
      </c>
      <c r="F30" s="65">
        <f>'May17-Exh3-TANFU'!F30+'May17-Exh4-TANFR'!F30+'May17-Exh5-ABDU'!F30+'May17-Exh6-ABDR'!F30</f>
        <v>3245774199.77</v>
      </c>
      <c r="G30" s="64">
        <f t="shared" si="2"/>
        <v>307.23574367390887</v>
      </c>
      <c r="H30" s="65">
        <f>'May17-Exh3-TANFU'!H30+'May17-Exh4-TANFR'!H30+'May17-Exh5-ABDU'!H30+'May17-Exh6-ABDR'!H30+'May17-Exh8-NDWA_ESI_2014'!H30+'May17-Exh17-NDWA_IP_2014'!H30+'May17-Exh10-WDA_ESI_2014'!H30+'May17-Exh18-WDA_IP_2014'!H30+'May17-Exh11-TEFRA'!H30+'May17-Exh13-College_ESI_2014'!H30+'May17-Exh19-College_IP_2014'!H30+'May17-Exh22-HAN'!H30</f>
        <v>2272411725</v>
      </c>
      <c r="I30" s="66">
        <f t="shared" si="4"/>
        <v>973362474.76999998</v>
      </c>
      <c r="J30" s="67">
        <f t="shared" si="5"/>
        <v>5163534111.6938667</v>
      </c>
    </row>
    <row r="31" spans="1:18" ht="30" customHeight="1" x14ac:dyDescent="0.2">
      <c r="A31" s="496"/>
      <c r="B31" s="74">
        <v>22</v>
      </c>
      <c r="C31" s="10" t="s">
        <v>49</v>
      </c>
      <c r="D31" s="11">
        <f>'May17-Exh3-TANFU'!D31+'May17-Exh4-TANFR'!D31+'May17-Exh5-ABDU'!D31+'May17-Exh6-ABDR'!D31</f>
        <v>7584807.1201854013</v>
      </c>
      <c r="E31" s="46">
        <f t="shared" si="1"/>
        <v>457.13932168060882</v>
      </c>
      <c r="F31" s="13">
        <f>'May17-Exh3-TANFU'!F31+'May17-Exh4-TANFR'!F31+'May17-Exh5-ABDU'!F31+'May17-Exh6-ABDR'!F31</f>
        <v>3467313581.9998064</v>
      </c>
      <c r="G31" s="12">
        <f t="shared" si="2"/>
        <v>320.12986231501583</v>
      </c>
      <c r="H31" s="13">
        <f>'May17-Exh3-TANFU'!H31+'May17-Exh4-TANFR'!H31+'May17-Exh5-ABDU'!H31+'May17-Exh6-ABDR'!H31+'May17-Exh8-NDWA_ESI_2014'!H31+'May17-Exh17-NDWA_IP_2014'!H31+'May17-Exh10-WDA_ESI_2014'!H31+'May17-Exh18-WDA_IP_2014'!H31+'May17-Exh11-TEFRA'!H31+'May17-Exh13-College_ESI_2014'!H31+'May17-Exh19-College_IP_2014'!H31+'May17-Exh22-HAN'!H31+'May17-Exh16-SCI'!H31</f>
        <v>2428123259.0709043</v>
      </c>
      <c r="I31" s="13">
        <f t="shared" si="4"/>
        <v>1039190322.9289021</v>
      </c>
      <c r="J31" s="78">
        <f t="shared" si="5"/>
        <v>6202724434.6227684</v>
      </c>
    </row>
    <row r="32" spans="1:18" ht="30" customHeight="1" thickBot="1" x14ac:dyDescent="0.25">
      <c r="A32" s="497"/>
      <c r="B32" s="68">
        <v>23</v>
      </c>
      <c r="C32" s="70" t="s">
        <v>50</v>
      </c>
      <c r="D32" s="75">
        <f>'May17-Exh3-TANFU'!D32+'May17-Exh4-TANFR'!D32+'May17-Exh5-ABDU'!D32+'May17-Exh6-ABDR'!D32</f>
        <v>7778562.1904950151</v>
      </c>
      <c r="E32" s="79">
        <f t="shared" si="1"/>
        <v>476.2203773345492</v>
      </c>
      <c r="F32" s="76">
        <f>'May17-Exh3-TANFU'!F32+'May17-Exh4-TANFR'!F32+'May17-Exh5-ABDU'!F32+'May17-Exh6-ABDR'!F32</f>
        <v>3704309821.4777937</v>
      </c>
      <c r="G32" s="71">
        <f t="shared" si="2"/>
        <v>333.61087155894791</v>
      </c>
      <c r="H32" s="76">
        <f>'May17-Exh3-TANFU'!H32+'May17-Exh4-TANFR'!H32+'May17-Exh5-ABDU'!H32+'May17-Exh6-ABDR'!H32+'May17-Exh8-NDWA_ESI_2014'!H32+'May17-Exh17-NDWA_IP_2014'!H32+'May17-Exh10-WDA_ESI_2014'!H32+'May17-Exh18-WDA_IP_2014'!H32+'May17-Exh11-TEFRA'!H32+'May17-Exh13-College_ESI_2014'!H32+'May17-Exh19-College_IP_2014'!H32+'May17-Exh22-HAN'!H32+'May17-Exh16-SCI'!H32</f>
        <v>2595012911.8465209</v>
      </c>
      <c r="I32" s="76">
        <f t="shared" si="4"/>
        <v>1109296909.6312728</v>
      </c>
      <c r="J32" s="77">
        <f t="shared" si="5"/>
        <v>7312021344.2540417</v>
      </c>
    </row>
    <row r="33" spans="1:10" ht="3.95" customHeight="1" x14ac:dyDescent="0.2"/>
    <row r="34" spans="1:10" x14ac:dyDescent="0.2">
      <c r="A34" s="48"/>
      <c r="B34" s="48"/>
      <c r="C34" s="48"/>
      <c r="D34" s="48"/>
      <c r="E34" s="48"/>
      <c r="F34" s="48"/>
      <c r="G34" s="287" t="s">
        <v>9</v>
      </c>
    </row>
    <row r="35" spans="1:10" x14ac:dyDescent="0.2">
      <c r="A35" s="48"/>
      <c r="B35" s="48"/>
      <c r="C35" s="48"/>
      <c r="D35" s="450"/>
      <c r="E35" s="450"/>
      <c r="F35" s="450"/>
      <c r="G35" s="450"/>
      <c r="H35" s="450"/>
      <c r="I35" s="450"/>
      <c r="J35" s="450"/>
    </row>
    <row r="36" spans="1:10" x14ac:dyDescent="0.2">
      <c r="A36" s="48"/>
      <c r="B36" s="48"/>
      <c r="C36" s="48"/>
      <c r="D36" s="450"/>
      <c r="E36" s="450"/>
      <c r="F36" s="450"/>
      <c r="G36" s="450"/>
      <c r="H36" s="450"/>
      <c r="I36" s="450"/>
      <c r="J36" s="450"/>
    </row>
    <row r="37" spans="1:10" x14ac:dyDescent="0.2">
      <c r="A37" s="48"/>
      <c r="B37" s="48"/>
      <c r="C37" s="48"/>
      <c r="D37" s="450"/>
      <c r="E37" s="450"/>
      <c r="F37" s="450"/>
      <c r="G37" s="450"/>
      <c r="H37" s="450"/>
      <c r="I37" s="450"/>
      <c r="J37" s="450"/>
    </row>
    <row r="38" spans="1:10" x14ac:dyDescent="0.2">
      <c r="A38" s="48"/>
      <c r="B38" s="48"/>
      <c r="C38" s="48"/>
      <c r="D38" s="450"/>
      <c r="E38" s="450"/>
      <c r="F38" s="450"/>
      <c r="G38" s="450"/>
      <c r="H38" s="450"/>
      <c r="I38" s="450"/>
      <c r="J38" s="450"/>
    </row>
    <row r="39" spans="1:10" x14ac:dyDescent="0.2">
      <c r="A39" s="48"/>
      <c r="B39" s="48"/>
      <c r="C39" s="48"/>
      <c r="D39" s="450"/>
      <c r="E39" s="450"/>
      <c r="F39" s="450"/>
      <c r="G39" s="450"/>
      <c r="H39" s="450"/>
      <c r="I39" s="450"/>
      <c r="J39" s="450"/>
    </row>
    <row r="40" spans="1:10" x14ac:dyDescent="0.2">
      <c r="A40" s="48"/>
      <c r="B40" s="48"/>
      <c r="C40" s="48"/>
      <c r="D40" s="48"/>
      <c r="E40" s="48"/>
      <c r="F40" s="48"/>
      <c r="G40" s="48"/>
      <c r="H40" s="48"/>
      <c r="I40" s="48"/>
      <c r="J40" s="48"/>
    </row>
    <row r="41" spans="1:10" x14ac:dyDescent="0.2">
      <c r="A41" s="48"/>
      <c r="B41" s="48"/>
      <c r="C41" s="48"/>
      <c r="D41" s="48"/>
      <c r="E41" s="48"/>
      <c r="F41" s="48"/>
      <c r="G41" s="48"/>
    </row>
    <row r="42" spans="1:10" x14ac:dyDescent="0.2">
      <c r="A42" s="48"/>
      <c r="B42" s="48"/>
      <c r="C42" s="48"/>
      <c r="D42" s="48"/>
      <c r="E42" s="48"/>
      <c r="F42" s="48"/>
      <c r="G42" s="48"/>
    </row>
    <row r="43" spans="1:10" x14ac:dyDescent="0.2">
      <c r="A43" s="48"/>
      <c r="B43" s="48"/>
      <c r="C43" s="48"/>
      <c r="D43" s="48"/>
      <c r="E43" s="48"/>
      <c r="F43" s="48"/>
      <c r="G43" s="48"/>
    </row>
    <row r="44" spans="1:10" x14ac:dyDescent="0.2">
      <c r="A44" s="48"/>
      <c r="B44" s="48"/>
      <c r="C44" s="48"/>
      <c r="D44" s="48"/>
      <c r="E44" s="48"/>
      <c r="F44" s="48"/>
      <c r="G44" s="48"/>
    </row>
    <row r="45" spans="1:10" x14ac:dyDescent="0.2">
      <c r="A45" s="48"/>
      <c r="B45" s="48"/>
      <c r="C45" s="48"/>
      <c r="D45" s="48"/>
      <c r="E45" s="48"/>
      <c r="F45" s="48"/>
      <c r="G45" s="48"/>
    </row>
    <row r="46" spans="1:10" x14ac:dyDescent="0.2">
      <c r="A46" s="48"/>
      <c r="B46" s="48"/>
      <c r="C46" s="48"/>
      <c r="D46" s="48"/>
      <c r="E46" s="48"/>
      <c r="F46" s="48"/>
      <c r="G46" s="48"/>
    </row>
    <row r="47" spans="1:10" x14ac:dyDescent="0.2">
      <c r="A47" s="48"/>
      <c r="B47" s="48"/>
      <c r="C47" s="48"/>
      <c r="D47" s="48"/>
      <c r="E47" s="48"/>
      <c r="F47" s="48"/>
      <c r="G47" s="48"/>
    </row>
    <row r="48" spans="1:10" x14ac:dyDescent="0.2">
      <c r="A48" s="48"/>
      <c r="B48" s="48"/>
      <c r="C48" s="48"/>
      <c r="D48" s="48"/>
      <c r="E48" s="48"/>
      <c r="F48" s="48"/>
      <c r="G48" s="48"/>
    </row>
    <row r="49" spans="1:8" x14ac:dyDescent="0.2">
      <c r="A49" s="48"/>
      <c r="B49" s="48"/>
      <c r="C49" s="48"/>
      <c r="D49" s="48"/>
      <c r="E49" s="48"/>
      <c r="F49" s="48"/>
      <c r="G49" s="48"/>
    </row>
    <row r="50" spans="1:8" x14ac:dyDescent="0.2">
      <c r="A50" s="48"/>
      <c r="B50" s="48"/>
      <c r="C50" s="48"/>
      <c r="D50" s="48"/>
      <c r="E50" s="48"/>
      <c r="F50" s="48"/>
      <c r="G50" s="48"/>
    </row>
    <row r="51" spans="1:8" x14ac:dyDescent="0.2">
      <c r="A51" s="48"/>
      <c r="B51" s="48"/>
      <c r="C51" s="48"/>
      <c r="D51" s="48"/>
      <c r="E51" s="48"/>
      <c r="F51" s="48"/>
      <c r="G51" s="48"/>
    </row>
    <row r="52" spans="1:8" x14ac:dyDescent="0.2">
      <c r="A52" s="48"/>
      <c r="B52" s="48"/>
      <c r="C52" s="48"/>
      <c r="D52" s="48"/>
      <c r="E52" s="48"/>
      <c r="F52" s="48"/>
      <c r="G52" s="48"/>
    </row>
    <row r="53" spans="1:8" x14ac:dyDescent="0.2">
      <c r="A53" s="48"/>
      <c r="B53" s="48"/>
      <c r="C53" s="48"/>
      <c r="D53" s="48"/>
      <c r="E53" s="48"/>
      <c r="F53" s="48"/>
      <c r="G53" s="48"/>
    </row>
    <row r="54" spans="1:8" x14ac:dyDescent="0.2">
      <c r="A54" s="48"/>
      <c r="B54" s="48"/>
      <c r="C54" s="48"/>
      <c r="D54" s="48"/>
      <c r="E54" s="48"/>
      <c r="F54" s="48"/>
      <c r="G54" s="48"/>
    </row>
    <row r="55" spans="1:8" x14ac:dyDescent="0.2">
      <c r="A55" s="48"/>
      <c r="B55" s="48"/>
      <c r="C55" s="48"/>
      <c r="D55" s="48"/>
      <c r="E55" s="48"/>
      <c r="F55" s="48"/>
      <c r="G55" s="48"/>
    </row>
    <row r="56" spans="1:8" x14ac:dyDescent="0.2">
      <c r="A56" s="48"/>
      <c r="B56" s="48"/>
      <c r="C56" s="48"/>
      <c r="D56" s="48"/>
      <c r="E56" s="48"/>
      <c r="F56" s="48"/>
      <c r="G56" s="48"/>
    </row>
    <row r="57" spans="1:8" x14ac:dyDescent="0.2">
      <c r="A57" s="48"/>
      <c r="B57" s="48"/>
      <c r="C57" s="48"/>
      <c r="D57" s="48"/>
      <c r="E57" s="48"/>
      <c r="F57" s="48"/>
      <c r="G57" s="48"/>
    </row>
    <row r="58" spans="1:8" x14ac:dyDescent="0.2">
      <c r="A58" s="48"/>
      <c r="B58" s="48"/>
      <c r="C58" s="48"/>
      <c r="D58" s="48"/>
      <c r="E58" s="48"/>
      <c r="F58" s="48"/>
      <c r="G58" s="48"/>
    </row>
    <row r="59" spans="1:8" x14ac:dyDescent="0.2">
      <c r="A59" s="48"/>
      <c r="B59" s="48"/>
      <c r="C59" s="48"/>
      <c r="D59" s="48"/>
      <c r="E59" s="48"/>
      <c r="F59" s="48"/>
      <c r="G59" s="48"/>
      <c r="H59" s="48"/>
    </row>
    <row r="60" spans="1:8" x14ac:dyDescent="0.2">
      <c r="A60" s="48"/>
      <c r="B60" s="48"/>
      <c r="C60" s="48"/>
      <c r="D60" s="48"/>
      <c r="E60" s="48"/>
      <c r="F60" s="48"/>
      <c r="G60" s="48"/>
      <c r="H60" s="48"/>
    </row>
    <row r="61" spans="1:8" x14ac:dyDescent="0.2">
      <c r="A61" s="48"/>
      <c r="B61" s="48"/>
      <c r="C61" s="48"/>
      <c r="D61" s="48"/>
      <c r="E61" s="48"/>
      <c r="F61" s="48"/>
      <c r="G61" s="48"/>
      <c r="H61" s="48"/>
    </row>
    <row r="62" spans="1:8" x14ac:dyDescent="0.2">
      <c r="A62" s="48"/>
      <c r="B62" s="48"/>
      <c r="C62" s="48"/>
      <c r="D62" s="48"/>
      <c r="E62" s="48"/>
      <c r="F62" s="48"/>
      <c r="G62" s="48"/>
      <c r="H62" s="48"/>
    </row>
    <row r="63" spans="1:8" x14ac:dyDescent="0.2">
      <c r="A63" s="48"/>
      <c r="B63" s="48"/>
      <c r="C63" s="48"/>
      <c r="D63" s="48"/>
      <c r="E63" s="48"/>
      <c r="F63" s="48"/>
      <c r="G63" s="48"/>
      <c r="H63" s="48"/>
    </row>
    <row r="64" spans="1:8" x14ac:dyDescent="0.2">
      <c r="A64" s="48"/>
      <c r="B64" s="48"/>
      <c r="C64" s="48"/>
      <c r="D64" s="48"/>
      <c r="E64" s="48"/>
      <c r="F64" s="48"/>
      <c r="G64" s="48"/>
      <c r="H64" s="48"/>
    </row>
    <row r="65" spans="1:8" x14ac:dyDescent="0.2">
      <c r="A65" s="48"/>
      <c r="B65" s="48"/>
      <c r="C65" s="48"/>
      <c r="D65" s="48"/>
      <c r="E65" s="48"/>
      <c r="F65" s="48"/>
      <c r="G65" s="48"/>
      <c r="H65" s="48"/>
    </row>
    <row r="66" spans="1:8" x14ac:dyDescent="0.2">
      <c r="A66" s="48"/>
      <c r="B66" s="48"/>
      <c r="C66" s="48"/>
      <c r="D66" s="48"/>
      <c r="E66" s="48"/>
      <c r="F66" s="48"/>
      <c r="G66" s="48"/>
      <c r="H66" s="48"/>
    </row>
    <row r="67" spans="1:8" x14ac:dyDescent="0.2">
      <c r="A67" s="48"/>
      <c r="B67" s="48"/>
      <c r="C67" s="48"/>
      <c r="D67" s="48"/>
      <c r="E67" s="48"/>
      <c r="F67" s="48"/>
      <c r="G67" s="48"/>
      <c r="H67" s="48"/>
    </row>
    <row r="68" spans="1:8" x14ac:dyDescent="0.2">
      <c r="A68" s="48"/>
      <c r="B68" s="48"/>
      <c r="C68" s="48"/>
      <c r="D68" s="48"/>
      <c r="E68" s="48"/>
      <c r="F68" s="48"/>
      <c r="G68" s="48"/>
      <c r="H68" s="48"/>
    </row>
    <row r="69" spans="1:8" x14ac:dyDescent="0.2">
      <c r="A69" s="48"/>
      <c r="B69" s="48"/>
      <c r="C69" s="48"/>
      <c r="D69" s="48"/>
      <c r="E69" s="48"/>
      <c r="F69" s="48"/>
      <c r="G69" s="48"/>
      <c r="H69" s="48"/>
    </row>
  </sheetData>
  <mergeCells count="4">
    <mergeCell ref="A30:A32"/>
    <mergeCell ref="G8:H8"/>
    <mergeCell ref="E8:F8"/>
    <mergeCell ref="A10:A26"/>
  </mergeCells>
  <phoneticPr fontId="4" type="noConversion"/>
  <pageMargins left="0.41" right="0.25" top="1" bottom="1" header="0.5" footer="0.5"/>
  <pageSetup scale="69" orientation="landscape" r:id="rId1"/>
  <headerFooter alignWithMargins="0">
    <oddFooter xml:space="preserve">&amp;L&amp;8 &amp;C&amp;A </oddFooter>
  </headerFooter>
  <rowBreaks count="1" manualBreakCount="1">
    <brk id="23"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R68"/>
  <sheetViews>
    <sheetView workbookViewId="0"/>
  </sheetViews>
  <sheetFormatPr defaultRowHeight="12.75" x14ac:dyDescent="0.2"/>
  <cols>
    <col min="3" max="3" width="13.7109375" customWidth="1"/>
    <col min="4" max="9" width="14.7109375" customWidth="1"/>
    <col min="10" max="10" width="15.7109375" customWidth="1"/>
    <col min="11" max="11" width="22.7109375" customWidth="1"/>
    <col min="12" max="12" width="15" customWidth="1"/>
    <col min="13" max="13" width="16" customWidth="1"/>
    <col min="14" max="14" width="13.85546875" customWidth="1"/>
    <col min="15" max="15" width="14.7109375" customWidth="1"/>
    <col min="16" max="18" width="12.7109375" customWidth="1"/>
  </cols>
  <sheetData>
    <row r="2" spans="1:10" ht="18" x14ac:dyDescent="0.25">
      <c r="A2" s="37" t="s">
        <v>0</v>
      </c>
    </row>
    <row r="3" spans="1:10" ht="18.75" x14ac:dyDescent="0.3">
      <c r="A3" s="37" t="s">
        <v>10</v>
      </c>
    </row>
    <row r="4" spans="1:10" ht="18" x14ac:dyDescent="0.25">
      <c r="A4" s="37"/>
    </row>
    <row r="5" spans="1:10" ht="18" x14ac:dyDescent="0.25">
      <c r="A5" s="37" t="s">
        <v>61</v>
      </c>
    </row>
    <row r="7" spans="1:10" ht="33" customHeight="1" thickBot="1" x14ac:dyDescent="0.25">
      <c r="B7" s="1" t="s">
        <v>9</v>
      </c>
    </row>
    <row r="8" spans="1:10" ht="13.5" thickBot="1" x14ac:dyDescent="0.25">
      <c r="B8" s="206"/>
      <c r="C8" s="207"/>
      <c r="D8" s="207"/>
      <c r="E8" s="488" t="s">
        <v>1</v>
      </c>
      <c r="F8" s="489"/>
      <c r="G8" s="488" t="s">
        <v>2</v>
      </c>
      <c r="H8" s="489"/>
      <c r="I8" s="208"/>
      <c r="J8" s="207"/>
    </row>
    <row r="9" spans="1:10" ht="34.5"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f>'May17-Exh3-TANFU'!D10+'May17-Exh4-TANFR'!D10+'May17-Exh5-ABDU'!D10+'May17-Exh6-ABDR'!D10</f>
        <v>2337532</v>
      </c>
      <c r="E10" s="5">
        <f>F10/D10</f>
        <v>122.41058027868708</v>
      </c>
      <c r="F10" s="6">
        <f>'May17-Exh3-TANFU'!F10+'May17-Exh4-TANFR'!F10+'May17-Exh5-ABDU'!F10+'May17-Exh6-ABDR'!F10</f>
        <v>286138648.53999996</v>
      </c>
      <c r="G10" s="5">
        <f>H10/D10</f>
        <v>170.69260356649664</v>
      </c>
      <c r="H10" s="56">
        <v>398999423</v>
      </c>
      <c r="I10" s="7">
        <f t="shared" ref="I10:I32" si="0">F10-H10</f>
        <v>-112860774.46000004</v>
      </c>
      <c r="J10" s="8">
        <f>I10</f>
        <v>-112860774.46000004</v>
      </c>
    </row>
    <row r="11" spans="1:10" ht="18" customHeight="1" x14ac:dyDescent="0.2">
      <c r="A11" s="499"/>
      <c r="B11" s="9">
        <v>2</v>
      </c>
      <c r="C11" s="10">
        <v>1997</v>
      </c>
      <c r="D11" s="11">
        <f>'May17-Exh3-TANFU'!D11+'May17-Exh4-TANFR'!D11+'May17-Exh5-ABDU'!D11+'May17-Exh6-ABDR'!D11</f>
        <v>2282744</v>
      </c>
      <c r="E11" s="12">
        <f t="shared" ref="E11:E32" si="1">F11/D11</f>
        <v>130.39395048743265</v>
      </c>
      <c r="F11" s="13">
        <f>'May17-Exh3-TANFU'!F11+'May17-Exh4-TANFR'!F11+'May17-Exh5-ABDU'!F11+'May17-Exh6-ABDR'!F11</f>
        <v>297656008.11148393</v>
      </c>
      <c r="G11" s="12">
        <f t="shared" ref="G11:G32" si="2">H11/D11</f>
        <v>134.54269291694558</v>
      </c>
      <c r="H11" s="13">
        <v>307126525</v>
      </c>
      <c r="I11" s="14">
        <f t="shared" si="0"/>
        <v>-9470516.8885160685</v>
      </c>
      <c r="J11" s="15">
        <f t="shared" ref="J11:J32" si="3">J10+I11</f>
        <v>-122331291.34851611</v>
      </c>
    </row>
    <row r="12" spans="1:10" ht="18" customHeight="1" x14ac:dyDescent="0.2">
      <c r="A12" s="499"/>
      <c r="B12" s="9">
        <v>3</v>
      </c>
      <c r="C12" s="10">
        <v>1998</v>
      </c>
      <c r="D12" s="11">
        <f>'May17-Exh3-TANFU'!D12+'May17-Exh4-TANFR'!D12+'May17-Exh5-ABDU'!D12+'May17-Exh6-ABDR'!D12</f>
        <v>2550505</v>
      </c>
      <c r="E12" s="12">
        <f t="shared" si="1"/>
        <v>138.91572168540822</v>
      </c>
      <c r="F12" s="13">
        <f>'May17-Exh3-TANFU'!F12+'May17-Exh4-TANFR'!F12+'May17-Exh5-ABDU'!F12+'May17-Exh6-ABDR'!F12</f>
        <v>354305242.7372421</v>
      </c>
      <c r="G12" s="12">
        <f t="shared" si="2"/>
        <v>106.61703427360465</v>
      </c>
      <c r="H12" s="13">
        <v>271927279</v>
      </c>
      <c r="I12" s="14">
        <f t="shared" si="0"/>
        <v>82377963.737242103</v>
      </c>
      <c r="J12" s="15">
        <f t="shared" si="3"/>
        <v>-39953327.611274004</v>
      </c>
    </row>
    <row r="13" spans="1:10" ht="18" customHeight="1" x14ac:dyDescent="0.2">
      <c r="A13" s="499"/>
      <c r="B13" s="9">
        <v>4</v>
      </c>
      <c r="C13" s="10">
        <v>1999</v>
      </c>
      <c r="D13" s="11">
        <f>'May17-Exh3-TANFU'!D13+'May17-Exh4-TANFR'!D13+'May17-Exh5-ABDU'!D13+'May17-Exh6-ABDR'!D13</f>
        <v>3201226</v>
      </c>
      <c r="E13" s="12">
        <f t="shared" si="1"/>
        <v>168.75395879876802</v>
      </c>
      <c r="F13" s="13">
        <f>'May17-Exh3-TANFU'!F13+'May17-Exh4-TANFR'!F13+'May17-Exh5-ABDU'!F13+'May17-Exh6-ABDR'!F13</f>
        <v>540219560.50954497</v>
      </c>
      <c r="G13" s="12">
        <f t="shared" si="2"/>
        <v>144.64790052311207</v>
      </c>
      <c r="H13" s="13">
        <v>463050620</v>
      </c>
      <c r="I13" s="14">
        <f t="shared" si="0"/>
        <v>77168940.509544969</v>
      </c>
      <c r="J13" s="15">
        <f t="shared" si="3"/>
        <v>37215612.898270965</v>
      </c>
    </row>
    <row r="14" spans="1:10" ht="18" customHeight="1" x14ac:dyDescent="0.2">
      <c r="A14" s="499"/>
      <c r="B14" s="9">
        <v>5</v>
      </c>
      <c r="C14" s="10">
        <v>2000</v>
      </c>
      <c r="D14" s="11">
        <f>'May17-Exh3-TANFU'!D14+'May17-Exh4-TANFR'!D14+'May17-Exh5-ABDU'!D14+'May17-Exh6-ABDR'!D14</f>
        <v>3496982</v>
      </c>
      <c r="E14" s="12">
        <f t="shared" si="1"/>
        <v>197.53366459539473</v>
      </c>
      <c r="F14" s="13">
        <f>'May17-Exh3-TANFU'!F14+'May17-Exh4-TANFR'!F14+'May17-Exh5-ABDU'!F14+'May17-Exh6-ABDR'!F14</f>
        <v>690771669.48413265</v>
      </c>
      <c r="G14" s="12">
        <f t="shared" si="2"/>
        <v>171.74812423970155</v>
      </c>
      <c r="H14" s="13">
        <v>600600099</v>
      </c>
      <c r="I14" s="14">
        <f t="shared" si="0"/>
        <v>90171570.484132648</v>
      </c>
      <c r="J14" s="15">
        <f t="shared" si="3"/>
        <v>127387183.38240361</v>
      </c>
    </row>
    <row r="15" spans="1:10" ht="18" customHeight="1" x14ac:dyDescent="0.2">
      <c r="A15" s="499"/>
      <c r="B15" s="9">
        <v>6</v>
      </c>
      <c r="C15" s="10">
        <v>2001</v>
      </c>
      <c r="D15" s="11">
        <f>'May17-Exh3-TANFU'!D15+'May17-Exh4-TANFR'!D15+'May17-Exh5-ABDU'!D15+'May17-Exh6-ABDR'!D15</f>
        <v>4513310</v>
      </c>
      <c r="E15" s="12">
        <f t="shared" si="1"/>
        <v>217.40008821737314</v>
      </c>
      <c r="F15" s="13">
        <f>'May17-Exh3-TANFU'!F15+'May17-Exh4-TANFR'!F15+'May17-Exh5-ABDU'!F15+'May17-Exh6-ABDR'!F15</f>
        <v>981193992.15235233</v>
      </c>
      <c r="G15" s="12">
        <f t="shared" si="2"/>
        <v>129.18546321879063</v>
      </c>
      <c r="H15" s="13">
        <v>583054043</v>
      </c>
      <c r="I15" s="14">
        <f t="shared" si="0"/>
        <v>398139949.15235233</v>
      </c>
      <c r="J15" s="15">
        <f t="shared" si="3"/>
        <v>525527132.53475595</v>
      </c>
    </row>
    <row r="16" spans="1:10" ht="18" customHeight="1" x14ac:dyDescent="0.2">
      <c r="A16" s="499"/>
      <c r="B16" s="9">
        <v>7</v>
      </c>
      <c r="C16" s="10">
        <v>2002</v>
      </c>
      <c r="D16" s="11">
        <f>'May17-Exh3-TANFU'!D16+'May17-Exh4-TANFR'!D16+'May17-Exh5-ABDU'!D16+'May17-Exh6-ABDR'!D16</f>
        <v>4823829</v>
      </c>
      <c r="E16" s="12">
        <f t="shared" si="1"/>
        <v>231.18661095585517</v>
      </c>
      <c r="F16" s="13">
        <f>'May17-Exh3-TANFU'!F16+'May17-Exh4-TANFR'!F16+'May17-Exh5-ABDU'!F16+'May17-Exh6-ABDR'!F16</f>
        <v>1115204678.3405719</v>
      </c>
      <c r="G16" s="12">
        <f t="shared" si="2"/>
        <v>176.23294917792484</v>
      </c>
      <c r="H16" s="13">
        <v>850117611</v>
      </c>
      <c r="I16" s="14">
        <f t="shared" si="0"/>
        <v>265087067.34057188</v>
      </c>
      <c r="J16" s="15">
        <f t="shared" si="3"/>
        <v>790614199.87532783</v>
      </c>
    </row>
    <row r="17" spans="1:18" ht="18" customHeight="1" x14ac:dyDescent="0.2">
      <c r="A17" s="499"/>
      <c r="B17" s="16">
        <v>8</v>
      </c>
      <c r="C17" s="17">
        <v>2003</v>
      </c>
      <c r="D17" s="18">
        <f>'May17-Exh3-TANFU'!D17+'May17-Exh4-TANFR'!D17+'May17-Exh5-ABDU'!D17+'May17-Exh6-ABDR'!D17</f>
        <v>4716758</v>
      </c>
      <c r="E17" s="12">
        <f t="shared" si="1"/>
        <v>230.57729632456346</v>
      </c>
      <c r="F17" s="19">
        <f>'May17-Exh3-TANFU'!F17+'May17-Exh4-TANFR'!F17+'May17-Exh5-ABDU'!F17+'May17-Exh6-ABDR'!F17</f>
        <v>1087577307.0572553</v>
      </c>
      <c r="G17" s="20">
        <f t="shared" si="2"/>
        <v>194.44666336496383</v>
      </c>
      <c r="H17" s="19">
        <v>917157855</v>
      </c>
      <c r="I17" s="21">
        <f t="shared" si="0"/>
        <v>170419452.05725527</v>
      </c>
      <c r="J17" s="22">
        <f t="shared" si="3"/>
        <v>961033651.93258309</v>
      </c>
    </row>
    <row r="18" spans="1:18" ht="18" customHeight="1" x14ac:dyDescent="0.2">
      <c r="A18" s="499"/>
      <c r="B18" s="23">
        <v>9</v>
      </c>
      <c r="C18" s="24">
        <v>2004</v>
      </c>
      <c r="D18" s="25">
        <f>'May17-Exh3-TANFU'!D18+'May17-Exh4-TANFR'!D18+'May17-Exh5-ABDU'!D18+'May17-Exh6-ABDR'!D18</f>
        <v>4886804</v>
      </c>
      <c r="E18" s="26">
        <f t="shared" si="1"/>
        <v>245.50337328713951</v>
      </c>
      <c r="F18" s="27">
        <f>'May17-Exh3-TANFU'!F18+'May17-Exh4-TANFR'!F18+'May17-Exh5-ABDU'!F18+'May17-Exh6-ABDR'!F18</f>
        <v>1199726866.5930865</v>
      </c>
      <c r="G18" s="26">
        <f t="shared" si="2"/>
        <v>181.28186745365682</v>
      </c>
      <c r="H18" s="27">
        <f>'May17-Exh3-TANFU'!H18+'May17-Exh4-TANFR'!H18+'May17-Exh5-ABDU'!H18+'May17-Exh6-ABDR'!H18+'May17-Exh7-NDWA_All_2013'!H18+'May17-Exh9-WDA_All_2013'!H18+'May17-Exh11-TEFRA'!H18+'May17-Exh12-College_All_2013'!H18</f>
        <v>885888955</v>
      </c>
      <c r="I18" s="28">
        <f t="shared" si="0"/>
        <v>313837911.59308648</v>
      </c>
      <c r="J18" s="29">
        <f t="shared" si="3"/>
        <v>1274871563.5256696</v>
      </c>
    </row>
    <row r="19" spans="1:18" ht="18" customHeight="1" x14ac:dyDescent="0.2">
      <c r="A19" s="499"/>
      <c r="B19" s="16">
        <v>10</v>
      </c>
      <c r="C19" s="17">
        <v>2005</v>
      </c>
      <c r="D19" s="18">
        <f>'May17-Exh3-TANFU'!D19+'May17-Exh4-TANFR'!D19+'May17-Exh5-ABDU'!D19+'May17-Exh6-ABDR'!D19</f>
        <v>5038078</v>
      </c>
      <c r="E19" s="20">
        <f t="shared" si="1"/>
        <v>261.38121401196702</v>
      </c>
      <c r="F19" s="19">
        <f>'May17-Exh3-TANFU'!F19+'May17-Exh4-TANFR'!F19+'May17-Exh5-ABDU'!F19+'May17-Exh6-ABDR'!F19</f>
        <v>1316858943.9269826</v>
      </c>
      <c r="G19" s="26">
        <f t="shared" si="2"/>
        <v>222.43344505583281</v>
      </c>
      <c r="H19" s="27">
        <f>'May17-Exh3-TANFU'!H19+'May17-Exh4-TANFR'!H19+'May17-Exh5-ABDU'!H19+'May17-Exh6-ABDR'!H19+'May17-Exh7-NDWA_All_2013'!H19+'May17-Exh9-WDA_All_2013'!H19+'May17-Exh11-TEFRA'!H19+'May17-Exh12-College_All_2013'!H19</f>
        <v>1120637046</v>
      </c>
      <c r="I19" s="21">
        <f t="shared" si="0"/>
        <v>196221897.92698264</v>
      </c>
      <c r="J19" s="22">
        <f t="shared" si="3"/>
        <v>1471093461.4526522</v>
      </c>
    </row>
    <row r="20" spans="1:18" ht="18" customHeight="1" x14ac:dyDescent="0.2">
      <c r="A20" s="499"/>
      <c r="B20" s="35">
        <v>11</v>
      </c>
      <c r="C20" s="17">
        <v>2006</v>
      </c>
      <c r="D20" s="18">
        <f>'May17-Exh3-TANFU'!D20+'May17-Exh4-TANFR'!D20+'May17-Exh5-ABDU'!D20+'May17-Exh6-ABDR'!D20</f>
        <v>5180782</v>
      </c>
      <c r="E20" s="20">
        <f t="shared" si="1"/>
        <v>277.35354049536352</v>
      </c>
      <c r="F20" s="19">
        <f>'May17-Exh3-TANFU'!F20+'May17-Exh4-TANFR'!F20+'May17-Exh5-ABDU'!F20+'May17-Exh6-ABDR'!F20</f>
        <v>1436908230.2346504</v>
      </c>
      <c r="G20" s="20">
        <f t="shared" si="2"/>
        <v>264.23938799200585</v>
      </c>
      <c r="H20" s="19">
        <f>'May17-Exh3-TANFU'!H20+'May17-Exh4-TANFR'!H20+'May17-Exh5-ABDU'!H20+'May17-Exh6-ABDR'!H20+'May17-Exh7-NDWA_All_2013'!H20+'May17-Exh9-WDA_All_2013'!H20+'May17-Exh11-TEFRA'!H20+'May17-Exh12-College_All_2013'!H20</f>
        <v>1368966665</v>
      </c>
      <c r="I20" s="21">
        <f t="shared" si="0"/>
        <v>67941565.234650373</v>
      </c>
      <c r="J20" s="36">
        <f t="shared" si="3"/>
        <v>1539035026.6873026</v>
      </c>
    </row>
    <row r="21" spans="1:18" ht="18" customHeight="1" x14ac:dyDescent="0.2">
      <c r="A21" s="499"/>
      <c r="B21" s="33">
        <v>12</v>
      </c>
      <c r="C21" s="52">
        <v>2007</v>
      </c>
      <c r="D21" s="25">
        <f>'May17-Exh3-TANFU'!D21+'May17-Exh4-TANFR'!D21+'May17-Exh5-ABDU'!D21+'May17-Exh6-ABDR'!D21</f>
        <v>5451378</v>
      </c>
      <c r="E21" s="26">
        <f t="shared" si="1"/>
        <v>290.30988939677269</v>
      </c>
      <c r="F21" s="27">
        <f>'May17-Exh3-TANFU'!F21+'May17-Exh4-TANFR'!F21+'May17-Exh5-ABDU'!F21+'May17-Exh6-ABDR'!F21</f>
        <v>1582588944.24</v>
      </c>
      <c r="G21" s="26">
        <f t="shared" si="2"/>
        <v>271.9559074788063</v>
      </c>
      <c r="H21" s="27">
        <f>'May17-Exh3-TANFU'!H21+'May17-Exh4-TANFR'!H21+'May17-Exh5-ABDU'!H21+'May17-Exh6-ABDR'!H21+'May17-Exh7-NDWA_All_2013'!H21+'May17-Exh9-WDA_All_2013'!H21+'May17-Exh11-TEFRA'!H21+'May17-Exh12-College_All_2013'!H21</f>
        <v>1482534451</v>
      </c>
      <c r="I21" s="28">
        <f t="shared" si="0"/>
        <v>100054493.24000001</v>
      </c>
      <c r="J21" s="34">
        <f t="shared" si="3"/>
        <v>1639089519.9273026</v>
      </c>
    </row>
    <row r="22" spans="1:18" ht="18" customHeight="1" x14ac:dyDescent="0.2">
      <c r="A22" s="499"/>
      <c r="B22" s="35">
        <v>13</v>
      </c>
      <c r="C22" s="59">
        <v>2008</v>
      </c>
      <c r="D22" s="18">
        <f>'May17-Exh3-TANFU'!D22+'May17-Exh4-TANFR'!D22+'May17-Exh5-ABDU'!D22+'May17-Exh6-ABDR'!D22</f>
        <v>5386004</v>
      </c>
      <c r="E22" s="20">
        <f t="shared" si="1"/>
        <v>308.25214299289104</v>
      </c>
      <c r="F22" s="19">
        <f>'May17-Exh3-TANFU'!F22+'May17-Exh4-TANFR'!F22+'May17-Exh5-ABDU'!F22+'May17-Exh6-ABDR'!F22</f>
        <v>1660247275.1682832</v>
      </c>
      <c r="G22" s="20">
        <f t="shared" si="2"/>
        <v>300.7881999344969</v>
      </c>
      <c r="H22" s="19">
        <f>'May17-Exh3-TANFU'!H22+'May17-Exh4-TANFR'!H22+'May17-Exh5-ABDU'!H22+'May17-Exh6-ABDR'!H22+'May17-Exh7-NDWA_All_2013'!H22+'May17-Exh9-WDA_All_2013'!H22+'May17-Exh11-TEFRA'!H22+'May17-Exh12-College_All_2013'!H22</f>
        <v>1620046448</v>
      </c>
      <c r="I22" s="21">
        <f t="shared" si="0"/>
        <v>40200827.168283224</v>
      </c>
      <c r="J22" s="36">
        <f t="shared" si="3"/>
        <v>1679290347.0955858</v>
      </c>
    </row>
    <row r="23" spans="1:18" ht="18" customHeight="1" x14ac:dyDescent="0.2">
      <c r="A23" s="499"/>
      <c r="B23" s="16">
        <v>14</v>
      </c>
      <c r="C23" s="59">
        <v>2009</v>
      </c>
      <c r="D23" s="18">
        <f>'May17-Exh3-TANFU'!D23+'May17-Exh4-TANFR'!D23+'May17-Exh5-ABDU'!D23+'May17-Exh6-ABDR'!D23</f>
        <v>5839782</v>
      </c>
      <c r="E23" s="20">
        <f t="shared" si="1"/>
        <v>322.58968282716978</v>
      </c>
      <c r="F23" s="19">
        <f>'May17-Exh3-TANFU'!F23+'May17-Exh4-TANFR'!F23+'May17-Exh5-ABDU'!F23+'May17-Exh6-ABDR'!F23</f>
        <v>1883853423.1598151</v>
      </c>
      <c r="G23" s="20">
        <f t="shared" si="2"/>
        <v>321.57565967359739</v>
      </c>
      <c r="H23" s="19">
        <f>'May17-Exh3-TANFU'!H23+'May17-Exh4-TANFR'!H23+'May17-Exh5-ABDU'!H23+'May17-Exh6-ABDR'!H23+'May17-Exh7-NDWA_All_2013'!H23+'May17-Exh9-WDA_All_2013'!H23+'May17-Exh11-TEFRA'!H23+'May17-Exh12-College_All_2013'!H23</f>
        <v>1877931749</v>
      </c>
      <c r="I23" s="21">
        <f t="shared" si="0"/>
        <v>5921674.159815073</v>
      </c>
      <c r="J23" s="22">
        <f t="shared" si="3"/>
        <v>1685212021.2554009</v>
      </c>
    </row>
    <row r="24" spans="1:18" ht="18" customHeight="1" x14ac:dyDescent="0.2">
      <c r="A24" s="499"/>
      <c r="B24" s="35">
        <v>15</v>
      </c>
      <c r="C24" s="17">
        <v>2010</v>
      </c>
      <c r="D24" s="18">
        <f>'May17-Exh3-TANFU'!D24++'May17-Exh4-TANFR'!D24+'May17-Exh5-ABDU'!D24+'May17-Exh6-ABDR'!D24</f>
        <v>6367794</v>
      </c>
      <c r="E24" s="20">
        <f t="shared" si="1"/>
        <v>338.4042885437276</v>
      </c>
      <c r="F24" s="19">
        <f>'May17-Exh3-TANFU'!F24+'May17-Exh4-TANFR'!F24+'May17-Exh5-ABDU'!F24+'May17-Exh6-ABDR'!F24</f>
        <v>2154888798.1630173</v>
      </c>
      <c r="G24" s="20">
        <f t="shared" si="2"/>
        <v>313.40370621285803</v>
      </c>
      <c r="H24" s="19">
        <f>'May17-Exh3-TANFU'!H24+'May17-Exh4-TANFR'!H24+'May17-Exh5-ABDU'!H24+'May17-Exh6-ABDR'!H24+'May17-Exh7-NDWA_All_2013'!H24+'May17-Exh9-WDA_All_2013'!H24+'May17-Exh11-TEFRA'!H24+'May17-Exh12-College_All_2013'!H24+'May17-Exh22-HAN'!H24</f>
        <v>1995690240</v>
      </c>
      <c r="I24" s="21">
        <f t="shared" si="0"/>
        <v>159198558.16301727</v>
      </c>
      <c r="J24" s="36">
        <f t="shared" si="3"/>
        <v>1844410579.4184182</v>
      </c>
    </row>
    <row r="25" spans="1:18" s="48" customFormat="1" ht="18" customHeight="1" x14ac:dyDescent="0.2">
      <c r="A25" s="499"/>
      <c r="B25" s="38">
        <v>16</v>
      </c>
      <c r="C25" s="92">
        <v>2011</v>
      </c>
      <c r="D25" s="93">
        <f>'May17-Exh3-TANFU'!D25++'May17-Exh4-TANFR'!D25+'May17-Exh5-ABDU'!D25+'May17-Exh6-ABDR'!D25</f>
        <v>6420012</v>
      </c>
      <c r="E25" s="94">
        <f t="shared" si="1"/>
        <v>357.87867380055974</v>
      </c>
      <c r="F25" s="95">
        <f>'May17-Exh3-TANFU'!F25+'May17-Exh4-TANFR'!F25+'May17-Exh5-ABDU'!F25+'May17-Exh6-ABDR'!F25</f>
        <v>2297585380.343679</v>
      </c>
      <c r="G25" s="94">
        <f t="shared" si="2"/>
        <v>329.92722777932505</v>
      </c>
      <c r="H25" s="95">
        <f>'May17-Exh3-TANFU'!H25+'May17-Exh4-TANFR'!H25+'May17-Exh5-ABDU'!H25+'May17-Exh6-ABDR'!H25+'May17-Exh7-NDWA_All_2013'!H25+'May17-Exh9-WDA_All_2013'!H25+'May17-Exh11-TEFRA'!H25+'May17-Exh12-College_All_2013'!H25+'May17-Exh22-HAN'!H25</f>
        <v>2118136761.4700003</v>
      </c>
      <c r="I25" s="96">
        <f t="shared" si="0"/>
        <v>179448618.87367868</v>
      </c>
      <c r="J25" s="39">
        <f t="shared" si="3"/>
        <v>2023859198.2920969</v>
      </c>
      <c r="L25"/>
      <c r="M25"/>
      <c r="N25"/>
      <c r="P25"/>
      <c r="Q25"/>
      <c r="R25"/>
    </row>
    <row r="26" spans="1:18" s="48" customFormat="1" ht="18" customHeight="1" thickBot="1" x14ac:dyDescent="0.4">
      <c r="A26" s="499"/>
      <c r="B26" s="141">
        <v>17</v>
      </c>
      <c r="C26" s="142">
        <v>2012</v>
      </c>
      <c r="D26" s="143">
        <f>'May17-Exh3-TANFU'!D26+'May17-Exh4-TANFR'!D26+'May17-Exh5-ABDU'!D26+'May17-Exh6-ABDR'!D26</f>
        <v>6819943</v>
      </c>
      <c r="E26" s="144">
        <f t="shared" si="1"/>
        <v>372.94517456550136</v>
      </c>
      <c r="F26" s="145">
        <f>'May17-Exh3-TANFU'!F26+'May17-Exh4-TANFR'!F26+'May17-Exh5-ABDU'!F26+'May17-Exh6-ABDR'!F26</f>
        <v>2543464832.6617689</v>
      </c>
      <c r="G26" s="144">
        <f t="shared" si="2"/>
        <v>326.37808351184168</v>
      </c>
      <c r="H26" s="145">
        <f>'May17-Exh3-TANFU'!H26+'May17-Exh4-TANFR'!H26+'May17-Exh5-ABDU'!H26+'May17-Exh6-ABDR'!H26+'May17-Exh7-NDWA_All_2013'!H26+'May17-Exh9-WDA_All_2013'!H26+'May17-Exh11-TEFRA'!H26+'May17-Exh12-College_All_2013'!H26+'May17-Exh22-HAN'!H26</f>
        <v>2225879926</v>
      </c>
      <c r="I26" s="146">
        <f t="shared" si="0"/>
        <v>317584906.66176891</v>
      </c>
      <c r="J26" s="147">
        <f t="shared" si="3"/>
        <v>2341444104.953866</v>
      </c>
      <c r="L26"/>
      <c r="M26"/>
      <c r="N26"/>
      <c r="O26" s="100"/>
      <c r="P26"/>
      <c r="Q26"/>
      <c r="R26"/>
    </row>
    <row r="27" spans="1:18" s="48" customFormat="1" ht="30" customHeight="1" x14ac:dyDescent="0.35">
      <c r="A27" s="135"/>
      <c r="B27" s="152">
        <v>18</v>
      </c>
      <c r="C27" s="153">
        <v>2013</v>
      </c>
      <c r="D27" s="154">
        <f>'May17-Exh3-TANFU'!D27+'May17-Exh4-TANFR'!D27+'May17-Exh5-ABDU'!D27+'May17-Exh6-ABDR'!D27</f>
        <v>7011670</v>
      </c>
      <c r="E27" s="128">
        <f t="shared" si="1"/>
        <v>389.10677117291601</v>
      </c>
      <c r="F27" s="155">
        <f>'May17-Exh3-TANFU'!F27+'May17-Exh4-TANFR'!F27+'May17-Exh5-ABDU'!F27+'May17-Exh6-ABDR'!F27</f>
        <v>2728288274.23</v>
      </c>
      <c r="G27" s="128">
        <f t="shared" si="2"/>
        <v>330.46999758973254</v>
      </c>
      <c r="H27" s="155">
        <f>'May17-Exh3-TANFU'!H27+'May17-Exh4-TANFR'!H27+'May17-Exh5-ABDU'!H27+'May17-Exh6-ABDR'!H27+'May17-Exh7-NDWA_All_2013'!H27+'May17-Exh9-WDA_All_2013'!H27+'May17-Exh11-TEFRA'!H27+'May17-Exh12-College_All_2013'!H27+'May17-Exh22-HAN'!H27</f>
        <v>2317146568</v>
      </c>
      <c r="I27" s="156">
        <f t="shared" si="0"/>
        <v>411141706.23000002</v>
      </c>
      <c r="J27" s="157">
        <f t="shared" si="3"/>
        <v>2752585811.183866</v>
      </c>
      <c r="L27"/>
      <c r="M27"/>
      <c r="N27"/>
      <c r="O27" s="100"/>
      <c r="P27"/>
      <c r="Q27"/>
      <c r="R27"/>
    </row>
    <row r="28" spans="1:18" s="48" customFormat="1" ht="30" customHeight="1" x14ac:dyDescent="0.35">
      <c r="A28" s="135"/>
      <c r="B28" s="16">
        <v>19</v>
      </c>
      <c r="C28" s="59">
        <v>2014</v>
      </c>
      <c r="D28" s="18">
        <f>'May17-Exh3-TANFU'!D28+'May17-Exh4-TANFR'!D28+'May17-Exh5-ABDU'!D28+'May17-Exh6-ABDR'!D28</f>
        <v>7403764</v>
      </c>
      <c r="E28" s="20">
        <f t="shared" si="1"/>
        <v>403.10336267336453</v>
      </c>
      <c r="F28" s="19">
        <f>'May17-Exh3-TANFU'!F28+'May17-Exh4-TANFR'!F28+'May17-Exh5-ABDU'!F28+'May17-Exh6-ABDR'!F28</f>
        <v>2984482164.8400002</v>
      </c>
      <c r="G28" s="20">
        <f t="shared" si="2"/>
        <v>318.02182619543248</v>
      </c>
      <c r="H28" s="19">
        <f>'May17-Exh3-TANFU'!H28+'May17-Exh4-TANFR'!H28+'May17-Exh5-ABDU'!H28+'May17-Exh6-ABDR'!H28+'May17-Exh8-NDWA_ESI_2014'!H28+'May17-Exh17-NDWA_IP_2014'!H28+'May17-Exh10-WDA_ESI_2014'!H28+'May17-Exh18-WDA_IP_2014'!H28+'May17-Exh11-TEFRA'!H28+'May17-Exh13-College_ESI_2014'!H28+'May17-Exh19-College_IP_2014'!H28+'May17-Exh22-HAN'!H28</f>
        <v>2354558548</v>
      </c>
      <c r="I28" s="21">
        <f t="shared" si="0"/>
        <v>629923616.84000015</v>
      </c>
      <c r="J28" s="22">
        <f t="shared" si="3"/>
        <v>3382509428.0238662</v>
      </c>
      <c r="L28"/>
      <c r="M28"/>
      <c r="N28"/>
      <c r="O28" s="100"/>
      <c r="P28"/>
      <c r="Q28"/>
      <c r="R28"/>
    </row>
    <row r="29" spans="1:18" s="48" customFormat="1" ht="30" customHeight="1" thickBot="1" x14ac:dyDescent="0.4">
      <c r="A29" s="136"/>
      <c r="B29" s="134">
        <v>20</v>
      </c>
      <c r="C29" s="139">
        <v>2015</v>
      </c>
      <c r="D29" s="93">
        <f>'May17-Exh3-TANFU'!D29+'May17-Exh4-TANFR'!D29+'May17-Exh5-ABDU'!D29+'May17-Exh6-ABDR'!D29</f>
        <v>7559632</v>
      </c>
      <c r="E29" s="94">
        <f t="shared" si="1"/>
        <v>418.55007874721946</v>
      </c>
      <c r="F29" s="95">
        <f>'May17-Exh3-TANFU'!F29+'May17-Exh4-TANFR'!F29+'May17-Exh5-ABDU'!F29+'May17-Exh6-ABDR'!F29</f>
        <v>3164084568.9000001</v>
      </c>
      <c r="G29" s="94">
        <f t="shared" si="2"/>
        <v>311.71125261123819</v>
      </c>
      <c r="H29" s="95">
        <f>'May17-Exh3-TANFU'!H29+'May17-Exh4-TANFR'!H29+'May17-Exh5-ABDU'!H29+'May17-Exh6-ABDR'!H29+'May17-Exh8-NDWA_ESI_2014'!H29+'May17-Exh17-NDWA_IP_2014'!H29+'May17-Exh10-WDA_ESI_2014'!H29+'May17-Exh18-WDA_IP_2014'!H29+'May17-Exh11-TEFRA'!H29+'May17-Exh13-College_ESI_2014'!H29+'May17-Exh19-College_IP_2014'!H29+'May17-Exh22-HAN'!H29</f>
        <v>2356422360</v>
      </c>
      <c r="I29" s="96">
        <f t="shared" si="0"/>
        <v>807662208.9000001</v>
      </c>
      <c r="J29" s="101">
        <f t="shared" si="3"/>
        <v>4190171636.9238663</v>
      </c>
      <c r="L29"/>
      <c r="M29"/>
      <c r="N29"/>
      <c r="O29" s="100"/>
      <c r="P29"/>
      <c r="Q29"/>
      <c r="R29"/>
    </row>
    <row r="30" spans="1:18" ht="30" customHeight="1" x14ac:dyDescent="0.2">
      <c r="A30" s="495" t="s">
        <v>34</v>
      </c>
      <c r="B30" s="61">
        <v>21</v>
      </c>
      <c r="C30" s="62">
        <v>2016</v>
      </c>
      <c r="D30" s="63">
        <f>'May17-Exh3-TANFU'!D30+'May17-Exh4-TANFR'!D30+'May17-Exh5-ABDU'!D30+'May17-Exh6-ABDR'!D30</f>
        <v>7396313</v>
      </c>
      <c r="E30" s="64">
        <f t="shared" si="1"/>
        <v>438.83678256585409</v>
      </c>
      <c r="F30" s="65">
        <f>'May17-Exh3-TANFU'!F30+'May17-Exh4-TANFR'!F30+'May17-Exh5-ABDU'!F30+'May17-Exh6-ABDR'!F30</f>
        <v>3245774199.77</v>
      </c>
      <c r="G30" s="64">
        <f t="shared" si="2"/>
        <v>307.23574367390887</v>
      </c>
      <c r="H30" s="65">
        <f>'May17-Exh3-TANFU'!H30+'May17-Exh4-TANFR'!H30+'May17-Exh5-ABDU'!H30+'May17-Exh6-ABDR'!H30+'May17-Exh8-NDWA_ESI_2014'!H30+'May17-Exh17-NDWA_IP_2014'!H30+'May17-Exh10-WDA_ESI_2014'!H30+'May17-Exh18-WDA_IP_2014'!H30+'May17-Exh11-TEFRA'!H30+'May17-Exh13-College_ESI_2014'!H30+'May17-Exh19-College_IP_2014'!H30+'May17-Exh22-HAN'!H30</f>
        <v>2272411725</v>
      </c>
      <c r="I30" s="66">
        <f t="shared" si="0"/>
        <v>973362474.76999998</v>
      </c>
      <c r="J30" s="67">
        <f t="shared" si="3"/>
        <v>5163534111.6938667</v>
      </c>
    </row>
    <row r="31" spans="1:18" ht="30" customHeight="1" x14ac:dyDescent="0.2">
      <c r="A31" s="496"/>
      <c r="B31" s="74">
        <v>22</v>
      </c>
      <c r="C31" s="10" t="s">
        <v>49</v>
      </c>
      <c r="D31" s="11">
        <f>'May17-Exh3-TANFU'!D31+'May17-Exh4-TANFR'!D31+'May17-Exh5-ABDU'!D31+'May17-Exh6-ABDR'!D31</f>
        <v>7584807.1201854013</v>
      </c>
      <c r="E31" s="46">
        <f t="shared" si="1"/>
        <v>457.13932168060882</v>
      </c>
      <c r="F31" s="13">
        <f>'May17-Exh3-TANFU'!F31+'May17-Exh4-TANFR'!F31+'May17-Exh5-ABDU'!F31+'May17-Exh6-ABDR'!F31</f>
        <v>3467313581.9998064</v>
      </c>
      <c r="G31" s="12">
        <f t="shared" si="2"/>
        <v>320.12986231501583</v>
      </c>
      <c r="H31" s="13">
        <f>'May17-Exh3-TANFU'!H31+'May17-Exh4-TANFR'!H31+'May17-Exh5-ABDU'!H31+'May17-Exh6-ABDR'!H31+'May17-Exh8-NDWA_ESI_2014'!H31+'May17-Exh17-NDWA_IP_2014'!H31+'May17-Exh10-WDA_ESI_2014'!H31+'May17-Exh18-WDA_IP_2014'!H31+'May17-Exh11-TEFRA'!H31+'May17-Exh13-College_ESI_2014'!H31+'May17-Exh19-College_IP_2014'!H31+'May17-Exh22-HAN'!H31+'May17-Exh16-SCI'!H31</f>
        <v>2428123259.0709043</v>
      </c>
      <c r="I31" s="13">
        <f t="shared" si="0"/>
        <v>1039190322.9289021</v>
      </c>
      <c r="J31" s="78">
        <f t="shared" si="3"/>
        <v>6202724434.6227684</v>
      </c>
    </row>
    <row r="32" spans="1:18" ht="30" customHeight="1" thickBot="1" x14ac:dyDescent="0.25">
      <c r="A32" s="497"/>
      <c r="B32" s="68">
        <v>23</v>
      </c>
      <c r="C32" s="70" t="s">
        <v>50</v>
      </c>
      <c r="D32" s="75">
        <f>'May17-Exh3-TANFU'!D33+'May17-Exh4-TANFR'!D33+'May17-Exh5-ABDU'!D33+'May17-Exh6-ABDR'!D33</f>
        <v>7778562.1904950151</v>
      </c>
      <c r="E32" s="79">
        <f t="shared" si="1"/>
        <v>319.48464010536622</v>
      </c>
      <c r="F32" s="76">
        <f>'May17-Exh3-TANFU'!F33+'May17-Exh4-TANFR'!F33+'May17-Exh5-ABDU'!F33+'May17-Exh6-ABDR'!F33</f>
        <v>2485131141.9675093</v>
      </c>
      <c r="G32" s="71">
        <f t="shared" si="2"/>
        <v>333.61087155894791</v>
      </c>
      <c r="H32" s="76">
        <f>'May17-Exh3-TANFU'!H33+'May17-Exh4-TANFR'!H33+'May17-Exh5-ABDU'!H33+'May17-Exh6-ABDR'!H33+'May17-Exh8-NDWA_ESI_2014'!H32+'May17-Exh17-NDWA_IP_2014'!H32+'May17-Exh10-WDA_ESI_2014'!H32+'May17-Exh18-WDA_IP_2014'!H32+'May17-Exh11-TEFRA'!H32+'May17-Exh13-College_ESI_2014'!H32+'May17-Exh19-College_IP_2014'!H32+'May17-Exh22-HAN'!H32+'May17-Exh16-SCI'!H32</f>
        <v>2595012911.8465209</v>
      </c>
      <c r="I32" s="76">
        <f t="shared" si="0"/>
        <v>-109881769.87901163</v>
      </c>
      <c r="J32" s="77">
        <f t="shared" si="3"/>
        <v>6092842664.7437572</v>
      </c>
    </row>
    <row r="33" spans="1:10" ht="3.95" customHeight="1" x14ac:dyDescent="0.2"/>
    <row r="34" spans="1:10" x14ac:dyDescent="0.2">
      <c r="A34" s="48"/>
      <c r="B34" s="48"/>
      <c r="C34" s="48"/>
      <c r="D34" s="450"/>
      <c r="E34" s="450"/>
      <c r="F34" s="450"/>
      <c r="G34" s="451"/>
      <c r="H34" s="450"/>
      <c r="I34" s="450"/>
      <c r="J34" s="450"/>
    </row>
    <row r="35" spans="1:10" x14ac:dyDescent="0.2">
      <c r="A35" s="48"/>
      <c r="B35" s="48"/>
      <c r="C35" s="48"/>
      <c r="D35" s="450"/>
      <c r="E35" s="450"/>
      <c r="F35" s="450"/>
      <c r="G35" s="451"/>
      <c r="H35" s="450"/>
      <c r="I35" s="450"/>
      <c r="J35" s="450"/>
    </row>
    <row r="36" spans="1:10" x14ac:dyDescent="0.2">
      <c r="A36" s="48"/>
      <c r="B36" s="48"/>
      <c r="C36" s="48"/>
      <c r="D36" s="450"/>
      <c r="E36" s="450"/>
      <c r="F36" s="450"/>
      <c r="G36" s="451"/>
      <c r="H36" s="450"/>
      <c r="I36" s="450"/>
      <c r="J36" s="450"/>
    </row>
    <row r="37" spans="1:10" x14ac:dyDescent="0.2">
      <c r="A37" s="48"/>
      <c r="B37" s="48"/>
      <c r="C37" s="48"/>
      <c r="D37" s="450"/>
      <c r="E37" s="450"/>
      <c r="F37" s="450"/>
      <c r="G37" s="451"/>
      <c r="H37" s="450"/>
      <c r="I37" s="450"/>
      <c r="J37" s="450"/>
    </row>
    <row r="38" spans="1:10" x14ac:dyDescent="0.2">
      <c r="A38" s="48"/>
      <c r="B38" s="48"/>
      <c r="C38" s="48"/>
      <c r="D38" s="450"/>
      <c r="E38" s="450"/>
      <c r="F38" s="450"/>
      <c r="G38" s="451"/>
      <c r="H38" s="450"/>
      <c r="I38" s="450"/>
      <c r="J38" s="450"/>
    </row>
    <row r="39" spans="1:10" x14ac:dyDescent="0.2">
      <c r="A39" s="48"/>
      <c r="B39" s="48"/>
      <c r="C39" s="48"/>
      <c r="D39" s="450"/>
      <c r="E39" s="450"/>
      <c r="F39" s="450"/>
      <c r="G39" s="451"/>
      <c r="H39" s="450"/>
      <c r="I39" s="450"/>
      <c r="J39" s="450"/>
    </row>
    <row r="40" spans="1:10" x14ac:dyDescent="0.2">
      <c r="A40" s="48"/>
      <c r="B40" s="48"/>
      <c r="C40" s="48"/>
      <c r="D40" s="450"/>
      <c r="E40" s="450"/>
      <c r="F40" s="450"/>
      <c r="G40" s="451"/>
      <c r="H40" s="450"/>
      <c r="I40" s="450"/>
      <c r="J40" s="450"/>
    </row>
    <row r="41" spans="1:10" x14ac:dyDescent="0.2">
      <c r="A41" s="48"/>
      <c r="B41" s="48"/>
      <c r="C41" s="48"/>
      <c r="D41" s="48"/>
      <c r="E41" s="48"/>
      <c r="F41" s="48"/>
      <c r="G41" s="48"/>
      <c r="H41" s="48"/>
      <c r="I41" s="48"/>
      <c r="J41" s="48"/>
    </row>
    <row r="42" spans="1:10" x14ac:dyDescent="0.2">
      <c r="A42" s="48"/>
      <c r="B42" s="48"/>
      <c r="C42" s="48"/>
      <c r="D42" s="48"/>
      <c r="E42" s="48"/>
      <c r="F42" s="48"/>
      <c r="G42" s="48"/>
      <c r="H42" s="48"/>
      <c r="I42" s="48"/>
      <c r="J42" s="48"/>
    </row>
    <row r="43" spans="1:10" x14ac:dyDescent="0.2">
      <c r="A43" s="48"/>
      <c r="B43" s="48"/>
      <c r="C43" s="48"/>
      <c r="D43" s="48"/>
      <c r="E43" s="48"/>
      <c r="F43" s="48"/>
      <c r="G43" s="48"/>
      <c r="H43" s="48"/>
      <c r="I43" s="48"/>
      <c r="J43" s="48"/>
    </row>
    <row r="44" spans="1:10" x14ac:dyDescent="0.2">
      <c r="A44" s="48"/>
      <c r="B44" s="48"/>
      <c r="C44" s="48"/>
      <c r="D44" s="48"/>
      <c r="E44" s="48"/>
      <c r="F44" s="48"/>
      <c r="G44" s="48"/>
      <c r="H44" s="48"/>
      <c r="I44" s="48"/>
      <c r="J44" s="48"/>
    </row>
    <row r="45" spans="1:10" x14ac:dyDescent="0.2">
      <c r="A45" s="48"/>
      <c r="B45" s="48"/>
      <c r="C45" s="48"/>
      <c r="D45" s="48"/>
      <c r="E45" s="48"/>
      <c r="F45" s="48"/>
      <c r="G45" s="48"/>
      <c r="H45" s="48"/>
      <c r="I45" s="48"/>
      <c r="J45" s="48"/>
    </row>
    <row r="46" spans="1:10" x14ac:dyDescent="0.2">
      <c r="A46" s="48"/>
      <c r="B46" s="48"/>
      <c r="C46" s="48"/>
      <c r="D46" s="48"/>
      <c r="E46" s="48"/>
      <c r="F46" s="48"/>
      <c r="G46" s="48"/>
      <c r="H46" s="48"/>
      <c r="I46" s="48"/>
      <c r="J46" s="48"/>
    </row>
    <row r="47" spans="1:10" x14ac:dyDescent="0.2">
      <c r="A47" s="48"/>
      <c r="B47" s="48"/>
      <c r="C47" s="48"/>
      <c r="D47" s="48"/>
      <c r="E47" s="48"/>
      <c r="F47" s="48"/>
      <c r="G47" s="48"/>
      <c r="H47" s="48"/>
      <c r="I47" s="48"/>
      <c r="J47" s="48"/>
    </row>
    <row r="48" spans="1:10" x14ac:dyDescent="0.2">
      <c r="A48" s="48"/>
      <c r="B48" s="48"/>
      <c r="C48" s="48"/>
      <c r="D48" s="48"/>
      <c r="E48" s="48"/>
      <c r="F48" s="48"/>
      <c r="G48" s="48"/>
    </row>
    <row r="49" spans="1:8" x14ac:dyDescent="0.2">
      <c r="A49" s="48"/>
      <c r="B49" s="48"/>
      <c r="C49" s="48"/>
      <c r="D49" s="48"/>
      <c r="E49" s="48"/>
      <c r="F49" s="48"/>
      <c r="G49" s="48"/>
    </row>
    <row r="50" spans="1:8" x14ac:dyDescent="0.2">
      <c r="A50" s="48"/>
      <c r="B50" s="48"/>
      <c r="C50" s="48"/>
      <c r="D50" s="48"/>
      <c r="E50" s="48"/>
      <c r="F50" s="48"/>
      <c r="G50" s="48"/>
    </row>
    <row r="51" spans="1:8" x14ac:dyDescent="0.2">
      <c r="A51" s="48"/>
      <c r="B51" s="48"/>
      <c r="C51" s="48"/>
      <c r="D51" s="48"/>
      <c r="E51" s="48"/>
      <c r="F51" s="48"/>
      <c r="G51" s="48"/>
    </row>
    <row r="52" spans="1:8" x14ac:dyDescent="0.2">
      <c r="A52" s="48"/>
      <c r="B52" s="48"/>
      <c r="C52" s="48"/>
      <c r="D52" s="48"/>
      <c r="E52" s="48"/>
      <c r="F52" s="48"/>
      <c r="G52" s="48"/>
    </row>
    <row r="53" spans="1:8" x14ac:dyDescent="0.2">
      <c r="A53" s="48"/>
      <c r="B53" s="48"/>
      <c r="C53" s="48"/>
      <c r="D53" s="48"/>
      <c r="E53" s="48"/>
      <c r="F53" s="48"/>
      <c r="G53" s="48"/>
    </row>
    <row r="54" spans="1:8" x14ac:dyDescent="0.2">
      <c r="A54" s="48"/>
      <c r="B54" s="48"/>
      <c r="C54" s="48"/>
      <c r="D54" s="48"/>
      <c r="E54" s="48"/>
      <c r="F54" s="48"/>
      <c r="G54" s="48"/>
    </row>
    <row r="55" spans="1:8" x14ac:dyDescent="0.2">
      <c r="A55" s="48"/>
      <c r="B55" s="48"/>
      <c r="C55" s="48"/>
      <c r="D55" s="48"/>
      <c r="E55" s="48"/>
      <c r="F55" s="48"/>
      <c r="G55" s="48"/>
    </row>
    <row r="56" spans="1:8" x14ac:dyDescent="0.2">
      <c r="A56" s="48"/>
      <c r="B56" s="48"/>
      <c r="C56" s="48"/>
      <c r="D56" s="48"/>
      <c r="E56" s="48"/>
      <c r="F56" s="48"/>
      <c r="G56" s="48"/>
    </row>
    <row r="57" spans="1:8" x14ac:dyDescent="0.2">
      <c r="A57" s="48"/>
      <c r="B57" s="48"/>
      <c r="C57" s="48"/>
      <c r="D57" s="48"/>
      <c r="E57" s="48"/>
      <c r="F57" s="48"/>
      <c r="G57" s="48"/>
    </row>
    <row r="58" spans="1:8" x14ac:dyDescent="0.2">
      <c r="A58" s="48"/>
      <c r="B58" s="48"/>
      <c r="C58" s="48"/>
      <c r="D58" s="48"/>
      <c r="E58" s="48"/>
      <c r="F58" s="48"/>
      <c r="G58" s="48"/>
      <c r="H58" s="48"/>
    </row>
    <row r="59" spans="1:8" x14ac:dyDescent="0.2">
      <c r="A59" s="48"/>
      <c r="B59" s="48"/>
      <c r="C59" s="48"/>
      <c r="D59" s="48"/>
      <c r="E59" s="48"/>
      <c r="F59" s="48"/>
      <c r="G59" s="48"/>
      <c r="H59" s="48"/>
    </row>
    <row r="60" spans="1:8" x14ac:dyDescent="0.2">
      <c r="A60" s="48"/>
      <c r="B60" s="48"/>
      <c r="C60" s="48"/>
      <c r="D60" s="48"/>
      <c r="E60" s="48"/>
      <c r="F60" s="48"/>
      <c r="G60" s="48"/>
      <c r="H60" s="48"/>
    </row>
    <row r="61" spans="1:8" x14ac:dyDescent="0.2">
      <c r="A61" s="48"/>
      <c r="B61" s="48"/>
      <c r="C61" s="48"/>
      <c r="D61" s="48"/>
      <c r="E61" s="48"/>
      <c r="F61" s="48"/>
      <c r="G61" s="48"/>
      <c r="H61" s="48"/>
    </row>
    <row r="62" spans="1:8" x14ac:dyDescent="0.2">
      <c r="A62" s="48"/>
      <c r="B62" s="48"/>
      <c r="C62" s="48"/>
      <c r="D62" s="48"/>
      <c r="E62" s="48"/>
      <c r="F62" s="48"/>
      <c r="G62" s="48"/>
      <c r="H62" s="48"/>
    </row>
    <row r="63" spans="1:8" x14ac:dyDescent="0.2">
      <c r="A63" s="48"/>
      <c r="B63" s="48"/>
      <c r="C63" s="48"/>
      <c r="D63" s="48"/>
      <c r="E63" s="48"/>
      <c r="F63" s="48"/>
      <c r="G63" s="48"/>
      <c r="H63" s="48"/>
    </row>
    <row r="64" spans="1:8" x14ac:dyDescent="0.2">
      <c r="A64" s="48"/>
      <c r="B64" s="48"/>
      <c r="C64" s="48"/>
      <c r="D64" s="48"/>
      <c r="E64" s="48"/>
      <c r="F64" s="48"/>
      <c r="G64" s="48"/>
      <c r="H64" s="48"/>
    </row>
    <row r="65" spans="1:8" x14ac:dyDescent="0.2">
      <c r="A65" s="48"/>
      <c r="B65" s="48"/>
      <c r="C65" s="48"/>
      <c r="D65" s="48"/>
      <c r="E65" s="48"/>
      <c r="F65" s="48"/>
      <c r="G65" s="48"/>
      <c r="H65" s="48"/>
    </row>
    <row r="66" spans="1:8" x14ac:dyDescent="0.2">
      <c r="A66" s="48"/>
      <c r="B66" s="48"/>
      <c r="C66" s="48"/>
      <c r="D66" s="48"/>
      <c r="E66" s="48"/>
      <c r="F66" s="48"/>
      <c r="G66" s="48"/>
      <c r="H66" s="48"/>
    </row>
    <row r="67" spans="1:8" x14ac:dyDescent="0.2">
      <c r="A67" s="48"/>
      <c r="B67" s="48"/>
      <c r="C67" s="48"/>
      <c r="D67" s="48"/>
      <c r="E67" s="48"/>
      <c r="F67" s="48"/>
      <c r="G67" s="48"/>
      <c r="H67" s="48"/>
    </row>
    <row r="68" spans="1:8" x14ac:dyDescent="0.2">
      <c r="A68" s="48"/>
      <c r="B68" s="48"/>
      <c r="C68" s="48"/>
      <c r="D68" s="48"/>
      <c r="E68" s="48"/>
      <c r="F68" s="48"/>
      <c r="G68" s="48"/>
      <c r="H68" s="48"/>
    </row>
  </sheetData>
  <mergeCells count="4">
    <mergeCell ref="E8:F8"/>
    <mergeCell ref="G8:H8"/>
    <mergeCell ref="A10:A26"/>
    <mergeCell ref="A30:A32"/>
  </mergeCells>
  <pageMargins left="0.41" right="0.25" top="1" bottom="1" header="0.5" footer="0.5"/>
  <pageSetup scale="66" orientation="landscape" r:id="rId1"/>
  <headerFooter alignWithMargins="0">
    <oddFooter xml:space="preserve">&amp;L&amp;8 &amp;C&amp;A </oddFooter>
  </headerFooter>
  <rowBreaks count="1" manualBreakCount="1">
    <brk id="23"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R69"/>
  <sheetViews>
    <sheetView workbookViewId="0"/>
  </sheetViews>
  <sheetFormatPr defaultRowHeight="12.75" x14ac:dyDescent="0.2"/>
  <cols>
    <col min="3" max="3" width="13.7109375" customWidth="1"/>
    <col min="4" max="9" width="14.7109375" customWidth="1"/>
    <col min="10" max="10" width="15.7109375" customWidth="1"/>
    <col min="11" max="11" width="22.7109375" customWidth="1"/>
    <col min="12" max="12" width="15" customWidth="1"/>
    <col min="13" max="13" width="16" customWidth="1"/>
    <col min="14" max="14" width="13.85546875" customWidth="1"/>
    <col min="15" max="15" width="14.7109375" customWidth="1"/>
    <col min="16" max="18" width="12.7109375" customWidth="1"/>
  </cols>
  <sheetData>
    <row r="2" spans="1:10" ht="18" x14ac:dyDescent="0.25">
      <c r="A2" s="37" t="s">
        <v>0</v>
      </c>
    </row>
    <row r="3" spans="1:10" ht="18.75" x14ac:dyDescent="0.3">
      <c r="A3" s="37" t="s">
        <v>10</v>
      </c>
    </row>
    <row r="4" spans="1:10" ht="18" x14ac:dyDescent="0.25">
      <c r="A4" s="37"/>
    </row>
    <row r="5" spans="1:10" ht="18" x14ac:dyDescent="0.25">
      <c r="A5" s="37" t="s">
        <v>61</v>
      </c>
    </row>
    <row r="7" spans="1:10" ht="33" customHeight="1" thickBot="1" x14ac:dyDescent="0.25">
      <c r="B7" s="1" t="s">
        <v>9</v>
      </c>
    </row>
    <row r="8" spans="1:10" ht="13.5" thickBot="1" x14ac:dyDescent="0.25">
      <c r="B8" s="206"/>
      <c r="C8" s="207"/>
      <c r="D8" s="207"/>
      <c r="E8" s="488" t="s">
        <v>1</v>
      </c>
      <c r="F8" s="489"/>
      <c r="G8" s="488" t="s">
        <v>2</v>
      </c>
      <c r="H8" s="489"/>
      <c r="I8" s="208"/>
      <c r="J8" s="207"/>
    </row>
    <row r="9" spans="1:10" ht="34.5" thickBot="1" x14ac:dyDescent="0.25">
      <c r="B9" s="209" t="s">
        <v>3</v>
      </c>
      <c r="C9" s="210" t="s">
        <v>4</v>
      </c>
      <c r="D9" s="211" t="s">
        <v>25</v>
      </c>
      <c r="E9" s="212" t="s">
        <v>5</v>
      </c>
      <c r="F9" s="211" t="s">
        <v>6</v>
      </c>
      <c r="G9" s="211" t="s">
        <v>5</v>
      </c>
      <c r="H9" s="211" t="s">
        <v>6</v>
      </c>
      <c r="I9" s="212" t="s">
        <v>7</v>
      </c>
      <c r="J9" s="211" t="s">
        <v>8</v>
      </c>
    </row>
    <row r="10" spans="1:10" ht="18" customHeight="1" x14ac:dyDescent="0.2">
      <c r="A10" s="498" t="s">
        <v>48</v>
      </c>
      <c r="B10" s="2">
        <v>1</v>
      </c>
      <c r="C10" s="3">
        <v>1996</v>
      </c>
      <c r="D10" s="4">
        <f>'May17-Exh3-TANFU'!D10+'May17-Exh4-TANFR'!D10+'May17-Exh5-ABDU'!D10+'May17-Exh6-ABDR'!D10</f>
        <v>2337532</v>
      </c>
      <c r="E10" s="5">
        <f>F10/D10</f>
        <v>122.41058027868708</v>
      </c>
      <c r="F10" s="6">
        <f>'May17-Exh3-TANFU'!F10+'May17-Exh4-TANFR'!F10+'May17-Exh5-ABDU'!F10+'May17-Exh6-ABDR'!F10</f>
        <v>286138648.53999996</v>
      </c>
      <c r="G10" s="5">
        <f>H10/D10</f>
        <v>170.69260356649664</v>
      </c>
      <c r="H10" s="56">
        <v>398999423</v>
      </c>
      <c r="I10" s="7">
        <f t="shared" ref="I10:I32" si="0">F10-H10</f>
        <v>-112860774.46000004</v>
      </c>
      <c r="J10" s="8">
        <f>I10</f>
        <v>-112860774.46000004</v>
      </c>
    </row>
    <row r="11" spans="1:10" ht="18" customHeight="1" x14ac:dyDescent="0.2">
      <c r="A11" s="499"/>
      <c r="B11" s="9">
        <v>2</v>
      </c>
      <c r="C11" s="10">
        <v>1997</v>
      </c>
      <c r="D11" s="11">
        <f>'May17-Exh3-TANFU'!D11+'May17-Exh4-TANFR'!D11+'May17-Exh5-ABDU'!D11+'May17-Exh6-ABDR'!D11</f>
        <v>2282744</v>
      </c>
      <c r="E11" s="12">
        <f t="shared" ref="E11:E32" si="1">F11/D11</f>
        <v>130.39395048743265</v>
      </c>
      <c r="F11" s="13">
        <f>'May17-Exh3-TANFU'!F11+'May17-Exh4-TANFR'!F11+'May17-Exh5-ABDU'!F11+'May17-Exh6-ABDR'!F11</f>
        <v>297656008.11148393</v>
      </c>
      <c r="G11" s="12">
        <f t="shared" ref="G11:G32" si="2">H11/D11</f>
        <v>134.54269291694558</v>
      </c>
      <c r="H11" s="13">
        <v>307126525</v>
      </c>
      <c r="I11" s="14">
        <f t="shared" si="0"/>
        <v>-9470516.8885160685</v>
      </c>
      <c r="J11" s="15">
        <f t="shared" ref="J11:J31" si="3">J10+I11</f>
        <v>-122331291.34851611</v>
      </c>
    </row>
    <row r="12" spans="1:10" ht="18" customHeight="1" x14ac:dyDescent="0.2">
      <c r="A12" s="499"/>
      <c r="B12" s="9">
        <v>3</v>
      </c>
      <c r="C12" s="10">
        <v>1998</v>
      </c>
      <c r="D12" s="11">
        <f>'May17-Exh3-TANFU'!D12+'May17-Exh4-TANFR'!D12+'May17-Exh5-ABDU'!D12+'May17-Exh6-ABDR'!D12</f>
        <v>2550505</v>
      </c>
      <c r="E12" s="12">
        <f t="shared" si="1"/>
        <v>138.91572168540822</v>
      </c>
      <c r="F12" s="13">
        <f>'May17-Exh3-TANFU'!F12+'May17-Exh4-TANFR'!F12+'May17-Exh5-ABDU'!F12+'May17-Exh6-ABDR'!F12</f>
        <v>354305242.7372421</v>
      </c>
      <c r="G12" s="12">
        <f t="shared" si="2"/>
        <v>106.61703427360465</v>
      </c>
      <c r="H12" s="13">
        <v>271927279</v>
      </c>
      <c r="I12" s="14">
        <f t="shared" si="0"/>
        <v>82377963.737242103</v>
      </c>
      <c r="J12" s="15">
        <f t="shared" si="3"/>
        <v>-39953327.611274004</v>
      </c>
    </row>
    <row r="13" spans="1:10" ht="18" customHeight="1" x14ac:dyDescent="0.2">
      <c r="A13" s="499"/>
      <c r="B13" s="9">
        <v>4</v>
      </c>
      <c r="C13" s="10">
        <v>1999</v>
      </c>
      <c r="D13" s="11">
        <f>'May17-Exh3-TANFU'!D13+'May17-Exh4-TANFR'!D13+'May17-Exh5-ABDU'!D13+'May17-Exh6-ABDR'!D13</f>
        <v>3201226</v>
      </c>
      <c r="E13" s="12">
        <f t="shared" si="1"/>
        <v>168.75395879876802</v>
      </c>
      <c r="F13" s="13">
        <f>'May17-Exh3-TANFU'!F13+'May17-Exh4-TANFR'!F13+'May17-Exh5-ABDU'!F13+'May17-Exh6-ABDR'!F13</f>
        <v>540219560.50954497</v>
      </c>
      <c r="G13" s="12">
        <f t="shared" si="2"/>
        <v>144.64790052311207</v>
      </c>
      <c r="H13" s="13">
        <v>463050620</v>
      </c>
      <c r="I13" s="14">
        <f t="shared" si="0"/>
        <v>77168940.509544969</v>
      </c>
      <c r="J13" s="15">
        <f t="shared" si="3"/>
        <v>37215612.898270965</v>
      </c>
    </row>
    <row r="14" spans="1:10" ht="18" customHeight="1" x14ac:dyDescent="0.2">
      <c r="A14" s="499"/>
      <c r="B14" s="9">
        <v>5</v>
      </c>
      <c r="C14" s="10">
        <v>2000</v>
      </c>
      <c r="D14" s="11">
        <f>'May17-Exh3-TANFU'!D14+'May17-Exh4-TANFR'!D14+'May17-Exh5-ABDU'!D14+'May17-Exh6-ABDR'!D14</f>
        <v>3496982</v>
      </c>
      <c r="E14" s="12">
        <f t="shared" si="1"/>
        <v>197.53366459539473</v>
      </c>
      <c r="F14" s="13">
        <f>'May17-Exh3-TANFU'!F14+'May17-Exh4-TANFR'!F14+'May17-Exh5-ABDU'!F14+'May17-Exh6-ABDR'!F14</f>
        <v>690771669.48413265</v>
      </c>
      <c r="G14" s="12">
        <f t="shared" si="2"/>
        <v>171.74812423970155</v>
      </c>
      <c r="H14" s="13">
        <v>600600099</v>
      </c>
      <c r="I14" s="14">
        <f t="shared" si="0"/>
        <v>90171570.484132648</v>
      </c>
      <c r="J14" s="15">
        <f t="shared" si="3"/>
        <v>127387183.38240361</v>
      </c>
    </row>
    <row r="15" spans="1:10" ht="18" customHeight="1" x14ac:dyDescent="0.2">
      <c r="A15" s="499"/>
      <c r="B15" s="9">
        <v>6</v>
      </c>
      <c r="C15" s="10">
        <v>2001</v>
      </c>
      <c r="D15" s="11">
        <f>'May17-Exh3-TANFU'!D15+'May17-Exh4-TANFR'!D15+'May17-Exh5-ABDU'!D15+'May17-Exh6-ABDR'!D15</f>
        <v>4513310</v>
      </c>
      <c r="E15" s="12">
        <f t="shared" si="1"/>
        <v>217.40008821737314</v>
      </c>
      <c r="F15" s="13">
        <f>'May17-Exh3-TANFU'!F15+'May17-Exh4-TANFR'!F15+'May17-Exh5-ABDU'!F15+'May17-Exh6-ABDR'!F15</f>
        <v>981193992.15235233</v>
      </c>
      <c r="G15" s="12">
        <f t="shared" si="2"/>
        <v>129.18546321879063</v>
      </c>
      <c r="H15" s="13">
        <v>583054043</v>
      </c>
      <c r="I15" s="14">
        <f t="shared" si="0"/>
        <v>398139949.15235233</v>
      </c>
      <c r="J15" s="15">
        <f t="shared" si="3"/>
        <v>525527132.53475595</v>
      </c>
    </row>
    <row r="16" spans="1:10" ht="18" customHeight="1" x14ac:dyDescent="0.2">
      <c r="A16" s="499"/>
      <c r="B16" s="9">
        <v>7</v>
      </c>
      <c r="C16" s="10">
        <v>2002</v>
      </c>
      <c r="D16" s="11">
        <f>'May17-Exh3-TANFU'!D16+'May17-Exh4-TANFR'!D16+'May17-Exh5-ABDU'!D16+'May17-Exh6-ABDR'!D16</f>
        <v>4823829</v>
      </c>
      <c r="E16" s="12">
        <f t="shared" si="1"/>
        <v>231.18661095585517</v>
      </c>
      <c r="F16" s="13">
        <f>'May17-Exh3-TANFU'!F16+'May17-Exh4-TANFR'!F16+'May17-Exh5-ABDU'!F16+'May17-Exh6-ABDR'!F16</f>
        <v>1115204678.3405719</v>
      </c>
      <c r="G16" s="12">
        <f t="shared" si="2"/>
        <v>176.23294917792484</v>
      </c>
      <c r="H16" s="13">
        <v>850117611</v>
      </c>
      <c r="I16" s="14">
        <f t="shared" si="0"/>
        <v>265087067.34057188</v>
      </c>
      <c r="J16" s="15">
        <f t="shared" si="3"/>
        <v>790614199.87532783</v>
      </c>
    </row>
    <row r="17" spans="1:18" ht="18" customHeight="1" x14ac:dyDescent="0.2">
      <c r="A17" s="499"/>
      <c r="B17" s="16">
        <v>8</v>
      </c>
      <c r="C17" s="17">
        <v>2003</v>
      </c>
      <c r="D17" s="18">
        <f>'May17-Exh3-TANFU'!D17+'May17-Exh4-TANFR'!D17+'May17-Exh5-ABDU'!D17+'May17-Exh6-ABDR'!D17</f>
        <v>4716758</v>
      </c>
      <c r="E17" s="12">
        <f t="shared" si="1"/>
        <v>230.57729632456346</v>
      </c>
      <c r="F17" s="19">
        <f>'May17-Exh3-TANFU'!F17+'May17-Exh4-TANFR'!F17+'May17-Exh5-ABDU'!F17+'May17-Exh6-ABDR'!F17</f>
        <v>1087577307.0572553</v>
      </c>
      <c r="G17" s="20">
        <f t="shared" si="2"/>
        <v>194.44666336496383</v>
      </c>
      <c r="H17" s="19">
        <v>917157855</v>
      </c>
      <c r="I17" s="21">
        <f t="shared" si="0"/>
        <v>170419452.05725527</v>
      </c>
      <c r="J17" s="22">
        <f t="shared" si="3"/>
        <v>961033651.93258309</v>
      </c>
    </row>
    <row r="18" spans="1:18" ht="18" customHeight="1" x14ac:dyDescent="0.2">
      <c r="A18" s="499"/>
      <c r="B18" s="23">
        <v>9</v>
      </c>
      <c r="C18" s="24">
        <v>2004</v>
      </c>
      <c r="D18" s="25">
        <f>'May17-Exh3-TANFU'!D18+'May17-Exh4-TANFR'!D18+'May17-Exh5-ABDU'!D18+'May17-Exh6-ABDR'!D18</f>
        <v>4886804</v>
      </c>
      <c r="E18" s="26">
        <f t="shared" si="1"/>
        <v>245.50337328713951</v>
      </c>
      <c r="F18" s="27">
        <f>'May17-Exh3-TANFU'!F18+'May17-Exh4-TANFR'!F18+'May17-Exh5-ABDU'!F18+'May17-Exh6-ABDR'!F18</f>
        <v>1199726866.5930865</v>
      </c>
      <c r="G18" s="26">
        <f t="shared" si="2"/>
        <v>181.28186745365682</v>
      </c>
      <c r="H18" s="27">
        <f>'May17-Exh3-TANFU'!H18+'May17-Exh4-TANFR'!H18+'May17-Exh5-ABDU'!H18+'May17-Exh6-ABDR'!H18+'May17-Exh7-NDWA_All_2013'!H18+'May17-Exh9-WDA_All_2013'!H18+'May17-Exh11-TEFRA'!H18+'May17-Exh12-College_All_2013'!H18</f>
        <v>885888955</v>
      </c>
      <c r="I18" s="28">
        <f t="shared" si="0"/>
        <v>313837911.59308648</v>
      </c>
      <c r="J18" s="29">
        <f t="shared" si="3"/>
        <v>1274871563.5256696</v>
      </c>
    </row>
    <row r="19" spans="1:18" ht="18" customHeight="1" x14ac:dyDescent="0.2">
      <c r="A19" s="499"/>
      <c r="B19" s="16">
        <v>10</v>
      </c>
      <c r="C19" s="17">
        <v>2005</v>
      </c>
      <c r="D19" s="18">
        <f>'May17-Exh3-TANFU'!D19+'May17-Exh4-TANFR'!D19+'May17-Exh5-ABDU'!D19+'May17-Exh6-ABDR'!D19</f>
        <v>5038078</v>
      </c>
      <c r="E19" s="20">
        <f t="shared" si="1"/>
        <v>261.38121401196702</v>
      </c>
      <c r="F19" s="19">
        <f>'May17-Exh3-TANFU'!F19+'May17-Exh4-TANFR'!F19+'May17-Exh5-ABDU'!F19+'May17-Exh6-ABDR'!F19</f>
        <v>1316858943.9269826</v>
      </c>
      <c r="G19" s="26">
        <f t="shared" si="2"/>
        <v>222.43344505583281</v>
      </c>
      <c r="H19" s="27">
        <f>'May17-Exh3-TANFU'!H19+'May17-Exh4-TANFR'!H19+'May17-Exh5-ABDU'!H19+'May17-Exh6-ABDR'!H19+'May17-Exh7-NDWA_All_2013'!H19+'May17-Exh9-WDA_All_2013'!H19+'May17-Exh11-TEFRA'!H19+'May17-Exh12-College_All_2013'!H19</f>
        <v>1120637046</v>
      </c>
      <c r="I19" s="21">
        <f t="shared" si="0"/>
        <v>196221897.92698264</v>
      </c>
      <c r="J19" s="22">
        <f t="shared" si="3"/>
        <v>1471093461.4526522</v>
      </c>
    </row>
    <row r="20" spans="1:18" ht="18" customHeight="1" x14ac:dyDescent="0.2">
      <c r="A20" s="499"/>
      <c r="B20" s="35">
        <v>11</v>
      </c>
      <c r="C20" s="17">
        <v>2006</v>
      </c>
      <c r="D20" s="18">
        <f>'May17-Exh3-TANFU'!D20+'May17-Exh4-TANFR'!D20+'May17-Exh5-ABDU'!D20+'May17-Exh6-ABDR'!D20</f>
        <v>5180782</v>
      </c>
      <c r="E20" s="20">
        <f t="shared" si="1"/>
        <v>277.35354049536352</v>
      </c>
      <c r="F20" s="19">
        <f>'May17-Exh3-TANFU'!F20+'May17-Exh4-TANFR'!F20+'May17-Exh5-ABDU'!F20+'May17-Exh6-ABDR'!F20</f>
        <v>1436908230.2346504</v>
      </c>
      <c r="G20" s="20">
        <f t="shared" si="2"/>
        <v>264.23938799200585</v>
      </c>
      <c r="H20" s="19">
        <f>'May17-Exh3-TANFU'!H20+'May17-Exh4-TANFR'!H20+'May17-Exh5-ABDU'!H20+'May17-Exh6-ABDR'!H20+'May17-Exh7-NDWA_All_2013'!H20+'May17-Exh9-WDA_All_2013'!H20+'May17-Exh11-TEFRA'!H20+'May17-Exh12-College_All_2013'!H20</f>
        <v>1368966665</v>
      </c>
      <c r="I20" s="21">
        <f t="shared" si="0"/>
        <v>67941565.234650373</v>
      </c>
      <c r="J20" s="36">
        <f t="shared" si="3"/>
        <v>1539035026.6873026</v>
      </c>
    </row>
    <row r="21" spans="1:18" ht="18" customHeight="1" x14ac:dyDescent="0.2">
      <c r="A21" s="499"/>
      <c r="B21" s="33">
        <v>12</v>
      </c>
      <c r="C21" s="52">
        <v>2007</v>
      </c>
      <c r="D21" s="25">
        <f>'May17-Exh3-TANFU'!D21+'May17-Exh4-TANFR'!D21+'May17-Exh5-ABDU'!D21+'May17-Exh6-ABDR'!D21</f>
        <v>5451378</v>
      </c>
      <c r="E21" s="26">
        <f t="shared" si="1"/>
        <v>290.30988939677269</v>
      </c>
      <c r="F21" s="27">
        <f>'May17-Exh3-TANFU'!F21+'May17-Exh4-TANFR'!F21+'May17-Exh5-ABDU'!F21+'May17-Exh6-ABDR'!F21</f>
        <v>1582588944.24</v>
      </c>
      <c r="G21" s="26">
        <f t="shared" si="2"/>
        <v>271.9559074788063</v>
      </c>
      <c r="H21" s="27">
        <f>'May17-Exh3-TANFU'!H21+'May17-Exh4-TANFR'!H21+'May17-Exh5-ABDU'!H21+'May17-Exh6-ABDR'!H21+'May17-Exh7-NDWA_All_2013'!H21+'May17-Exh9-WDA_All_2013'!H21+'May17-Exh11-TEFRA'!H21+'May17-Exh12-College_All_2013'!H21</f>
        <v>1482534451</v>
      </c>
      <c r="I21" s="28">
        <f t="shared" si="0"/>
        <v>100054493.24000001</v>
      </c>
      <c r="J21" s="34">
        <f t="shared" si="3"/>
        <v>1639089519.9273026</v>
      </c>
    </row>
    <row r="22" spans="1:18" ht="18" customHeight="1" x14ac:dyDescent="0.2">
      <c r="A22" s="499"/>
      <c r="B22" s="35">
        <v>13</v>
      </c>
      <c r="C22" s="59">
        <v>2008</v>
      </c>
      <c r="D22" s="18">
        <f>'May17-Exh3-TANFU'!D22+'May17-Exh4-TANFR'!D22+'May17-Exh5-ABDU'!D22+'May17-Exh6-ABDR'!D22</f>
        <v>5386004</v>
      </c>
      <c r="E22" s="20">
        <f t="shared" si="1"/>
        <v>308.25214299289104</v>
      </c>
      <c r="F22" s="19">
        <f>'May17-Exh3-TANFU'!F22+'May17-Exh4-TANFR'!F22+'May17-Exh5-ABDU'!F22+'May17-Exh6-ABDR'!F22</f>
        <v>1660247275.1682832</v>
      </c>
      <c r="G22" s="20">
        <f t="shared" si="2"/>
        <v>300.7881999344969</v>
      </c>
      <c r="H22" s="19">
        <f>'May17-Exh3-TANFU'!H22+'May17-Exh4-TANFR'!H22+'May17-Exh5-ABDU'!H22+'May17-Exh6-ABDR'!H22+'May17-Exh7-NDWA_All_2013'!H22+'May17-Exh9-WDA_All_2013'!H22+'May17-Exh11-TEFRA'!H22+'May17-Exh12-College_All_2013'!H22</f>
        <v>1620046448</v>
      </c>
      <c r="I22" s="21">
        <f t="shared" si="0"/>
        <v>40200827.168283224</v>
      </c>
      <c r="J22" s="36">
        <f t="shared" si="3"/>
        <v>1679290347.0955858</v>
      </c>
    </row>
    <row r="23" spans="1:18" ht="18" customHeight="1" x14ac:dyDescent="0.2">
      <c r="A23" s="499"/>
      <c r="B23" s="16">
        <v>14</v>
      </c>
      <c r="C23" s="59">
        <v>2009</v>
      </c>
      <c r="D23" s="18">
        <f>'May17-Exh3-TANFU'!D23+'May17-Exh4-TANFR'!D23+'May17-Exh5-ABDU'!D23+'May17-Exh6-ABDR'!D23</f>
        <v>5839782</v>
      </c>
      <c r="E23" s="20">
        <f t="shared" si="1"/>
        <v>322.58968282716978</v>
      </c>
      <c r="F23" s="19">
        <f>'May17-Exh3-TANFU'!F23+'May17-Exh4-TANFR'!F23+'May17-Exh5-ABDU'!F23+'May17-Exh6-ABDR'!F23</f>
        <v>1883853423.1598151</v>
      </c>
      <c r="G23" s="20">
        <f t="shared" si="2"/>
        <v>321.57565967359739</v>
      </c>
      <c r="H23" s="19">
        <f>'May17-Exh3-TANFU'!H23+'May17-Exh4-TANFR'!H23+'May17-Exh5-ABDU'!H23+'May17-Exh6-ABDR'!H23+'May17-Exh7-NDWA_All_2013'!H23+'May17-Exh9-WDA_All_2013'!H23+'May17-Exh11-TEFRA'!H23+'May17-Exh12-College_All_2013'!H23</f>
        <v>1877931749</v>
      </c>
      <c r="I23" s="21">
        <f t="shared" si="0"/>
        <v>5921674.159815073</v>
      </c>
      <c r="J23" s="22">
        <f t="shared" si="3"/>
        <v>1685212021.2554009</v>
      </c>
    </row>
    <row r="24" spans="1:18" ht="18" customHeight="1" x14ac:dyDescent="0.2">
      <c r="A24" s="499"/>
      <c r="B24" s="35">
        <v>15</v>
      </c>
      <c r="C24" s="17">
        <v>2010</v>
      </c>
      <c r="D24" s="18">
        <f>'May17-Exh3-TANFU'!D24++'May17-Exh4-TANFR'!D24+'May17-Exh5-ABDU'!D24+'May17-Exh6-ABDR'!D24</f>
        <v>6367794</v>
      </c>
      <c r="E24" s="20">
        <f t="shared" si="1"/>
        <v>338.4042885437276</v>
      </c>
      <c r="F24" s="19">
        <f>'May17-Exh3-TANFU'!F24+'May17-Exh4-TANFR'!F24+'May17-Exh5-ABDU'!F24+'May17-Exh6-ABDR'!F24</f>
        <v>2154888798.1630173</v>
      </c>
      <c r="G24" s="20">
        <f t="shared" si="2"/>
        <v>313.40370621285803</v>
      </c>
      <c r="H24" s="19">
        <f>'May17-Exh3-TANFU'!H24+'May17-Exh4-TANFR'!H24+'May17-Exh5-ABDU'!H24+'May17-Exh6-ABDR'!H24+'May17-Exh7-NDWA_All_2013'!H24+'May17-Exh9-WDA_All_2013'!H24+'May17-Exh11-TEFRA'!H24+'May17-Exh12-College_All_2013'!H24+'May17-Exh22-HAN'!H24</f>
        <v>1995690240</v>
      </c>
      <c r="I24" s="21">
        <f t="shared" si="0"/>
        <v>159198558.16301727</v>
      </c>
      <c r="J24" s="36">
        <f t="shared" si="3"/>
        <v>1844410579.4184182</v>
      </c>
    </row>
    <row r="25" spans="1:18" s="48" customFormat="1" ht="18" customHeight="1" x14ac:dyDescent="0.2">
      <c r="A25" s="499"/>
      <c r="B25" s="38">
        <v>16</v>
      </c>
      <c r="C25" s="92">
        <v>2011</v>
      </c>
      <c r="D25" s="93">
        <f>'May17-Exh3-TANFU'!D25++'May17-Exh4-TANFR'!D25+'May17-Exh5-ABDU'!D25+'May17-Exh6-ABDR'!D25</f>
        <v>6420012</v>
      </c>
      <c r="E25" s="94">
        <f t="shared" si="1"/>
        <v>357.87867380055974</v>
      </c>
      <c r="F25" s="95">
        <f>'May17-Exh3-TANFU'!F25+'May17-Exh4-TANFR'!F25+'May17-Exh5-ABDU'!F25+'May17-Exh6-ABDR'!F25</f>
        <v>2297585380.343679</v>
      </c>
      <c r="G25" s="94">
        <f t="shared" si="2"/>
        <v>329.92722777932505</v>
      </c>
      <c r="H25" s="95">
        <f>'May17-Exh3-TANFU'!H25+'May17-Exh4-TANFR'!H25+'May17-Exh5-ABDU'!H25+'May17-Exh6-ABDR'!H25+'May17-Exh7-NDWA_All_2013'!H25+'May17-Exh9-WDA_All_2013'!H25+'May17-Exh11-TEFRA'!H25+'May17-Exh12-College_All_2013'!H25+'May17-Exh22-HAN'!H25</f>
        <v>2118136761.4700003</v>
      </c>
      <c r="I25" s="96">
        <f t="shared" si="0"/>
        <v>179448618.87367868</v>
      </c>
      <c r="J25" s="39">
        <f t="shared" si="3"/>
        <v>2023859198.2920969</v>
      </c>
      <c r="L25"/>
      <c r="M25"/>
      <c r="N25"/>
      <c r="P25"/>
      <c r="Q25"/>
      <c r="R25"/>
    </row>
    <row r="26" spans="1:18" s="48" customFormat="1" ht="18" customHeight="1" thickBot="1" x14ac:dyDescent="0.4">
      <c r="A26" s="499"/>
      <c r="B26" s="141">
        <v>17</v>
      </c>
      <c r="C26" s="142">
        <v>2012</v>
      </c>
      <c r="D26" s="143">
        <f>'May17-Exh3-TANFU'!D26+'May17-Exh4-TANFR'!D26+'May17-Exh5-ABDU'!D26+'May17-Exh6-ABDR'!D26</f>
        <v>6819943</v>
      </c>
      <c r="E26" s="144">
        <f t="shared" si="1"/>
        <v>372.94517456550136</v>
      </c>
      <c r="F26" s="145">
        <f>'May17-Exh3-TANFU'!F26+'May17-Exh4-TANFR'!F26+'May17-Exh5-ABDU'!F26+'May17-Exh6-ABDR'!F26</f>
        <v>2543464832.6617689</v>
      </c>
      <c r="G26" s="144">
        <f t="shared" si="2"/>
        <v>326.37808351184168</v>
      </c>
      <c r="H26" s="145">
        <f>'May17-Exh3-TANFU'!H26+'May17-Exh4-TANFR'!H26+'May17-Exh5-ABDU'!H26+'May17-Exh6-ABDR'!H26+'May17-Exh7-NDWA_All_2013'!H26+'May17-Exh9-WDA_All_2013'!H26+'May17-Exh11-TEFRA'!H26+'May17-Exh12-College_All_2013'!H26+'May17-Exh22-HAN'!H26</f>
        <v>2225879926</v>
      </c>
      <c r="I26" s="146">
        <f t="shared" si="0"/>
        <v>317584906.66176891</v>
      </c>
      <c r="J26" s="147">
        <f t="shared" si="3"/>
        <v>2341444104.953866</v>
      </c>
      <c r="L26"/>
      <c r="M26"/>
      <c r="N26"/>
      <c r="O26" s="100"/>
      <c r="P26"/>
      <c r="Q26"/>
      <c r="R26"/>
    </row>
    <row r="27" spans="1:18" s="48" customFormat="1" ht="30" customHeight="1" x14ac:dyDescent="0.35">
      <c r="A27" s="135"/>
      <c r="B27" s="152">
        <v>18</v>
      </c>
      <c r="C27" s="153">
        <v>2013</v>
      </c>
      <c r="D27" s="154">
        <f>'May17-Exh3-TANFU'!D27+'May17-Exh4-TANFR'!D27+'May17-Exh5-ABDU'!D27+'May17-Exh6-ABDR'!D27</f>
        <v>7011670</v>
      </c>
      <c r="E27" s="128">
        <f t="shared" si="1"/>
        <v>389.10677117291601</v>
      </c>
      <c r="F27" s="155">
        <f>'May17-Exh3-TANFU'!F27+'May17-Exh4-TANFR'!F27+'May17-Exh5-ABDU'!F27+'May17-Exh6-ABDR'!F27</f>
        <v>2728288274.23</v>
      </c>
      <c r="G27" s="128">
        <f t="shared" si="2"/>
        <v>330.46999758973254</v>
      </c>
      <c r="H27" s="155">
        <f>'May17-Exh3-TANFU'!H27+'May17-Exh4-TANFR'!H27+'May17-Exh5-ABDU'!H27+'May17-Exh6-ABDR'!H27+'May17-Exh7-NDWA_All_2013'!H27+'May17-Exh9-WDA_All_2013'!H27+'May17-Exh11-TEFRA'!H27+'May17-Exh12-College_All_2013'!H27+'May17-Exh22-HAN'!H27</f>
        <v>2317146568</v>
      </c>
      <c r="I27" s="156">
        <f t="shared" si="0"/>
        <v>411141706.23000002</v>
      </c>
      <c r="J27" s="157">
        <f>I27</f>
        <v>411141706.23000002</v>
      </c>
      <c r="L27"/>
      <c r="M27"/>
      <c r="N27"/>
      <c r="O27" s="100"/>
      <c r="P27"/>
      <c r="Q27"/>
      <c r="R27"/>
    </row>
    <row r="28" spans="1:18" s="48" customFormat="1" ht="30" customHeight="1" x14ac:dyDescent="0.35">
      <c r="A28" s="135"/>
      <c r="B28" s="16">
        <v>19</v>
      </c>
      <c r="C28" s="59">
        <v>2014</v>
      </c>
      <c r="D28" s="18">
        <f>'May17-Exh3-TANFU'!D28+'May17-Exh4-TANFR'!D28+'May17-Exh5-ABDU'!D28+'May17-Exh6-ABDR'!D28</f>
        <v>7403764</v>
      </c>
      <c r="E28" s="20">
        <f t="shared" si="1"/>
        <v>403.10336267336453</v>
      </c>
      <c r="F28" s="19">
        <f>'May17-Exh3-TANFU'!F28+'May17-Exh4-TANFR'!F28+'May17-Exh5-ABDU'!F28+'May17-Exh6-ABDR'!F28</f>
        <v>2984482164.8400002</v>
      </c>
      <c r="G28" s="20">
        <f t="shared" si="2"/>
        <v>318.02182619543248</v>
      </c>
      <c r="H28" s="19">
        <f>'May17-Exh3-TANFU'!H28+'May17-Exh4-TANFR'!H28+'May17-Exh5-ABDU'!H28+'May17-Exh6-ABDR'!H28+'May17-Exh8-NDWA_ESI_2014'!H28+'May17-Exh17-NDWA_IP_2014'!H28+'May17-Exh10-WDA_ESI_2014'!H28+'May17-Exh18-WDA_IP_2014'!H28+'May17-Exh11-TEFRA'!H28+'May17-Exh13-College_ESI_2014'!H28+'May17-Exh19-College_IP_2014'!H28+'May17-Exh22-HAN'!H28</f>
        <v>2354558548</v>
      </c>
      <c r="I28" s="21">
        <f t="shared" si="0"/>
        <v>629923616.84000015</v>
      </c>
      <c r="J28" s="22">
        <f t="shared" si="3"/>
        <v>1041065323.0700002</v>
      </c>
      <c r="L28"/>
      <c r="M28"/>
      <c r="N28"/>
      <c r="O28" s="100"/>
      <c r="P28"/>
      <c r="Q28"/>
      <c r="R28"/>
    </row>
    <row r="29" spans="1:18" s="48" customFormat="1" ht="30" customHeight="1" thickBot="1" x14ac:dyDescent="0.4">
      <c r="A29" s="136"/>
      <c r="B29" s="134">
        <v>20</v>
      </c>
      <c r="C29" s="139">
        <v>2015</v>
      </c>
      <c r="D29" s="93">
        <f>'May17-Exh3-TANFU'!D29+'May17-Exh4-TANFR'!D29+'May17-Exh5-ABDU'!D29+'May17-Exh6-ABDR'!D29</f>
        <v>7559632</v>
      </c>
      <c r="E29" s="94">
        <f t="shared" si="1"/>
        <v>418.55007874721946</v>
      </c>
      <c r="F29" s="95">
        <f>'May17-Exh3-TANFU'!F29+'May17-Exh4-TANFR'!F29+'May17-Exh5-ABDU'!F29+'May17-Exh6-ABDR'!F29</f>
        <v>3164084568.9000001</v>
      </c>
      <c r="G29" s="94">
        <f t="shared" si="2"/>
        <v>311.71125261123819</v>
      </c>
      <c r="H29" s="95">
        <f>'May17-Exh3-TANFU'!H29+'May17-Exh4-TANFR'!H29+'May17-Exh5-ABDU'!H29+'May17-Exh6-ABDR'!H29+'May17-Exh8-NDWA_ESI_2014'!H29+'May17-Exh17-NDWA_IP_2014'!H29+'May17-Exh10-WDA_ESI_2014'!H29+'May17-Exh18-WDA_IP_2014'!H29+'May17-Exh11-TEFRA'!H29+'May17-Exh13-College_ESI_2014'!H29+'May17-Exh19-College_IP_2014'!H29+'May17-Exh22-HAN'!H29</f>
        <v>2356422360</v>
      </c>
      <c r="I29" s="96">
        <f t="shared" si="0"/>
        <v>807662208.9000001</v>
      </c>
      <c r="J29" s="101">
        <f t="shared" si="3"/>
        <v>1848727531.9700003</v>
      </c>
      <c r="L29"/>
      <c r="M29"/>
      <c r="N29"/>
      <c r="O29" s="100"/>
      <c r="P29"/>
      <c r="Q29"/>
      <c r="R29"/>
    </row>
    <row r="30" spans="1:18" ht="30" customHeight="1" x14ac:dyDescent="0.2">
      <c r="A30" s="495" t="s">
        <v>34</v>
      </c>
      <c r="B30" s="61">
        <v>21</v>
      </c>
      <c r="C30" s="62">
        <v>2016</v>
      </c>
      <c r="D30" s="63">
        <f>'May17-Exh3-TANFU'!D30+'May17-Exh4-TANFR'!D30+'May17-Exh5-ABDU'!D30+'May17-Exh6-ABDR'!D30</f>
        <v>7396313</v>
      </c>
      <c r="E30" s="64">
        <f t="shared" si="1"/>
        <v>438.83678256585409</v>
      </c>
      <c r="F30" s="65">
        <f>'May17-Exh3-TANFU'!F30+'May17-Exh4-TANFR'!F30+'May17-Exh5-ABDU'!F30+'May17-Exh6-ABDR'!F30</f>
        <v>3245774199.77</v>
      </c>
      <c r="G30" s="64">
        <f t="shared" si="2"/>
        <v>307.23574367390887</v>
      </c>
      <c r="H30" s="65">
        <f>'May17-Exh3-TANFU'!H30+'May17-Exh4-TANFR'!H30+'May17-Exh5-ABDU'!H30+'May17-Exh6-ABDR'!H30+'May17-Exh8-NDWA_ESI_2014'!H30+'May17-Exh17-NDWA_IP_2014'!H30+'May17-Exh10-WDA_ESI_2014'!H30+'May17-Exh18-WDA_IP_2014'!H30+'May17-Exh11-TEFRA'!H30+'May17-Exh13-College_ESI_2014'!H30+'May17-Exh19-College_IP_2014'!H30+'May17-Exh22-HAN'!H30</f>
        <v>2272411725</v>
      </c>
      <c r="I30" s="66">
        <f t="shared" si="0"/>
        <v>973362474.76999998</v>
      </c>
      <c r="J30" s="67">
        <f t="shared" si="3"/>
        <v>2822090006.7400002</v>
      </c>
    </row>
    <row r="31" spans="1:18" ht="30" customHeight="1" x14ac:dyDescent="0.2">
      <c r="A31" s="496"/>
      <c r="B31" s="74">
        <v>22</v>
      </c>
      <c r="C31" s="10" t="s">
        <v>49</v>
      </c>
      <c r="D31" s="11">
        <f>'May17-Exh3-TANFU'!D31+'May17-Exh4-TANFR'!D31+'May17-Exh5-ABDU'!D31+'May17-Exh6-ABDR'!D31</f>
        <v>7584807.1201854013</v>
      </c>
      <c r="E31" s="46">
        <f t="shared" si="1"/>
        <v>457.13932168060882</v>
      </c>
      <c r="F31" s="13">
        <f>'May17-Exh3-TANFU'!F31+'May17-Exh4-TANFR'!F31+'May17-Exh5-ABDU'!F31+'May17-Exh6-ABDR'!F31</f>
        <v>3467313581.9998064</v>
      </c>
      <c r="G31" s="12">
        <f t="shared" si="2"/>
        <v>320.12986231501583</v>
      </c>
      <c r="H31" s="13">
        <f>'May17-Exh3-TANFU'!H31+'May17-Exh4-TANFR'!H31+'May17-Exh5-ABDU'!H31+'May17-Exh6-ABDR'!H31+'May17-Exh8-NDWA_ESI_2014'!H31+'May17-Exh17-NDWA_IP_2014'!H31+'May17-Exh10-WDA_ESI_2014'!H31+'May17-Exh18-WDA_IP_2014'!H31+'May17-Exh11-TEFRA'!H31+'May17-Exh13-College_ESI_2014'!H31+'May17-Exh19-College_IP_2014'!H31+'May17-Exh22-HAN'!H31+'May17-Exh16-SCI'!H31</f>
        <v>2428123259.0709043</v>
      </c>
      <c r="I31" s="13">
        <f t="shared" si="0"/>
        <v>1039190322.9289021</v>
      </c>
      <c r="J31" s="78">
        <f t="shared" si="3"/>
        <v>3861280329.6689024</v>
      </c>
    </row>
    <row r="32" spans="1:18" ht="30" customHeight="1" thickBot="1" x14ac:dyDescent="0.25">
      <c r="A32" s="497"/>
      <c r="B32" s="68">
        <v>23</v>
      </c>
      <c r="C32" s="70" t="s">
        <v>50</v>
      </c>
      <c r="D32" s="75">
        <f>'May17-Exh3-TANFU'!D33+'May17-Exh4-TANFR'!D33+'May17-Exh5-ABDU'!D33+'May17-Exh6-ABDR'!D33</f>
        <v>7778562.1904950151</v>
      </c>
      <c r="E32" s="79">
        <f t="shared" si="1"/>
        <v>319.48464010536622</v>
      </c>
      <c r="F32" s="76">
        <f>'May17-Exh3-TANFU'!F33+'May17-Exh4-TANFR'!F33+'May17-Exh5-ABDU'!F33+'May17-Exh6-ABDR'!F33</f>
        <v>2485131141.9675093</v>
      </c>
      <c r="G32" s="71">
        <f t="shared" si="2"/>
        <v>333.61087155894791</v>
      </c>
      <c r="H32" s="76">
        <f>'May17-Exh3-TANFU'!H33+'May17-Exh4-TANFR'!H33+'May17-Exh5-ABDU'!H33+'May17-Exh6-ABDR'!H33+'May17-Exh8-NDWA_ESI_2014'!H32+'May17-Exh17-NDWA_IP_2014'!H32+'May17-Exh10-WDA_ESI_2014'!H32+'May17-Exh18-WDA_IP_2014'!H32+'May17-Exh11-TEFRA'!H32+'May17-Exh13-College_ESI_2014'!H32+'May17-Exh19-College_IP_2014'!H32+'May17-Exh22-HAN'!H32+'May17-Exh16-SCI'!H32</f>
        <v>2595012911.8465209</v>
      </c>
      <c r="I32" s="76">
        <f t="shared" si="0"/>
        <v>-109881769.87901163</v>
      </c>
      <c r="J32" s="77">
        <f>I32+J31</f>
        <v>3751398559.7898908</v>
      </c>
    </row>
    <row r="33" spans="1:11" ht="3.95" customHeight="1" x14ac:dyDescent="0.2"/>
    <row r="34" spans="1:11" x14ac:dyDescent="0.2">
      <c r="A34" s="48"/>
      <c r="B34" s="48"/>
      <c r="C34" s="48"/>
      <c r="D34" s="48"/>
      <c r="E34" s="48"/>
      <c r="F34" s="48"/>
      <c r="G34" s="287" t="s">
        <v>9</v>
      </c>
    </row>
    <row r="35" spans="1:11" x14ac:dyDescent="0.2">
      <c r="A35" s="48"/>
      <c r="B35" s="48"/>
      <c r="C35" s="48"/>
      <c r="D35" s="450"/>
      <c r="E35" s="450"/>
      <c r="F35" s="450"/>
      <c r="G35" s="451"/>
      <c r="H35" s="450"/>
      <c r="I35" s="450"/>
      <c r="J35" s="450"/>
      <c r="K35" s="48"/>
    </row>
    <row r="36" spans="1:11" x14ac:dyDescent="0.2">
      <c r="A36" s="48"/>
      <c r="B36" s="48"/>
      <c r="C36" s="48"/>
      <c r="D36" s="450"/>
      <c r="E36" s="450"/>
      <c r="F36" s="450"/>
      <c r="G36" s="451"/>
      <c r="H36" s="450"/>
      <c r="I36" s="450"/>
      <c r="J36" s="450"/>
      <c r="K36" s="48"/>
    </row>
    <row r="37" spans="1:11" x14ac:dyDescent="0.2">
      <c r="A37" s="48"/>
      <c r="B37" s="48"/>
      <c r="C37" s="48"/>
      <c r="D37" s="450"/>
      <c r="E37" s="450"/>
      <c r="F37" s="450"/>
      <c r="G37" s="451"/>
      <c r="H37" s="450"/>
      <c r="I37" s="450"/>
      <c r="J37" s="450"/>
      <c r="K37" s="48"/>
    </row>
    <row r="38" spans="1:11" x14ac:dyDescent="0.2">
      <c r="A38" s="48"/>
      <c r="B38" s="48"/>
      <c r="C38" s="48"/>
      <c r="D38" s="450"/>
      <c r="E38" s="450"/>
      <c r="F38" s="450"/>
      <c r="G38" s="451"/>
      <c r="H38" s="450"/>
      <c r="I38" s="450"/>
      <c r="J38" s="450"/>
      <c r="K38" s="48"/>
    </row>
    <row r="39" spans="1:11" x14ac:dyDescent="0.2">
      <c r="A39" s="48"/>
      <c r="B39" s="48"/>
      <c r="C39" s="48"/>
      <c r="D39" s="450"/>
      <c r="E39" s="450"/>
      <c r="F39" s="450"/>
      <c r="G39" s="451"/>
      <c r="H39" s="450"/>
      <c r="I39" s="450"/>
      <c r="J39" s="450"/>
      <c r="K39" s="48"/>
    </row>
    <row r="40" spans="1:11" x14ac:dyDescent="0.2">
      <c r="A40" s="48"/>
      <c r="B40" s="48"/>
      <c r="C40" s="48"/>
      <c r="D40" s="450"/>
      <c r="E40" s="450"/>
      <c r="F40" s="450"/>
      <c r="G40" s="451"/>
      <c r="H40" s="450"/>
      <c r="I40" s="450"/>
      <c r="J40" s="450"/>
      <c r="K40" s="48"/>
    </row>
    <row r="41" spans="1:11" x14ac:dyDescent="0.2">
      <c r="A41" s="48"/>
      <c r="B41" s="48"/>
      <c r="C41" s="48"/>
      <c r="D41" s="450"/>
      <c r="E41" s="450"/>
      <c r="F41" s="450"/>
      <c r="G41" s="451"/>
      <c r="H41" s="450"/>
      <c r="I41" s="450"/>
      <c r="J41" s="450"/>
      <c r="K41" s="48"/>
    </row>
    <row r="42" spans="1:11" x14ac:dyDescent="0.2">
      <c r="A42" s="48"/>
      <c r="B42" s="48"/>
      <c r="C42" s="48"/>
      <c r="D42" s="48"/>
      <c r="E42" s="48"/>
      <c r="F42" s="48"/>
      <c r="G42" s="48"/>
      <c r="H42" s="48"/>
      <c r="I42" s="48"/>
      <c r="J42" s="48"/>
      <c r="K42" s="48"/>
    </row>
    <row r="43" spans="1:11" x14ac:dyDescent="0.2">
      <c r="A43" s="48"/>
      <c r="B43" s="48"/>
      <c r="C43" s="48"/>
      <c r="D43" s="48"/>
      <c r="E43" s="48"/>
      <c r="F43" s="48"/>
      <c r="G43" s="48"/>
      <c r="H43" s="48"/>
      <c r="I43" s="48"/>
      <c r="J43" s="48"/>
      <c r="K43" s="48"/>
    </row>
    <row r="44" spans="1:11" x14ac:dyDescent="0.2">
      <c r="A44" s="48"/>
      <c r="B44" s="48"/>
      <c r="C44" s="48"/>
      <c r="D44" s="48"/>
      <c r="E44" s="48"/>
      <c r="F44" s="48"/>
      <c r="G44" s="48"/>
      <c r="H44" s="48"/>
      <c r="I44" s="48"/>
      <c r="J44" s="48"/>
      <c r="K44" s="48"/>
    </row>
    <row r="45" spans="1:11" x14ac:dyDescent="0.2">
      <c r="A45" s="48"/>
      <c r="B45" s="48"/>
      <c r="C45" s="48"/>
      <c r="D45" s="48"/>
      <c r="E45" s="48"/>
      <c r="F45" s="48"/>
      <c r="G45" s="48"/>
    </row>
    <row r="46" spans="1:11" x14ac:dyDescent="0.2">
      <c r="A46" s="48"/>
      <c r="B46" s="48"/>
      <c r="C46" s="48"/>
      <c r="D46" s="48"/>
      <c r="E46" s="48"/>
      <c r="F46" s="48"/>
      <c r="G46" s="48"/>
    </row>
    <row r="47" spans="1:11" x14ac:dyDescent="0.2">
      <c r="A47" s="48"/>
      <c r="B47" s="48"/>
      <c r="C47" s="48"/>
      <c r="D47" s="48"/>
      <c r="E47" s="48"/>
      <c r="F47" s="48"/>
      <c r="G47" s="48"/>
    </row>
    <row r="48" spans="1:11" x14ac:dyDescent="0.2">
      <c r="A48" s="48"/>
      <c r="B48" s="48"/>
      <c r="C48" s="48"/>
      <c r="D48" s="48"/>
      <c r="E48" s="48"/>
      <c r="F48" s="48"/>
      <c r="G48" s="48"/>
    </row>
    <row r="49" spans="1:8" x14ac:dyDescent="0.2">
      <c r="A49" s="48"/>
      <c r="B49" s="48"/>
      <c r="C49" s="48"/>
      <c r="D49" s="48"/>
      <c r="E49" s="48"/>
      <c r="F49" s="48"/>
      <c r="G49" s="48"/>
    </row>
    <row r="50" spans="1:8" x14ac:dyDescent="0.2">
      <c r="A50" s="48"/>
      <c r="B50" s="48"/>
      <c r="C50" s="48"/>
      <c r="D50" s="48"/>
      <c r="E50" s="48"/>
      <c r="F50" s="48"/>
      <c r="G50" s="48"/>
    </row>
    <row r="51" spans="1:8" x14ac:dyDescent="0.2">
      <c r="A51" s="48"/>
      <c r="B51" s="48"/>
      <c r="C51" s="48"/>
      <c r="D51" s="48"/>
      <c r="E51" s="48"/>
      <c r="F51" s="48"/>
      <c r="G51" s="48"/>
    </row>
    <row r="52" spans="1:8" x14ac:dyDescent="0.2">
      <c r="A52" s="48"/>
      <c r="B52" s="48"/>
      <c r="C52" s="48"/>
      <c r="D52" s="48"/>
      <c r="E52" s="48"/>
      <c r="F52" s="48"/>
      <c r="G52" s="48"/>
    </row>
    <row r="53" spans="1:8" x14ac:dyDescent="0.2">
      <c r="A53" s="48"/>
      <c r="B53" s="48"/>
      <c r="C53" s="48"/>
      <c r="D53" s="48"/>
      <c r="E53" s="48"/>
      <c r="F53" s="48"/>
      <c r="G53" s="48"/>
    </row>
    <row r="54" spans="1:8" x14ac:dyDescent="0.2">
      <c r="A54" s="48"/>
      <c r="B54" s="48"/>
      <c r="C54" s="48"/>
      <c r="D54" s="48"/>
      <c r="E54" s="48"/>
      <c r="F54" s="48"/>
      <c r="G54" s="48"/>
    </row>
    <row r="55" spans="1:8" x14ac:dyDescent="0.2">
      <c r="A55" s="48"/>
      <c r="B55" s="48"/>
      <c r="C55" s="48"/>
      <c r="D55" s="48"/>
      <c r="E55" s="48"/>
      <c r="F55" s="48"/>
      <c r="G55" s="48"/>
    </row>
    <row r="56" spans="1:8" x14ac:dyDescent="0.2">
      <c r="A56" s="48"/>
      <c r="B56" s="48"/>
      <c r="C56" s="48"/>
      <c r="D56" s="48"/>
      <c r="E56" s="48"/>
      <c r="F56" s="48"/>
      <c r="G56" s="48"/>
    </row>
    <row r="57" spans="1:8" x14ac:dyDescent="0.2">
      <c r="A57" s="48"/>
      <c r="B57" s="48"/>
      <c r="C57" s="48"/>
      <c r="D57" s="48"/>
      <c r="E57" s="48"/>
      <c r="F57" s="48"/>
      <c r="G57" s="48"/>
    </row>
    <row r="58" spans="1:8" x14ac:dyDescent="0.2">
      <c r="A58" s="48"/>
      <c r="B58" s="48"/>
      <c r="C58" s="48"/>
      <c r="D58" s="48"/>
      <c r="E58" s="48"/>
      <c r="F58" s="48"/>
      <c r="G58" s="48"/>
    </row>
    <row r="59" spans="1:8" x14ac:dyDescent="0.2">
      <c r="A59" s="48"/>
      <c r="B59" s="48"/>
      <c r="C59" s="48"/>
      <c r="D59" s="48"/>
      <c r="E59" s="48"/>
      <c r="F59" s="48"/>
      <c r="G59" s="48"/>
      <c r="H59" s="48"/>
    </row>
    <row r="60" spans="1:8" x14ac:dyDescent="0.2">
      <c r="A60" s="48"/>
      <c r="B60" s="48"/>
      <c r="C60" s="48"/>
      <c r="D60" s="48"/>
      <c r="E60" s="48"/>
      <c r="F60" s="48"/>
      <c r="G60" s="48"/>
      <c r="H60" s="48"/>
    </row>
    <row r="61" spans="1:8" x14ac:dyDescent="0.2">
      <c r="A61" s="48"/>
      <c r="B61" s="48"/>
      <c r="C61" s="48"/>
      <c r="D61" s="48"/>
      <c r="E61" s="48"/>
      <c r="F61" s="48"/>
      <c r="G61" s="48"/>
      <c r="H61" s="48"/>
    </row>
    <row r="62" spans="1:8" x14ac:dyDescent="0.2">
      <c r="A62" s="48"/>
      <c r="B62" s="48"/>
      <c r="C62" s="48"/>
      <c r="D62" s="48"/>
      <c r="E62" s="48"/>
      <c r="F62" s="48"/>
      <c r="G62" s="48"/>
      <c r="H62" s="48"/>
    </row>
    <row r="63" spans="1:8" x14ac:dyDescent="0.2">
      <c r="A63" s="48"/>
      <c r="B63" s="48"/>
      <c r="C63" s="48"/>
      <c r="D63" s="48"/>
      <c r="E63" s="48"/>
      <c r="F63" s="48"/>
      <c r="G63" s="48"/>
      <c r="H63" s="48"/>
    </row>
    <row r="64" spans="1:8" x14ac:dyDescent="0.2">
      <c r="A64" s="48"/>
      <c r="B64" s="48"/>
      <c r="C64" s="48"/>
      <c r="D64" s="48"/>
      <c r="E64" s="48"/>
      <c r="F64" s="48"/>
      <c r="G64" s="48"/>
      <c r="H64" s="48"/>
    </row>
    <row r="65" spans="1:8" x14ac:dyDescent="0.2">
      <c r="A65" s="48"/>
      <c r="B65" s="48"/>
      <c r="C65" s="48"/>
      <c r="D65" s="48"/>
      <c r="E65" s="48"/>
      <c r="F65" s="48"/>
      <c r="G65" s="48"/>
      <c r="H65" s="48"/>
    </row>
    <row r="66" spans="1:8" x14ac:dyDescent="0.2">
      <c r="A66" s="48"/>
      <c r="B66" s="48"/>
      <c r="C66" s="48"/>
      <c r="D66" s="48"/>
      <c r="E66" s="48"/>
      <c r="F66" s="48"/>
      <c r="G66" s="48"/>
      <c r="H66" s="48"/>
    </row>
    <row r="67" spans="1:8" x14ac:dyDescent="0.2">
      <c r="A67" s="48"/>
      <c r="B67" s="48"/>
      <c r="C67" s="48"/>
      <c r="D67" s="48"/>
      <c r="E67" s="48"/>
      <c r="F67" s="48"/>
      <c r="G67" s="48"/>
      <c r="H67" s="48"/>
    </row>
    <row r="68" spans="1:8" x14ac:dyDescent="0.2">
      <c r="A68" s="48"/>
      <c r="B68" s="48"/>
      <c r="C68" s="48"/>
      <c r="D68" s="48"/>
      <c r="E68" s="48"/>
      <c r="F68" s="48"/>
      <c r="G68" s="48"/>
      <c r="H68" s="48"/>
    </row>
    <row r="69" spans="1:8" x14ac:dyDescent="0.2">
      <c r="A69" s="48"/>
      <c r="B69" s="48"/>
      <c r="C69" s="48"/>
      <c r="D69" s="48"/>
      <c r="E69" s="48"/>
      <c r="F69" s="48"/>
      <c r="G69" s="48"/>
      <c r="H69" s="48"/>
    </row>
  </sheetData>
  <mergeCells count="4">
    <mergeCell ref="E8:F8"/>
    <mergeCell ref="G8:H8"/>
    <mergeCell ref="A10:A26"/>
    <mergeCell ref="A30:A32"/>
  </mergeCells>
  <pageMargins left="0.41" right="0.25" top="1" bottom="1" header="0.5" footer="0.5"/>
  <pageSetup scale="64" orientation="landscape" r:id="rId1"/>
  <headerFooter alignWithMargins="0">
    <oddFooter xml:space="preserve">&amp;L&amp;8 &amp;C&amp;A </oddFooter>
  </headerFooter>
  <rowBreaks count="1" manualBreakCount="1">
    <brk id="23"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heetViews>
  <sheetFormatPr defaultRowHeight="12.75" x14ac:dyDescent="0.2"/>
  <sheetData>
    <row r="3" spans="1:1" ht="15.75" x14ac:dyDescent="0.25">
      <c r="A3" s="427" t="s">
        <v>134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36"/>
  <sheetViews>
    <sheetView topLeftCell="O1" workbookViewId="0">
      <selection activeCell="R21" sqref="R21"/>
    </sheetView>
  </sheetViews>
  <sheetFormatPr defaultRowHeight="12.75" x14ac:dyDescent="0.2"/>
  <cols>
    <col min="1" max="1" width="4.7109375" customWidth="1"/>
    <col min="2" max="2" width="14.7109375" customWidth="1"/>
    <col min="3" max="14" width="12.7109375" hidden="1" customWidth="1"/>
    <col min="15" max="38" width="12.7109375" customWidth="1"/>
    <col min="39" max="39" width="4.7109375" customWidth="1"/>
    <col min="40" max="40" width="16.7109375" customWidth="1"/>
    <col min="41" max="41" width="4.7109375" customWidth="1"/>
    <col min="42" max="43" width="16.7109375" customWidth="1"/>
  </cols>
  <sheetData>
    <row r="1" spans="1:45" ht="18" x14ac:dyDescent="0.25">
      <c r="A1" s="131" t="s">
        <v>0</v>
      </c>
    </row>
    <row r="2" spans="1:45" ht="18" x14ac:dyDescent="0.25">
      <c r="A2" s="131" t="s">
        <v>53</v>
      </c>
    </row>
    <row r="5" spans="1:45" ht="66" customHeight="1" x14ac:dyDescent="0.2">
      <c r="AP5" s="513" t="s">
        <v>129</v>
      </c>
      <c r="AQ5" s="513"/>
    </row>
    <row r="6" spans="1:45" x14ac:dyDescent="0.2">
      <c r="C6" s="188">
        <v>41640</v>
      </c>
      <c r="D6" s="188">
        <f>C6+31</f>
        <v>41671</v>
      </c>
      <c r="E6" s="188">
        <f t="shared" ref="E6:J6" si="0">D6+31</f>
        <v>41702</v>
      </c>
      <c r="F6" s="188">
        <f t="shared" si="0"/>
        <v>41733</v>
      </c>
      <c r="G6" s="188">
        <f t="shared" si="0"/>
        <v>41764</v>
      </c>
      <c r="H6" s="188">
        <f t="shared" si="0"/>
        <v>41795</v>
      </c>
      <c r="I6" s="188">
        <f t="shared" si="0"/>
        <v>41826</v>
      </c>
      <c r="J6" s="188">
        <f t="shared" si="0"/>
        <v>41857</v>
      </c>
      <c r="K6" s="188">
        <f>J6+31</f>
        <v>41888</v>
      </c>
      <c r="L6" s="188">
        <f t="shared" ref="L6:Z6" si="1">K6+31</f>
        <v>41919</v>
      </c>
      <c r="M6" s="188">
        <f t="shared" si="1"/>
        <v>41950</v>
      </c>
      <c r="N6" s="188">
        <f t="shared" si="1"/>
        <v>41981</v>
      </c>
      <c r="O6" s="188">
        <f>N6+31</f>
        <v>42012</v>
      </c>
      <c r="P6" s="188">
        <f t="shared" ref="P6" si="2">O6+31</f>
        <v>42043</v>
      </c>
      <c r="Q6" s="188">
        <f t="shared" ref="Q6" si="3">P6+31</f>
        <v>42074</v>
      </c>
      <c r="R6" s="188">
        <f t="shared" ref="R6" si="4">Q6+31</f>
        <v>42105</v>
      </c>
      <c r="S6" s="188">
        <f t="shared" ref="S6" si="5">R6+31</f>
        <v>42136</v>
      </c>
      <c r="T6" s="188">
        <f t="shared" ref="T6" si="6">S6+31</f>
        <v>42167</v>
      </c>
      <c r="U6" s="188">
        <f t="shared" ref="U6" si="7">T6+31</f>
        <v>42198</v>
      </c>
      <c r="V6" s="188">
        <f t="shared" ref="V6" si="8">U6+31</f>
        <v>42229</v>
      </c>
      <c r="W6" s="188">
        <f t="shared" ref="W6" si="9">V6+31</f>
        <v>42260</v>
      </c>
      <c r="X6" s="188">
        <f t="shared" ref="X6" si="10">W6+31</f>
        <v>42291</v>
      </c>
      <c r="Y6" s="188">
        <f t="shared" ref="Y6" si="11">X6+31</f>
        <v>42322</v>
      </c>
      <c r="Z6" s="188">
        <f t="shared" si="1"/>
        <v>42353</v>
      </c>
      <c r="AA6" s="188">
        <f t="shared" ref="AA6" si="12">Z6+31</f>
        <v>42384</v>
      </c>
      <c r="AB6" s="188">
        <f t="shared" ref="AB6" si="13">AA6+31</f>
        <v>42415</v>
      </c>
      <c r="AC6" s="188">
        <f t="shared" ref="AC6" si="14">AB6+31</f>
        <v>42446</v>
      </c>
      <c r="AD6" s="188">
        <f t="shared" ref="AD6" si="15">AC6+31</f>
        <v>42477</v>
      </c>
      <c r="AE6" s="188">
        <f t="shared" ref="AE6" si="16">AD6+31</f>
        <v>42508</v>
      </c>
      <c r="AF6" s="188">
        <f t="shared" ref="AF6" si="17">AE6+31</f>
        <v>42539</v>
      </c>
      <c r="AG6" s="188">
        <f t="shared" ref="AG6" si="18">AF6+31</f>
        <v>42570</v>
      </c>
      <c r="AH6" s="188">
        <f t="shared" ref="AH6" si="19">AG6+31</f>
        <v>42601</v>
      </c>
      <c r="AI6" s="188">
        <f t="shared" ref="AI6" si="20">AH6+31</f>
        <v>42632</v>
      </c>
      <c r="AJ6" s="188">
        <f t="shared" ref="AJ6" si="21">AI6+31</f>
        <v>42663</v>
      </c>
      <c r="AK6" s="188">
        <f t="shared" ref="AK6" si="22">AJ6+31</f>
        <v>42694</v>
      </c>
      <c r="AL6" s="188">
        <f t="shared" ref="AL6" si="23">AK6+31</f>
        <v>42725</v>
      </c>
      <c r="AM6" s="188"/>
      <c r="AN6" s="189" t="s">
        <v>128</v>
      </c>
      <c r="AO6" s="188"/>
      <c r="AP6" s="284" t="s">
        <v>85</v>
      </c>
      <c r="AQ6" s="189" t="s">
        <v>56</v>
      </c>
    </row>
    <row r="8" spans="1:45" x14ac:dyDescent="0.2">
      <c r="A8" s="1" t="s">
        <v>62</v>
      </c>
    </row>
    <row r="9" spans="1:45" x14ac:dyDescent="0.2">
      <c r="B9" s="130" t="s">
        <v>54</v>
      </c>
      <c r="C9" s="60">
        <f>14471-C14</f>
        <v>14363</v>
      </c>
      <c r="D9" s="60">
        <f>14809-D14</f>
        <v>14687</v>
      </c>
      <c r="E9" s="60">
        <f>14750-E14</f>
        <v>14633</v>
      </c>
      <c r="F9" s="60">
        <f>14154-F14</f>
        <v>14043</v>
      </c>
      <c r="G9" s="60">
        <f>13854-G14</f>
        <v>13749</v>
      </c>
      <c r="H9" s="60">
        <f>13729-H14</f>
        <v>13623</v>
      </c>
      <c r="I9" s="60">
        <f>13197-I14</f>
        <v>13086</v>
      </c>
      <c r="J9" s="60">
        <f>12941-J14</f>
        <v>12831</v>
      </c>
      <c r="K9" s="60">
        <f>12773-K14</f>
        <v>12672</v>
      </c>
      <c r="L9" s="60">
        <f>12706-L14</f>
        <v>12604</v>
      </c>
      <c r="M9" s="60">
        <f>12764-M14</f>
        <v>12659</v>
      </c>
      <c r="N9" s="60">
        <f>12885-N14</f>
        <v>12784</v>
      </c>
      <c r="O9" s="60">
        <f>13272-O14</f>
        <v>13167</v>
      </c>
      <c r="P9" s="60">
        <f>13510-P14</f>
        <v>13403</v>
      </c>
      <c r="Q9" s="60">
        <f>13482-Q14</f>
        <v>13386</v>
      </c>
      <c r="R9" s="60">
        <f>13532-R14</f>
        <v>13434</v>
      </c>
      <c r="S9" s="60">
        <f>13527-S14</f>
        <v>13428</v>
      </c>
      <c r="T9" s="60">
        <f>13295-T14</f>
        <v>13198</v>
      </c>
      <c r="U9" s="60">
        <f>13165-U14</f>
        <v>13067</v>
      </c>
      <c r="V9" s="60">
        <f>13085-V14</f>
        <v>12993</v>
      </c>
      <c r="W9" s="60">
        <f>13117-W14</f>
        <v>13025</v>
      </c>
      <c r="X9" s="60">
        <f>13518-X14</f>
        <v>13417</v>
      </c>
      <c r="Y9" s="60">
        <f>14274-Y14</f>
        <v>14161</v>
      </c>
      <c r="Z9" s="296">
        <f>11397+1967-Z14</f>
        <v>13263</v>
      </c>
      <c r="AA9" s="60">
        <f>15299-AA14</f>
        <v>15171</v>
      </c>
      <c r="AB9" s="60">
        <f>15302-AB14</f>
        <v>15169</v>
      </c>
      <c r="AC9" s="60">
        <f>14965-AC14</f>
        <v>14842</v>
      </c>
      <c r="AD9" s="431">
        <f>12336-AD14</f>
        <v>12223</v>
      </c>
      <c r="AE9" s="431">
        <f>13376-AE14</f>
        <v>13263</v>
      </c>
      <c r="AF9" s="431">
        <f>13991-AF14</f>
        <v>13878</v>
      </c>
      <c r="AG9" s="431">
        <f>14516-AG14</f>
        <v>14403</v>
      </c>
      <c r="AH9" s="60">
        <f>14616-AH14</f>
        <v>14513</v>
      </c>
      <c r="AI9" s="60">
        <f>14574-AI14</f>
        <v>14459</v>
      </c>
      <c r="AJ9" s="60">
        <f>14849-AJ14</f>
        <v>14728</v>
      </c>
      <c r="AK9" s="60">
        <f>15172-AK14</f>
        <v>15052</v>
      </c>
      <c r="AL9" s="60">
        <f>15260-AL14</f>
        <v>15146</v>
      </c>
      <c r="AM9" s="60"/>
      <c r="AN9" s="282">
        <f>(AL9/O9)^(1/2)-1</f>
        <v>7.2520392535850853E-2</v>
      </c>
      <c r="AO9" s="60"/>
      <c r="AP9" s="285">
        <f>'May17-Exh8-NDWA_ESI_2014'!$H$29</f>
        <v>44063972</v>
      </c>
      <c r="AQ9" s="190">
        <f>AP9/AP11</f>
        <v>0.60910899975430488</v>
      </c>
      <c r="AS9" s="132" t="s">
        <v>9</v>
      </c>
    </row>
    <row r="10" spans="1:45" ht="15" x14ac:dyDescent="0.35">
      <c r="B10" s="130" t="s">
        <v>55</v>
      </c>
      <c r="C10" s="133">
        <f>4966-C15</f>
        <v>4788</v>
      </c>
      <c r="D10" s="133">
        <f>4842-D15</f>
        <v>4668</v>
      </c>
      <c r="E10" s="133">
        <f>4820-E15</f>
        <v>4655</v>
      </c>
      <c r="F10" s="133">
        <f>4952-F15</f>
        <v>4782</v>
      </c>
      <c r="G10" s="133">
        <f>4922-G15</f>
        <v>4747</v>
      </c>
      <c r="H10" s="133">
        <f>4737-H15</f>
        <v>4563</v>
      </c>
      <c r="I10" s="133">
        <f>4799-I15</f>
        <v>4622</v>
      </c>
      <c r="J10" s="133">
        <f>4670-J15</f>
        <v>4503</v>
      </c>
      <c r="K10" s="133">
        <f>4536-K15</f>
        <v>4378</v>
      </c>
      <c r="L10" s="133">
        <f>4503-L15</f>
        <v>4346</v>
      </c>
      <c r="M10" s="133">
        <f>4562-M15</f>
        <v>4390</v>
      </c>
      <c r="N10" s="133">
        <f>4531-N15</f>
        <v>4355</v>
      </c>
      <c r="O10" s="133">
        <f>4455-O15</f>
        <v>4278</v>
      </c>
      <c r="P10" s="133">
        <f>4445-P15</f>
        <v>4266</v>
      </c>
      <c r="Q10" s="133">
        <f>4353-Q15</f>
        <v>4168</v>
      </c>
      <c r="R10" s="133">
        <f>4409-R15</f>
        <v>4220</v>
      </c>
      <c r="S10" s="133">
        <f>4396-S15</f>
        <v>4210</v>
      </c>
      <c r="T10" s="133">
        <f>4316-T15</f>
        <v>4149</v>
      </c>
      <c r="U10" s="133">
        <f>4162-U15</f>
        <v>3991</v>
      </c>
      <c r="V10" s="133">
        <f>4053-V15</f>
        <v>3883</v>
      </c>
      <c r="W10" s="133">
        <f>3981-W15</f>
        <v>3814</v>
      </c>
      <c r="X10" s="133">
        <f>3920-X15</f>
        <v>3742</v>
      </c>
      <c r="Y10" s="133">
        <f>3878-Y15</f>
        <v>3702</v>
      </c>
      <c r="Z10" s="474">
        <f>2931+811-Z15</f>
        <v>3564</v>
      </c>
      <c r="AA10" s="133">
        <f>3933-AA15</f>
        <v>3745</v>
      </c>
      <c r="AB10" s="133">
        <f>4019-AB15</f>
        <v>3820</v>
      </c>
      <c r="AC10" s="133">
        <f>4072-AC15</f>
        <v>3872</v>
      </c>
      <c r="AD10" s="432">
        <f>4099-AD15</f>
        <v>3908</v>
      </c>
      <c r="AE10" s="432">
        <f>4045-AE15</f>
        <v>3854</v>
      </c>
      <c r="AF10" s="432">
        <f>4185-AF15</f>
        <v>3994</v>
      </c>
      <c r="AG10" s="432">
        <f>4486-AG15</f>
        <v>4295</v>
      </c>
      <c r="AH10" s="133">
        <f>4486-AH15</f>
        <v>4304</v>
      </c>
      <c r="AI10" s="133">
        <f>4596-AI15</f>
        <v>4402</v>
      </c>
      <c r="AJ10" s="133">
        <f>4678-AJ15</f>
        <v>4468</v>
      </c>
      <c r="AK10" s="133">
        <f>4719-AK15</f>
        <v>4523</v>
      </c>
      <c r="AL10" s="133">
        <f>4865-AL15</f>
        <v>4678</v>
      </c>
      <c r="AM10" s="133"/>
      <c r="AN10" s="282">
        <f>(AL10/O10)^(1/2)-1</f>
        <v>4.5706285855944717E-2</v>
      </c>
      <c r="AO10" s="133"/>
      <c r="AP10" s="286">
        <f>'May17-Exh17-NDWA_IP_2014'!$H$29</f>
        <v>28277714</v>
      </c>
      <c r="AQ10" s="191">
        <f>AP10/AP11</f>
        <v>0.39089100024569512</v>
      </c>
    </row>
    <row r="11" spans="1:45" x14ac:dyDescent="0.2">
      <c r="B11" s="130" t="s">
        <v>47</v>
      </c>
      <c r="C11" s="60">
        <f>C9+C10</f>
        <v>19151</v>
      </c>
      <c r="D11" s="60">
        <f t="shared" ref="D11:AP11" si="24">D9+D10</f>
        <v>19355</v>
      </c>
      <c r="E11" s="60">
        <f t="shared" si="24"/>
        <v>19288</v>
      </c>
      <c r="F11" s="60">
        <f t="shared" si="24"/>
        <v>18825</v>
      </c>
      <c r="G11" s="60">
        <f t="shared" si="24"/>
        <v>18496</v>
      </c>
      <c r="H11" s="60">
        <f t="shared" si="24"/>
        <v>18186</v>
      </c>
      <c r="I11" s="60">
        <f t="shared" si="24"/>
        <v>17708</v>
      </c>
      <c r="J11" s="60">
        <f t="shared" si="24"/>
        <v>17334</v>
      </c>
      <c r="K11" s="60">
        <f t="shared" si="24"/>
        <v>17050</v>
      </c>
      <c r="L11" s="60">
        <f t="shared" ref="L11:AK11" si="25">L9+L10</f>
        <v>16950</v>
      </c>
      <c r="M11" s="60">
        <f t="shared" si="25"/>
        <v>17049</v>
      </c>
      <c r="N11" s="60">
        <f t="shared" si="25"/>
        <v>17139</v>
      </c>
      <c r="O11" s="60">
        <f t="shared" ref="O11:Y11" si="26">O9+O10</f>
        <v>17445</v>
      </c>
      <c r="P11" s="60">
        <f t="shared" si="26"/>
        <v>17669</v>
      </c>
      <c r="Q11" s="60">
        <f t="shared" si="26"/>
        <v>17554</v>
      </c>
      <c r="R11" s="60">
        <f t="shared" si="26"/>
        <v>17654</v>
      </c>
      <c r="S11" s="60">
        <f t="shared" si="26"/>
        <v>17638</v>
      </c>
      <c r="T11" s="60">
        <f t="shared" si="26"/>
        <v>17347</v>
      </c>
      <c r="U11" s="60">
        <f t="shared" si="26"/>
        <v>17058</v>
      </c>
      <c r="V11" s="60">
        <f t="shared" si="26"/>
        <v>16876</v>
      </c>
      <c r="W11" s="60">
        <f t="shared" si="26"/>
        <v>16839</v>
      </c>
      <c r="X11" s="60">
        <f t="shared" si="26"/>
        <v>17159</v>
      </c>
      <c r="Y11" s="60">
        <f t="shared" si="26"/>
        <v>17863</v>
      </c>
      <c r="Z11" s="296">
        <f t="shared" si="25"/>
        <v>16827</v>
      </c>
      <c r="AA11" s="60">
        <f t="shared" si="25"/>
        <v>18916</v>
      </c>
      <c r="AB11" s="60">
        <f t="shared" si="25"/>
        <v>18989</v>
      </c>
      <c r="AC11" s="60">
        <f t="shared" si="25"/>
        <v>18714</v>
      </c>
      <c r="AD11" s="431">
        <f t="shared" si="25"/>
        <v>16131</v>
      </c>
      <c r="AE11" s="431">
        <f t="shared" si="25"/>
        <v>17117</v>
      </c>
      <c r="AF11" s="431">
        <f t="shared" si="25"/>
        <v>17872</v>
      </c>
      <c r="AG11" s="431">
        <f t="shared" si="25"/>
        <v>18698</v>
      </c>
      <c r="AH11" s="60">
        <f t="shared" si="25"/>
        <v>18817</v>
      </c>
      <c r="AI11" s="60">
        <f t="shared" si="25"/>
        <v>18861</v>
      </c>
      <c r="AJ11" s="60">
        <f t="shared" si="25"/>
        <v>19196</v>
      </c>
      <c r="AK11" s="60">
        <f t="shared" si="25"/>
        <v>19575</v>
      </c>
      <c r="AL11" s="60">
        <f t="shared" ref="AL11" si="27">AL9+AL10</f>
        <v>19824</v>
      </c>
      <c r="AM11" s="60"/>
      <c r="AN11" s="283"/>
      <c r="AO11" s="60"/>
      <c r="AP11" s="285">
        <f t="shared" si="24"/>
        <v>72341686</v>
      </c>
      <c r="AQ11" s="190">
        <f>AQ9+AQ10</f>
        <v>1</v>
      </c>
    </row>
    <row r="12" spans="1:45" x14ac:dyDescent="0.2">
      <c r="C12" s="60"/>
      <c r="D12" s="60"/>
      <c r="E12" s="60"/>
      <c r="F12" s="60"/>
      <c r="G12" s="60"/>
      <c r="H12" s="60"/>
      <c r="I12" s="60"/>
      <c r="J12" s="60"/>
      <c r="K12" s="60"/>
      <c r="L12" s="60"/>
      <c r="M12" s="60"/>
      <c r="N12" s="60"/>
      <c r="O12" s="60"/>
      <c r="P12" s="60"/>
      <c r="Q12" s="60"/>
      <c r="R12" s="60"/>
      <c r="S12" s="60"/>
      <c r="T12" s="60"/>
      <c r="U12" s="60"/>
      <c r="V12" s="60"/>
      <c r="W12" s="60"/>
      <c r="X12" s="60"/>
      <c r="Y12" s="60"/>
      <c r="Z12" s="296"/>
      <c r="AA12" s="60"/>
      <c r="AB12" s="60"/>
      <c r="AC12" s="60"/>
      <c r="AD12" s="431"/>
      <c r="AE12" s="431"/>
      <c r="AF12" s="431"/>
      <c r="AG12" s="431"/>
      <c r="AH12" s="60"/>
      <c r="AI12" s="60"/>
      <c r="AJ12" s="60"/>
      <c r="AK12" s="60"/>
      <c r="AL12" s="60"/>
      <c r="AM12" s="60"/>
      <c r="AN12" s="283"/>
      <c r="AO12" s="60"/>
      <c r="AP12" s="60"/>
      <c r="AQ12" s="190"/>
    </row>
    <row r="13" spans="1:45" x14ac:dyDescent="0.2">
      <c r="A13" s="1" t="s">
        <v>28</v>
      </c>
      <c r="C13" s="60"/>
      <c r="D13" s="60"/>
      <c r="E13" s="60"/>
      <c r="F13" s="60"/>
      <c r="G13" s="60"/>
      <c r="H13" s="60"/>
      <c r="I13" s="60"/>
      <c r="J13" s="60"/>
      <c r="K13" s="60"/>
      <c r="L13" s="60"/>
      <c r="M13" s="60"/>
      <c r="N13" s="60"/>
      <c r="O13" s="60"/>
      <c r="P13" s="60"/>
      <c r="Q13" s="60"/>
      <c r="R13" s="60"/>
      <c r="S13" s="60"/>
      <c r="T13" s="60"/>
      <c r="U13" s="60"/>
      <c r="V13" s="60"/>
      <c r="W13" s="60"/>
      <c r="X13" s="60"/>
      <c r="Y13" s="60"/>
      <c r="Z13" s="296"/>
      <c r="AA13" s="60"/>
      <c r="AB13" s="60"/>
      <c r="AC13" s="60"/>
      <c r="AD13" s="431"/>
      <c r="AE13" s="431"/>
      <c r="AF13" s="431"/>
      <c r="AG13" s="431"/>
      <c r="AH13" s="60"/>
      <c r="AI13" s="60"/>
      <c r="AJ13" s="60"/>
      <c r="AK13" s="60"/>
      <c r="AL13" s="60"/>
      <c r="AM13" s="60"/>
      <c r="AN13" s="283"/>
      <c r="AO13" s="60"/>
      <c r="AP13" s="60"/>
      <c r="AQ13" s="190"/>
    </row>
    <row r="14" spans="1:45" x14ac:dyDescent="0.2">
      <c r="B14" s="130" t="s">
        <v>54</v>
      </c>
      <c r="C14" s="60">
        <v>108</v>
      </c>
      <c r="D14" s="60">
        <v>122</v>
      </c>
      <c r="E14" s="60">
        <v>117</v>
      </c>
      <c r="F14" s="60">
        <v>111</v>
      </c>
      <c r="G14" s="60">
        <v>105</v>
      </c>
      <c r="H14" s="60">
        <v>106</v>
      </c>
      <c r="I14" s="60">
        <v>111</v>
      </c>
      <c r="J14" s="60">
        <v>110</v>
      </c>
      <c r="K14" s="60">
        <v>101</v>
      </c>
      <c r="L14" s="60">
        <v>102</v>
      </c>
      <c r="M14" s="60">
        <v>105</v>
      </c>
      <c r="N14" s="60">
        <v>101</v>
      </c>
      <c r="O14" s="60">
        <v>105</v>
      </c>
      <c r="P14" s="60">
        <v>107</v>
      </c>
      <c r="Q14" s="60">
        <v>96</v>
      </c>
      <c r="R14" s="60">
        <v>98</v>
      </c>
      <c r="S14" s="60">
        <v>99</v>
      </c>
      <c r="T14" s="60">
        <v>97</v>
      </c>
      <c r="U14" s="60">
        <v>98</v>
      </c>
      <c r="V14" s="60">
        <v>92</v>
      </c>
      <c r="W14" s="60">
        <v>92</v>
      </c>
      <c r="X14" s="60">
        <v>101</v>
      </c>
      <c r="Y14" s="60">
        <v>113</v>
      </c>
      <c r="Z14" s="296">
        <v>101</v>
      </c>
      <c r="AA14" s="60">
        <v>128</v>
      </c>
      <c r="AB14" s="60">
        <v>133</v>
      </c>
      <c r="AC14" s="60">
        <v>123</v>
      </c>
      <c r="AD14" s="429">
        <v>113</v>
      </c>
      <c r="AE14" s="429">
        <v>113</v>
      </c>
      <c r="AF14" s="429">
        <v>113</v>
      </c>
      <c r="AG14" s="429">
        <v>113</v>
      </c>
      <c r="AH14" s="60">
        <v>103</v>
      </c>
      <c r="AI14" s="60">
        <v>115</v>
      </c>
      <c r="AJ14" s="60">
        <v>121</v>
      </c>
      <c r="AK14" s="60">
        <v>120</v>
      </c>
      <c r="AL14" s="60">
        <v>114</v>
      </c>
      <c r="AM14" s="60"/>
      <c r="AN14" s="282">
        <f t="shared" ref="AN14:AN15" si="28">(AL14/O14)^(1/2)-1</f>
        <v>4.1976144503455437E-2</v>
      </c>
      <c r="AO14" s="60"/>
      <c r="AP14" s="285">
        <f>'May17-Exh13-College_ESI_2014'!$H$29</f>
        <v>306659</v>
      </c>
      <c r="AQ14" s="190">
        <f>AP14/AP16</f>
        <v>0.44473239975867829</v>
      </c>
    </row>
    <row r="15" spans="1:45" ht="15" x14ac:dyDescent="0.35">
      <c r="B15" s="130" t="s">
        <v>55</v>
      </c>
      <c r="C15" s="133">
        <v>178</v>
      </c>
      <c r="D15" s="133">
        <v>174</v>
      </c>
      <c r="E15" s="133">
        <v>165</v>
      </c>
      <c r="F15" s="133">
        <v>170</v>
      </c>
      <c r="G15" s="133">
        <v>175</v>
      </c>
      <c r="H15" s="133">
        <v>174</v>
      </c>
      <c r="I15" s="133">
        <v>177</v>
      </c>
      <c r="J15" s="133">
        <v>167</v>
      </c>
      <c r="K15" s="133">
        <v>158</v>
      </c>
      <c r="L15" s="133">
        <v>157</v>
      </c>
      <c r="M15" s="133">
        <v>172</v>
      </c>
      <c r="N15" s="133">
        <v>176</v>
      </c>
      <c r="O15" s="133">
        <v>177</v>
      </c>
      <c r="P15" s="133">
        <v>179</v>
      </c>
      <c r="Q15" s="133">
        <v>185</v>
      </c>
      <c r="R15" s="133">
        <v>189</v>
      </c>
      <c r="S15" s="133">
        <v>186</v>
      </c>
      <c r="T15" s="133">
        <v>167</v>
      </c>
      <c r="U15" s="133">
        <v>171</v>
      </c>
      <c r="V15" s="133">
        <v>170</v>
      </c>
      <c r="W15" s="133">
        <v>167</v>
      </c>
      <c r="X15" s="133">
        <v>178</v>
      </c>
      <c r="Y15" s="133">
        <v>176</v>
      </c>
      <c r="Z15" s="474">
        <v>178</v>
      </c>
      <c r="AA15" s="133">
        <v>188</v>
      </c>
      <c r="AB15" s="133">
        <v>199</v>
      </c>
      <c r="AC15" s="133">
        <v>200</v>
      </c>
      <c r="AD15" s="430">
        <v>191</v>
      </c>
      <c r="AE15" s="430">
        <v>191</v>
      </c>
      <c r="AF15" s="430">
        <v>191</v>
      </c>
      <c r="AG15" s="430">
        <v>191</v>
      </c>
      <c r="AH15" s="133">
        <v>182</v>
      </c>
      <c r="AI15" s="133">
        <v>194</v>
      </c>
      <c r="AJ15" s="133">
        <v>210</v>
      </c>
      <c r="AK15" s="133">
        <v>196</v>
      </c>
      <c r="AL15" s="133">
        <v>187</v>
      </c>
      <c r="AM15" s="133"/>
      <c r="AN15" s="282">
        <f t="shared" si="28"/>
        <v>2.7860484278505071E-2</v>
      </c>
      <c r="AO15" s="133"/>
      <c r="AP15" s="286">
        <f>'May17-Exh19-College_IP_2014'!$H$29</f>
        <v>382877</v>
      </c>
      <c r="AQ15" s="191">
        <f>AP15/AP16</f>
        <v>0.55526760024132171</v>
      </c>
    </row>
    <row r="16" spans="1:45" x14ac:dyDescent="0.2">
      <c r="B16" s="130" t="s">
        <v>47</v>
      </c>
      <c r="C16" s="60">
        <f t="shared" ref="C16:AP16" si="29">C14+C15</f>
        <v>286</v>
      </c>
      <c r="D16" s="60">
        <f t="shared" si="29"/>
        <v>296</v>
      </c>
      <c r="E16" s="60">
        <f t="shared" si="29"/>
        <v>282</v>
      </c>
      <c r="F16" s="60">
        <f t="shared" si="29"/>
        <v>281</v>
      </c>
      <c r="G16" s="60">
        <f t="shared" si="29"/>
        <v>280</v>
      </c>
      <c r="H16" s="60">
        <f t="shared" si="29"/>
        <v>280</v>
      </c>
      <c r="I16" s="60">
        <f t="shared" si="29"/>
        <v>288</v>
      </c>
      <c r="J16" s="60">
        <f t="shared" si="29"/>
        <v>277</v>
      </c>
      <c r="K16" s="60">
        <f t="shared" si="29"/>
        <v>259</v>
      </c>
      <c r="L16" s="60">
        <f t="shared" ref="L16:AK16" si="30">L14+L15</f>
        <v>259</v>
      </c>
      <c r="M16" s="60">
        <f t="shared" si="30"/>
        <v>277</v>
      </c>
      <c r="N16" s="60">
        <f t="shared" si="30"/>
        <v>277</v>
      </c>
      <c r="O16" s="60">
        <f t="shared" ref="O16:Y16" si="31">O14+O15</f>
        <v>282</v>
      </c>
      <c r="P16" s="60">
        <f t="shared" si="31"/>
        <v>286</v>
      </c>
      <c r="Q16" s="60">
        <f t="shared" si="31"/>
        <v>281</v>
      </c>
      <c r="R16" s="60">
        <f t="shared" si="31"/>
        <v>287</v>
      </c>
      <c r="S16" s="60">
        <f t="shared" si="31"/>
        <v>285</v>
      </c>
      <c r="T16" s="60">
        <f t="shared" si="31"/>
        <v>264</v>
      </c>
      <c r="U16" s="60">
        <f t="shared" si="31"/>
        <v>269</v>
      </c>
      <c r="V16" s="60">
        <f t="shared" si="31"/>
        <v>262</v>
      </c>
      <c r="W16" s="60">
        <f t="shared" si="31"/>
        <v>259</v>
      </c>
      <c r="X16" s="60">
        <f t="shared" si="31"/>
        <v>279</v>
      </c>
      <c r="Y16" s="60">
        <f t="shared" si="31"/>
        <v>289</v>
      </c>
      <c r="Z16" s="296">
        <f t="shared" si="30"/>
        <v>279</v>
      </c>
      <c r="AA16" s="60">
        <f t="shared" si="30"/>
        <v>316</v>
      </c>
      <c r="AB16" s="60">
        <f t="shared" si="30"/>
        <v>332</v>
      </c>
      <c r="AC16" s="60">
        <f t="shared" si="30"/>
        <v>323</v>
      </c>
      <c r="AD16" s="431">
        <f t="shared" si="30"/>
        <v>304</v>
      </c>
      <c r="AE16" s="431">
        <f t="shared" si="30"/>
        <v>304</v>
      </c>
      <c r="AF16" s="431">
        <f t="shared" si="30"/>
        <v>304</v>
      </c>
      <c r="AG16" s="431">
        <f t="shared" si="30"/>
        <v>304</v>
      </c>
      <c r="AH16" s="60">
        <f t="shared" si="30"/>
        <v>285</v>
      </c>
      <c r="AI16" s="60">
        <f t="shared" si="30"/>
        <v>309</v>
      </c>
      <c r="AJ16" s="60">
        <f t="shared" si="30"/>
        <v>331</v>
      </c>
      <c r="AK16" s="60">
        <f t="shared" si="30"/>
        <v>316</v>
      </c>
      <c r="AL16" s="60">
        <f t="shared" ref="AL16" si="32">AL14+AL15</f>
        <v>301</v>
      </c>
      <c r="AM16" s="60"/>
      <c r="AN16" s="48"/>
      <c r="AO16" s="60"/>
      <c r="AP16" s="296">
        <f t="shared" si="29"/>
        <v>689536</v>
      </c>
      <c r="AQ16" s="190">
        <f>AQ14+AQ15</f>
        <v>1</v>
      </c>
    </row>
    <row r="17" spans="11:41" x14ac:dyDescent="0.2">
      <c r="Z17" s="455"/>
    </row>
    <row r="19" spans="11:41" x14ac:dyDescent="0.2">
      <c r="V19" s="433" t="s">
        <v>146</v>
      </c>
      <c r="W19" s="434" t="s">
        <v>54</v>
      </c>
      <c r="X19" s="434">
        <f t="shared" ref="X19:Z20" si="33">X14+X9</f>
        <v>13518</v>
      </c>
      <c r="Y19" s="434">
        <f t="shared" si="33"/>
        <v>14274</v>
      </c>
      <c r="Z19" s="434">
        <f t="shared" si="33"/>
        <v>13364</v>
      </c>
      <c r="AA19" s="434">
        <f t="shared" ref="AA19:AK19" si="34">AA14+AA9</f>
        <v>15299</v>
      </c>
      <c r="AB19" s="434">
        <f t="shared" si="34"/>
        <v>15302</v>
      </c>
      <c r="AC19" s="434">
        <f t="shared" si="34"/>
        <v>14965</v>
      </c>
      <c r="AD19" s="434">
        <f t="shared" si="34"/>
        <v>12336</v>
      </c>
      <c r="AE19" s="434">
        <f t="shared" si="34"/>
        <v>13376</v>
      </c>
      <c r="AF19" s="434">
        <f t="shared" si="34"/>
        <v>13991</v>
      </c>
      <c r="AG19" s="434">
        <f t="shared" si="34"/>
        <v>14516</v>
      </c>
      <c r="AH19" s="434">
        <f t="shared" si="34"/>
        <v>14616</v>
      </c>
      <c r="AI19" s="435">
        <f t="shared" si="34"/>
        <v>14574</v>
      </c>
      <c r="AJ19" s="435">
        <f t="shared" si="34"/>
        <v>14849</v>
      </c>
      <c r="AK19" s="435">
        <f t="shared" si="34"/>
        <v>15172</v>
      </c>
      <c r="AL19" s="435">
        <f t="shared" ref="AL19" si="35">AL14+AL9</f>
        <v>15260</v>
      </c>
    </row>
    <row r="20" spans="11:41" x14ac:dyDescent="0.2">
      <c r="V20" s="433"/>
      <c r="W20" s="434" t="s">
        <v>55</v>
      </c>
      <c r="X20" s="434">
        <f t="shared" si="33"/>
        <v>3920</v>
      </c>
      <c r="Y20" s="434">
        <f t="shared" si="33"/>
        <v>3878</v>
      </c>
      <c r="Z20" s="434">
        <f t="shared" si="33"/>
        <v>3742</v>
      </c>
      <c r="AA20" s="434">
        <f t="shared" ref="AA20:AK20" si="36">AA15+AA10</f>
        <v>3933</v>
      </c>
      <c r="AB20" s="434">
        <f t="shared" si="36"/>
        <v>4019</v>
      </c>
      <c r="AC20" s="434">
        <f t="shared" si="36"/>
        <v>4072</v>
      </c>
      <c r="AD20" s="434">
        <f t="shared" si="36"/>
        <v>4099</v>
      </c>
      <c r="AE20" s="434">
        <f t="shared" si="36"/>
        <v>4045</v>
      </c>
      <c r="AF20" s="434">
        <f t="shared" si="36"/>
        <v>4185</v>
      </c>
      <c r="AG20" s="434">
        <f t="shared" si="36"/>
        <v>4486</v>
      </c>
      <c r="AH20" s="434">
        <f t="shared" si="36"/>
        <v>4486</v>
      </c>
      <c r="AI20" s="435">
        <f t="shared" si="36"/>
        <v>4596</v>
      </c>
      <c r="AJ20" s="435">
        <f t="shared" si="36"/>
        <v>4678</v>
      </c>
      <c r="AK20" s="435">
        <f t="shared" si="36"/>
        <v>4719</v>
      </c>
      <c r="AL20" s="435">
        <f t="shared" ref="AL20" si="37">AL15+AL10</f>
        <v>4865</v>
      </c>
    </row>
    <row r="21" spans="11:41" x14ac:dyDescent="0.2">
      <c r="V21" s="433"/>
      <c r="W21" s="434"/>
      <c r="X21" s="434"/>
      <c r="Y21" s="434"/>
      <c r="Z21" s="434"/>
      <c r="AA21" s="434"/>
      <c r="AB21" s="434"/>
      <c r="AC21" s="434"/>
      <c r="AD21" s="434"/>
      <c r="AE21" s="434"/>
      <c r="AF21" s="434"/>
      <c r="AG21" s="434"/>
      <c r="AH21" s="434"/>
      <c r="AI21" s="433"/>
      <c r="AJ21" s="433"/>
      <c r="AK21" s="433"/>
      <c r="AL21" s="433"/>
    </row>
    <row r="22" spans="11:41" x14ac:dyDescent="0.2">
      <c r="V22" s="433" t="s">
        <v>145</v>
      </c>
      <c r="W22" s="434" t="s">
        <v>54</v>
      </c>
      <c r="X22" s="434">
        <v>13518</v>
      </c>
      <c r="Y22" s="434">
        <v>14274</v>
      </c>
      <c r="Z22" s="434">
        <v>14598</v>
      </c>
      <c r="AA22" s="434"/>
      <c r="AB22" s="434" t="s">
        <v>148</v>
      </c>
      <c r="AC22" s="434">
        <v>14965</v>
      </c>
      <c r="AD22" s="434">
        <v>12336</v>
      </c>
      <c r="AE22" s="434">
        <v>13376</v>
      </c>
      <c r="AF22" s="434">
        <v>13991</v>
      </c>
      <c r="AG22" s="434">
        <v>14516</v>
      </c>
      <c r="AH22" s="434">
        <v>14616</v>
      </c>
      <c r="AI22" s="433"/>
      <c r="AJ22" s="433"/>
      <c r="AK22" s="433"/>
      <c r="AL22" s="433"/>
    </row>
    <row r="23" spans="11:41" x14ac:dyDescent="0.2">
      <c r="V23" s="433"/>
      <c r="W23" s="434" t="s">
        <v>55</v>
      </c>
      <c r="X23" s="434">
        <v>3920</v>
      </c>
      <c r="Y23" s="434">
        <v>3878</v>
      </c>
      <c r="Z23" s="434">
        <v>3846</v>
      </c>
      <c r="AA23" s="434"/>
      <c r="AB23" s="434"/>
      <c r="AC23" s="434">
        <v>4072</v>
      </c>
      <c r="AD23" s="434">
        <v>4099</v>
      </c>
      <c r="AE23" s="434">
        <v>4045</v>
      </c>
      <c r="AF23" s="434">
        <v>4185</v>
      </c>
      <c r="AG23" s="434">
        <v>4367</v>
      </c>
      <c r="AH23" s="434">
        <v>4486</v>
      </c>
      <c r="AI23" s="433"/>
      <c r="AJ23" s="433"/>
      <c r="AK23" s="433"/>
      <c r="AL23" s="433"/>
    </row>
    <row r="24" spans="11:41" x14ac:dyDescent="0.2">
      <c r="V24" s="433"/>
      <c r="W24" s="434"/>
      <c r="X24" s="434"/>
      <c r="Y24" s="434"/>
      <c r="Z24" s="434"/>
      <c r="AA24" s="434"/>
      <c r="AB24" s="434"/>
      <c r="AC24" s="434"/>
      <c r="AD24" s="434"/>
      <c r="AE24" s="434"/>
      <c r="AF24" s="434"/>
      <c r="AG24" s="434"/>
      <c r="AH24" s="434"/>
      <c r="AI24" s="433"/>
      <c r="AJ24" s="433"/>
      <c r="AK24" s="433"/>
      <c r="AL24" s="433"/>
    </row>
    <row r="25" spans="11:41" x14ac:dyDescent="0.2">
      <c r="V25" s="433" t="s">
        <v>147</v>
      </c>
      <c r="W25" s="434" t="s">
        <v>54</v>
      </c>
      <c r="X25" s="434">
        <f t="shared" ref="X25:Z26" si="38">X19-X22</f>
        <v>0</v>
      </c>
      <c r="Y25" s="434">
        <f t="shared" si="38"/>
        <v>0</v>
      </c>
      <c r="Z25" s="434">
        <f t="shared" si="38"/>
        <v>-1234</v>
      </c>
      <c r="AA25" s="434"/>
      <c r="AB25" s="434"/>
      <c r="AC25" s="434"/>
      <c r="AD25" s="434"/>
      <c r="AE25" s="434"/>
      <c r="AF25" s="434"/>
      <c r="AG25" s="434"/>
      <c r="AH25" s="434"/>
      <c r="AI25" s="433"/>
      <c r="AJ25" s="433"/>
      <c r="AK25" s="433"/>
      <c r="AL25" s="433"/>
    </row>
    <row r="26" spans="11:41" x14ac:dyDescent="0.2">
      <c r="V26" s="433"/>
      <c r="W26" s="434" t="s">
        <v>55</v>
      </c>
      <c r="X26" s="434">
        <f t="shared" si="38"/>
        <v>0</v>
      </c>
      <c r="Y26" s="434">
        <f t="shared" si="38"/>
        <v>0</v>
      </c>
      <c r="Z26" s="434">
        <f t="shared" si="38"/>
        <v>-104</v>
      </c>
      <c r="AA26" s="434"/>
      <c r="AB26" s="434"/>
      <c r="AC26" s="434"/>
      <c r="AD26" s="434"/>
      <c r="AE26" s="434"/>
      <c r="AF26" s="434"/>
      <c r="AG26" s="434"/>
      <c r="AH26" s="434"/>
      <c r="AI26" s="433"/>
      <c r="AJ26" s="433"/>
      <c r="AK26" s="433"/>
      <c r="AL26" s="433"/>
    </row>
    <row r="27" spans="11:41" x14ac:dyDescent="0.2">
      <c r="K27" s="130" t="s">
        <v>9</v>
      </c>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433" t="s">
        <v>150</v>
      </c>
      <c r="AI27" s="433"/>
      <c r="AJ27" s="440" t="s">
        <v>151</v>
      </c>
      <c r="AK27" s="440" t="s">
        <v>152</v>
      </c>
      <c r="AL27" s="440" t="s">
        <v>147</v>
      </c>
      <c r="AM27" s="433"/>
      <c r="AO27" s="130"/>
    </row>
    <row r="28" spans="11:41" x14ac:dyDescent="0.2">
      <c r="AH28" s="436" t="s">
        <v>62</v>
      </c>
      <c r="AI28" s="433"/>
      <c r="AJ28" s="433"/>
      <c r="AK28" s="433"/>
      <c r="AL28" s="433"/>
      <c r="AM28" s="433"/>
    </row>
    <row r="29" spans="11:41" x14ac:dyDescent="0.2">
      <c r="AH29" s="433"/>
      <c r="AI29" s="433" t="s">
        <v>54</v>
      </c>
      <c r="AJ29" s="434">
        <f>SUM(AA9:AL9)</f>
        <v>172847</v>
      </c>
      <c r="AK29" s="434">
        <f>'OHCA_C-Report_2014-16'!AJ14</f>
        <v>172683</v>
      </c>
      <c r="AL29" s="435">
        <f>AK29-AJ29</f>
        <v>-164</v>
      </c>
      <c r="AM29" s="433"/>
    </row>
    <row r="30" spans="11:41" x14ac:dyDescent="0.2">
      <c r="AH30" s="433"/>
      <c r="AI30" s="437" t="s">
        <v>55</v>
      </c>
      <c r="AJ30" s="439">
        <f>SUM(AA10:AL10)</f>
        <v>49863</v>
      </c>
      <c r="AK30" s="439">
        <f>'OHCA_C-Report_2014-16'!AJ16</f>
        <v>50320</v>
      </c>
      <c r="AL30" s="438">
        <f t="shared" ref="AL30:AL31" si="39">AK30-AJ30</f>
        <v>457</v>
      </c>
      <c r="AM30" s="433"/>
      <c r="AN30" s="436" t="s">
        <v>153</v>
      </c>
    </row>
    <row r="31" spans="11:41" x14ac:dyDescent="0.2">
      <c r="AH31" s="433"/>
      <c r="AI31" s="433" t="s">
        <v>47</v>
      </c>
      <c r="AJ31" s="434">
        <f>SUM(AJ29:AJ30)</f>
        <v>222710</v>
      </c>
      <c r="AK31" s="434">
        <f>SUM(AK29:AK30)</f>
        <v>223003</v>
      </c>
      <c r="AL31" s="435">
        <f t="shared" si="39"/>
        <v>293</v>
      </c>
      <c r="AM31" s="433"/>
    </row>
    <row r="32" spans="11:41" x14ac:dyDescent="0.2">
      <c r="AH32" s="433"/>
      <c r="AI32" s="433"/>
      <c r="AJ32" s="434"/>
      <c r="AK32" s="434"/>
      <c r="AL32" s="433"/>
      <c r="AM32" s="433"/>
    </row>
    <row r="33" spans="34:39" x14ac:dyDescent="0.2">
      <c r="AH33" s="436" t="s">
        <v>28</v>
      </c>
      <c r="AI33" s="433"/>
      <c r="AJ33" s="434"/>
      <c r="AK33" s="434"/>
      <c r="AL33" s="433"/>
      <c r="AM33" s="433"/>
    </row>
    <row r="34" spans="34:39" x14ac:dyDescent="0.2">
      <c r="AH34" s="433"/>
      <c r="AI34" s="433" t="s">
        <v>54</v>
      </c>
      <c r="AJ34" s="434">
        <f t="shared" ref="AJ34:AJ35" si="40">SUM(AA14:AL14)</f>
        <v>1409</v>
      </c>
      <c r="AK34" s="434">
        <f>'OHCA_C-Report_2014-16'!AJ20</f>
        <v>1450</v>
      </c>
      <c r="AL34" s="435">
        <f t="shared" ref="AL34:AL36" si="41">AK34-AJ34</f>
        <v>41</v>
      </c>
      <c r="AM34" s="433"/>
    </row>
    <row r="35" spans="34:39" x14ac:dyDescent="0.2">
      <c r="AH35" s="433"/>
      <c r="AI35" s="433" t="s">
        <v>55</v>
      </c>
      <c r="AJ35" s="434">
        <f t="shared" si="40"/>
        <v>2320</v>
      </c>
      <c r="AK35" s="434">
        <f>'OHCA_C-Report_2014-16'!AJ22</f>
        <v>2303</v>
      </c>
      <c r="AL35" s="435">
        <f t="shared" si="41"/>
        <v>-17</v>
      </c>
      <c r="AM35" s="433"/>
    </row>
    <row r="36" spans="34:39" x14ac:dyDescent="0.2">
      <c r="AH36" s="433"/>
      <c r="AI36" s="433" t="s">
        <v>47</v>
      </c>
      <c r="AJ36" s="434">
        <f>SUM(AJ34:AJ35)</f>
        <v>3729</v>
      </c>
      <c r="AK36" s="434">
        <f>SUM(AK34:AK35)</f>
        <v>3753</v>
      </c>
      <c r="AL36" s="435">
        <f t="shared" si="41"/>
        <v>24</v>
      </c>
      <c r="AM36" s="433"/>
    </row>
  </sheetData>
  <mergeCells count="1">
    <mergeCell ref="AP5:AQ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3A75C4"/>
    <pageSetUpPr fitToPage="1"/>
  </sheetPr>
  <dimension ref="A1:N45"/>
  <sheetViews>
    <sheetView workbookViewId="0"/>
  </sheetViews>
  <sheetFormatPr defaultRowHeight="12.75" x14ac:dyDescent="0.2"/>
  <cols>
    <col min="1" max="2" width="2.7109375" customWidth="1"/>
    <col min="3" max="3" width="15.7109375" customWidth="1"/>
    <col min="4" max="7" width="11.7109375" customWidth="1"/>
    <col min="8" max="11" width="12.7109375" customWidth="1"/>
    <col min="12" max="12" width="22.7109375" customWidth="1"/>
    <col min="13" max="13" width="12.7109375" customWidth="1"/>
    <col min="14" max="20" width="10.7109375" customWidth="1"/>
  </cols>
  <sheetData>
    <row r="1" spans="1:12" ht="18" x14ac:dyDescent="0.25">
      <c r="A1" s="47" t="s">
        <v>20</v>
      </c>
    </row>
    <row r="2" spans="1:12" ht="18" x14ac:dyDescent="0.25">
      <c r="A2" s="47" t="s">
        <v>12</v>
      </c>
    </row>
    <row r="7" spans="1:12" x14ac:dyDescent="0.2">
      <c r="A7" s="1" t="s">
        <v>40</v>
      </c>
    </row>
    <row r="8" spans="1:12" ht="13.5" thickBot="1" x14ac:dyDescent="0.25"/>
    <row r="9" spans="1:12" ht="27.95" customHeight="1" x14ac:dyDescent="0.2">
      <c r="C9" s="201" t="s">
        <v>13</v>
      </c>
      <c r="D9" s="202">
        <v>2010</v>
      </c>
      <c r="E9" s="202">
        <v>2011</v>
      </c>
      <c r="F9" s="202">
        <v>2012</v>
      </c>
      <c r="G9" s="203">
        <v>2013</v>
      </c>
      <c r="H9" s="203">
        <v>2014</v>
      </c>
      <c r="I9" s="203">
        <v>2015</v>
      </c>
      <c r="J9" s="203">
        <v>2016</v>
      </c>
      <c r="K9" s="203" t="s">
        <v>26</v>
      </c>
      <c r="L9" s="204" t="s">
        <v>29</v>
      </c>
    </row>
    <row r="10" spans="1:12" ht="22.15" customHeight="1" x14ac:dyDescent="0.2">
      <c r="C10" s="215" t="s">
        <v>30</v>
      </c>
      <c r="D10" s="216">
        <f>'May17-Exh3-TANFU'!$D$24</f>
        <v>3333170</v>
      </c>
      <c r="E10" s="216">
        <f>'May17-Exh3-TANFU'!$D$25</f>
        <v>3357000</v>
      </c>
      <c r="F10" s="216">
        <f>'May17-Exh3-TANFU'!$D$26</f>
        <v>3620263</v>
      </c>
      <c r="G10" s="216">
        <f>'May17-Exh3-TANFU'!$D$27</f>
        <v>3741817</v>
      </c>
      <c r="H10" s="216">
        <f>'May17-Exh3-TANFU'!$D$28</f>
        <v>4001208</v>
      </c>
      <c r="I10" s="216">
        <f>'May17-Exh3-TANFU'!$D$29</f>
        <v>4101736</v>
      </c>
      <c r="J10" s="216">
        <f>'May17-Exh3-TANFU'!$D$30</f>
        <v>4023592</v>
      </c>
      <c r="K10" s="217">
        <f>(J10/D10)^(1/6)-1</f>
        <v>3.1872595515281654E-2</v>
      </c>
      <c r="L10" s="218" t="s">
        <v>144</v>
      </c>
    </row>
    <row r="11" spans="1:12" ht="22.15" customHeight="1" x14ac:dyDescent="0.2">
      <c r="C11" s="215" t="s">
        <v>31</v>
      </c>
      <c r="D11" s="216">
        <f>'May17-Exh4-TANFR'!$D$24</f>
        <v>2429264</v>
      </c>
      <c r="E11" s="216">
        <f>'May17-Exh4-TANFR'!$D$25</f>
        <v>2433324</v>
      </c>
      <c r="F11" s="216">
        <f>'May17-Exh4-TANFR'!$D$26</f>
        <v>2565123</v>
      </c>
      <c r="G11" s="216">
        <f>'May17-Exh4-TANFR'!$D$27</f>
        <v>2618683</v>
      </c>
      <c r="H11" s="216">
        <f>'May17-Exh4-TANFR'!$D$28</f>
        <v>2745120</v>
      </c>
      <c r="I11" s="216">
        <f>'May17-Exh4-TANFR'!$D$29</f>
        <v>2807836</v>
      </c>
      <c r="J11" s="216">
        <f>'May17-Exh4-TANFR'!$D$30</f>
        <v>2721130</v>
      </c>
      <c r="K11" s="217">
        <f t="shared" ref="K11:K13" si="0">(J11/D11)^(1/6)-1</f>
        <v>1.9089740310140879E-2</v>
      </c>
      <c r="L11" s="218" t="s">
        <v>144</v>
      </c>
    </row>
    <row r="12" spans="1:12" ht="22.15" customHeight="1" x14ac:dyDescent="0.2">
      <c r="C12" s="215" t="s">
        <v>32</v>
      </c>
      <c r="D12" s="216">
        <f>'May17-Exh5-ABDU'!$D$24</f>
        <v>327267</v>
      </c>
      <c r="E12" s="216">
        <f>'May17-Exh5-ABDU'!$D$25</f>
        <v>344575</v>
      </c>
      <c r="F12" s="216">
        <f>'May17-Exh5-ABDU'!$D$26</f>
        <v>348935</v>
      </c>
      <c r="G12" s="216">
        <f>'May17-Exh5-ABDU'!$D$27</f>
        <v>360205</v>
      </c>
      <c r="H12" s="216">
        <f>'May17-Exh5-ABDU'!$D$28</f>
        <v>365630</v>
      </c>
      <c r="I12" s="216">
        <f>'May17-Exh5-ABDU'!$D$29</f>
        <v>362810</v>
      </c>
      <c r="J12" s="216">
        <f>'May17-Exh5-ABDU'!$D$30</f>
        <v>373088</v>
      </c>
      <c r="K12" s="217">
        <f t="shared" si="0"/>
        <v>2.2079891937436313E-2</v>
      </c>
      <c r="L12" s="218" t="s">
        <v>144</v>
      </c>
    </row>
    <row r="13" spans="1:12" ht="22.15" customHeight="1" x14ac:dyDescent="0.2">
      <c r="C13" s="215" t="s">
        <v>33</v>
      </c>
      <c r="D13" s="216">
        <f>'May17-Exh6-ABDR'!$D$24</f>
        <v>278093</v>
      </c>
      <c r="E13" s="216">
        <f>'May17-Exh6-ABDR'!$D$25</f>
        <v>285113</v>
      </c>
      <c r="F13" s="216">
        <f>'May17-Exh6-ABDR'!$D$26</f>
        <v>285622</v>
      </c>
      <c r="G13" s="216">
        <f>'May17-Exh6-ABDR'!$D$27</f>
        <v>290965</v>
      </c>
      <c r="H13" s="216">
        <f>'May17-Exh6-ABDR'!$D$28</f>
        <v>291806</v>
      </c>
      <c r="I13" s="216">
        <f>'May17-Exh6-ABDR'!$D$29</f>
        <v>287250</v>
      </c>
      <c r="J13" s="216">
        <f>'May17-Exh6-ABDR'!$D$30</f>
        <v>278503</v>
      </c>
      <c r="K13" s="217">
        <f t="shared" si="0"/>
        <v>2.4557034427497015E-4</v>
      </c>
      <c r="L13" s="218" t="s">
        <v>144</v>
      </c>
    </row>
    <row r="14" spans="1:12" ht="22.15" customHeight="1" x14ac:dyDescent="0.2">
      <c r="C14" s="219" t="s">
        <v>79</v>
      </c>
      <c r="D14" s="475"/>
      <c r="E14" s="476"/>
      <c r="F14" s="476"/>
      <c r="G14" s="476"/>
      <c r="H14" s="476"/>
      <c r="I14" s="476"/>
      <c r="J14" s="477"/>
      <c r="K14" s="260">
        <f>IOK_ESI_IP!AN9</f>
        <v>7.2520392535850853E-2</v>
      </c>
      <c r="L14" s="261" t="s">
        <v>83</v>
      </c>
    </row>
    <row r="15" spans="1:12" ht="22.15" customHeight="1" x14ac:dyDescent="0.2">
      <c r="C15" s="219" t="s">
        <v>80</v>
      </c>
      <c r="D15" s="475"/>
      <c r="E15" s="476"/>
      <c r="F15" s="476"/>
      <c r="G15" s="476"/>
      <c r="H15" s="476"/>
      <c r="I15" s="476"/>
      <c r="J15" s="476"/>
      <c r="K15" s="260">
        <f>IOK_ESI_IP!AN10</f>
        <v>4.5706285855944717E-2</v>
      </c>
      <c r="L15" s="261" t="s">
        <v>83</v>
      </c>
    </row>
    <row r="16" spans="1:12" ht="22.15" customHeight="1" x14ac:dyDescent="0.2">
      <c r="C16" s="221" t="s">
        <v>41</v>
      </c>
      <c r="D16" s="216">
        <f>'May17-Exh9-WDA_All_2013'!$D$24</f>
        <v>90</v>
      </c>
      <c r="E16" s="216">
        <f>'May17-Exh9-WDA_All_2013'!$D$25</f>
        <v>114</v>
      </c>
      <c r="F16" s="216">
        <f>'May17-Exh9-WDA_All_2013'!$D$26</f>
        <v>66</v>
      </c>
      <c r="G16" s="216">
        <f>'May17-Exh9-WDA_All_2013'!$D$27</f>
        <v>42</v>
      </c>
      <c r="H16" s="216">
        <f>'May17-Exh9-WDA_All_2013'!$D$28</f>
        <v>0</v>
      </c>
      <c r="I16" s="216"/>
      <c r="J16" s="216">
        <f>'May17-Exh9-WDA_All_2013'!$D$29</f>
        <v>0</v>
      </c>
      <c r="K16" s="220">
        <f>(H16/D16)^(1/2)-1</f>
        <v>-1</v>
      </c>
      <c r="L16" s="218" t="s">
        <v>144</v>
      </c>
    </row>
    <row r="17" spans="1:14" ht="22.15" customHeight="1" x14ac:dyDescent="0.2">
      <c r="C17" s="222" t="s">
        <v>19</v>
      </c>
      <c r="D17" s="223">
        <f>'May17-Exh11-TEFRA'!$D$24</f>
        <v>4018</v>
      </c>
      <c r="E17" s="223">
        <f>'May17-Exh11-TEFRA'!$D$25</f>
        <v>4514</v>
      </c>
      <c r="F17" s="223">
        <f>'May17-Exh11-TEFRA'!$D$26</f>
        <v>4978</v>
      </c>
      <c r="G17" s="223">
        <f>'May17-Exh11-TEFRA'!$D$27</f>
        <v>5326</v>
      </c>
      <c r="H17" s="223">
        <f>'May17-Exh11-TEFRA'!$D$28</f>
        <v>6148</v>
      </c>
      <c r="I17" s="223">
        <f>'May17-Exh11-TEFRA'!$D$29</f>
        <v>6771</v>
      </c>
      <c r="J17" s="223">
        <f>'May17-Exh11-TEFRA'!$D$30</f>
        <v>7149</v>
      </c>
      <c r="K17" s="217">
        <f>(J17/D17)^(1/6)-1</f>
        <v>0.10079359541935129</v>
      </c>
      <c r="L17" s="218" t="s">
        <v>144</v>
      </c>
    </row>
    <row r="18" spans="1:14" ht="22.15" customHeight="1" x14ac:dyDescent="0.2">
      <c r="C18" s="258" t="s">
        <v>81</v>
      </c>
      <c r="D18" s="478"/>
      <c r="E18" s="479"/>
      <c r="F18" s="479"/>
      <c r="G18" s="479"/>
      <c r="H18" s="479"/>
      <c r="I18" s="479"/>
      <c r="J18" s="480"/>
      <c r="K18" s="260">
        <f>IOK_ESI_IP!AN14</f>
        <v>4.1976144503455437E-2</v>
      </c>
      <c r="L18" s="257" t="s">
        <v>83</v>
      </c>
    </row>
    <row r="19" spans="1:14" ht="22.15" customHeight="1" thickBot="1" x14ac:dyDescent="0.25">
      <c r="C19" s="259" t="s">
        <v>82</v>
      </c>
      <c r="D19" s="481"/>
      <c r="E19" s="482"/>
      <c r="F19" s="482"/>
      <c r="G19" s="482"/>
      <c r="H19" s="482"/>
      <c r="I19" s="482"/>
      <c r="J19" s="483"/>
      <c r="K19" s="224">
        <f>IOK_ESI_IP!AN15</f>
        <v>2.7860484278505071E-2</v>
      </c>
      <c r="L19" s="262" t="s">
        <v>83</v>
      </c>
    </row>
    <row r="23" spans="1:14" x14ac:dyDescent="0.2">
      <c r="A23" s="1" t="s">
        <v>27</v>
      </c>
    </row>
    <row r="24" spans="1:14" ht="13.5" thickBot="1" x14ac:dyDescent="0.25"/>
    <row r="25" spans="1:14" ht="21" customHeight="1" x14ac:dyDescent="0.2">
      <c r="C25" s="201" t="s">
        <v>13</v>
      </c>
      <c r="D25" s="205" t="s">
        <v>14</v>
      </c>
      <c r="M25" s="443"/>
    </row>
    <row r="26" spans="1:14" ht="18" customHeight="1" x14ac:dyDescent="0.2">
      <c r="C26" s="44" t="s">
        <v>15</v>
      </c>
      <c r="D26" s="45">
        <v>1.044</v>
      </c>
      <c r="N26" s="442"/>
    </row>
    <row r="27" spans="1:14" ht="18" customHeight="1" x14ac:dyDescent="0.2">
      <c r="C27" s="44" t="s">
        <v>16</v>
      </c>
      <c r="D27" s="45">
        <v>1.044</v>
      </c>
      <c r="N27" s="442"/>
    </row>
    <row r="28" spans="1:14" ht="18" customHeight="1" x14ac:dyDescent="0.2">
      <c r="C28" s="44" t="s">
        <v>17</v>
      </c>
      <c r="D28" s="45">
        <v>1.042</v>
      </c>
      <c r="N28" s="442"/>
    </row>
    <row r="29" spans="1:14" ht="18" customHeight="1" x14ac:dyDescent="0.2">
      <c r="C29" s="44" t="s">
        <v>18</v>
      </c>
      <c r="D29" s="45">
        <v>1.042</v>
      </c>
      <c r="N29" s="442"/>
    </row>
    <row r="30" spans="1:14" ht="18" customHeight="1" x14ac:dyDescent="0.2">
      <c r="C30" s="195" t="s">
        <v>62</v>
      </c>
      <c r="D30" s="103">
        <v>1.044</v>
      </c>
    </row>
    <row r="31" spans="1:14" ht="18" customHeight="1" x14ac:dyDescent="0.2">
      <c r="C31" s="104" t="s">
        <v>41</v>
      </c>
      <c r="D31" s="105">
        <v>1.042</v>
      </c>
    </row>
    <row r="32" spans="1:14" ht="18" customHeight="1" x14ac:dyDescent="0.2">
      <c r="C32" s="54" t="s">
        <v>19</v>
      </c>
      <c r="D32" s="57">
        <v>1.042</v>
      </c>
    </row>
    <row r="33" spans="3:14" ht="18" customHeight="1" thickBot="1" x14ac:dyDescent="0.25">
      <c r="C33" s="55" t="s">
        <v>28</v>
      </c>
      <c r="D33" s="58">
        <v>1.044</v>
      </c>
    </row>
    <row r="36" spans="3:14" x14ac:dyDescent="0.2">
      <c r="N36" s="48"/>
    </row>
    <row r="37" spans="3:14" ht="28.5" customHeight="1" x14ac:dyDescent="0.2">
      <c r="N37" s="49"/>
    </row>
    <row r="38" spans="3:14" ht="18" customHeight="1" x14ac:dyDescent="0.2">
      <c r="N38" s="50"/>
    </row>
    <row r="39" spans="3:14" ht="18" customHeight="1" x14ac:dyDescent="0.2">
      <c r="N39" s="51"/>
    </row>
    <row r="40" spans="3:14" ht="18" customHeight="1" x14ac:dyDescent="0.2">
      <c r="N40" s="51"/>
    </row>
    <row r="41" spans="3:14" ht="18" customHeight="1" x14ac:dyDescent="0.2">
      <c r="N41" s="51"/>
    </row>
    <row r="42" spans="3:14" ht="18" customHeight="1" x14ac:dyDescent="0.2">
      <c r="N42" s="51"/>
    </row>
    <row r="43" spans="3:14" ht="18" customHeight="1" x14ac:dyDescent="0.2">
      <c r="N43" s="50"/>
    </row>
    <row r="44" spans="3:14" ht="18" customHeight="1" x14ac:dyDescent="0.2">
      <c r="N44" s="50"/>
    </row>
    <row r="45" spans="3:14" x14ac:dyDescent="0.2">
      <c r="N45" s="48"/>
    </row>
  </sheetData>
  <mergeCells count="4">
    <mergeCell ref="D14:J14"/>
    <mergeCell ref="D15:J15"/>
    <mergeCell ref="D18:J18"/>
    <mergeCell ref="D19:J19"/>
  </mergeCells>
  <phoneticPr fontId="4" type="noConversion"/>
  <pageMargins left="0.75" right="0.75" top="1" bottom="1" header="0.5" footer="0.5"/>
  <pageSetup scale="76" orientation="landscape" r:id="rId1"/>
  <headerFooter alignWithMargins="0">
    <oddFooter>&amp;C&amp;A</oddFooter>
  </headerFooter>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AY38"/>
  <sheetViews>
    <sheetView topLeftCell="F15" workbookViewId="0">
      <selection activeCell="K36" sqref="K36"/>
    </sheetView>
  </sheetViews>
  <sheetFormatPr defaultColWidth="9.28515625" defaultRowHeight="15.75" x14ac:dyDescent="0.25"/>
  <cols>
    <col min="1" max="1" width="58.42578125" style="288" customWidth="1"/>
    <col min="2" max="2" width="13" style="288" customWidth="1"/>
    <col min="3" max="3" width="20.7109375" style="288" customWidth="1"/>
    <col min="4" max="4" width="15.7109375" style="288" customWidth="1"/>
    <col min="5" max="5" width="20.7109375" style="288" customWidth="1"/>
    <col min="6" max="6" width="15.7109375" style="288" customWidth="1"/>
    <col min="7" max="7" width="20.7109375" style="288" customWidth="1"/>
    <col min="8" max="8" width="15.7109375" style="288" customWidth="1"/>
    <col min="9" max="11" width="20.7109375" style="288" customWidth="1"/>
    <col min="12" max="12" width="27.7109375" style="288" customWidth="1"/>
    <col min="13" max="13" width="21.42578125" style="288" customWidth="1"/>
    <col min="14" max="14" width="23.7109375" style="288" customWidth="1"/>
    <col min="15" max="15" width="7.7109375" style="288" customWidth="1"/>
    <col min="16" max="22" width="20.7109375" style="288" customWidth="1"/>
    <col min="23" max="23" width="21" style="288" customWidth="1"/>
    <col min="24" max="24" width="21.42578125" style="288" customWidth="1"/>
    <col min="25" max="26" width="21.7109375" style="288" customWidth="1"/>
    <col min="27" max="27" width="9.28515625" style="288"/>
    <col min="28" max="38" width="20.7109375" style="288" customWidth="1"/>
    <col min="39" max="16384" width="9.28515625" style="288"/>
  </cols>
  <sheetData>
    <row r="1" spans="1:51" x14ac:dyDescent="0.25">
      <c r="A1" s="295" t="s">
        <v>0</v>
      </c>
    </row>
    <row r="2" spans="1:51" x14ac:dyDescent="0.25">
      <c r="A2" s="295" t="s">
        <v>149</v>
      </c>
    </row>
    <row r="3" spans="1:51" x14ac:dyDescent="0.25">
      <c r="A3" s="288" t="s">
        <v>9</v>
      </c>
    </row>
    <row r="4" spans="1:51" x14ac:dyDescent="0.25">
      <c r="C4" s="359" t="s">
        <v>86</v>
      </c>
      <c r="D4" s="303"/>
      <c r="E4" s="359" t="s">
        <v>87</v>
      </c>
      <c r="F4" s="303"/>
      <c r="G4" s="359" t="s">
        <v>88</v>
      </c>
      <c r="H4" s="303"/>
      <c r="I4" s="359" t="s">
        <v>89</v>
      </c>
      <c r="J4" s="303"/>
      <c r="K4" s="303"/>
      <c r="L4" s="303"/>
      <c r="M4" s="303"/>
      <c r="N4" s="303"/>
      <c r="O4" s="303"/>
      <c r="P4" s="359" t="s">
        <v>90</v>
      </c>
      <c r="Q4" s="303"/>
      <c r="R4" s="359" t="s">
        <v>91</v>
      </c>
      <c r="S4" s="303"/>
      <c r="T4" s="359" t="s">
        <v>92</v>
      </c>
      <c r="U4" s="303"/>
      <c r="V4" s="359" t="s">
        <v>130</v>
      </c>
      <c r="W4" s="303"/>
      <c r="X4" s="359" t="s">
        <v>47</v>
      </c>
      <c r="Y4" s="303"/>
      <c r="Z4" s="303"/>
      <c r="AA4" s="303"/>
      <c r="AB4" s="359" t="s">
        <v>135</v>
      </c>
      <c r="AC4" s="303"/>
      <c r="AD4" s="359" t="s">
        <v>136</v>
      </c>
      <c r="AE4" s="303"/>
      <c r="AF4" s="359" t="s">
        <v>137</v>
      </c>
      <c r="AG4" s="303"/>
      <c r="AH4" s="359" t="s">
        <v>138</v>
      </c>
      <c r="AI4" s="303"/>
      <c r="AJ4" s="303"/>
      <c r="AK4" s="303"/>
      <c r="AL4" s="303"/>
      <c r="AM4" s="303"/>
      <c r="AN4" s="303"/>
      <c r="AO4" s="303"/>
      <c r="AP4" s="303"/>
      <c r="AQ4" s="303"/>
      <c r="AR4" s="303"/>
      <c r="AS4" s="303"/>
      <c r="AT4" s="303"/>
      <c r="AU4" s="303"/>
      <c r="AV4" s="303"/>
      <c r="AW4" s="303"/>
      <c r="AX4" s="303"/>
      <c r="AY4" s="303"/>
    </row>
    <row r="5" spans="1:51" s="290" customFormat="1" x14ac:dyDescent="0.25">
      <c r="A5" s="289" t="s">
        <v>9</v>
      </c>
      <c r="B5" s="289"/>
      <c r="C5" s="359" t="s">
        <v>93</v>
      </c>
      <c r="D5" s="359" t="s">
        <v>94</v>
      </c>
      <c r="E5" s="359" t="s">
        <v>95</v>
      </c>
      <c r="F5" s="359" t="s">
        <v>94</v>
      </c>
      <c r="G5" s="359" t="s">
        <v>96</v>
      </c>
      <c r="H5" s="359" t="s">
        <v>94</v>
      </c>
      <c r="I5" s="359" t="s">
        <v>97</v>
      </c>
      <c r="J5" s="359" t="s">
        <v>94</v>
      </c>
      <c r="K5" s="359" t="s">
        <v>98</v>
      </c>
      <c r="L5" s="363" t="s">
        <v>99</v>
      </c>
      <c r="M5" s="364" t="s">
        <v>100</v>
      </c>
      <c r="N5" s="365" t="s">
        <v>84</v>
      </c>
      <c r="O5" s="359"/>
      <c r="P5" s="359" t="s">
        <v>101</v>
      </c>
      <c r="Q5" s="359" t="s">
        <v>94</v>
      </c>
      <c r="R5" s="359" t="s">
        <v>102</v>
      </c>
      <c r="S5" s="359" t="s">
        <v>94</v>
      </c>
      <c r="T5" s="359" t="s">
        <v>103</v>
      </c>
      <c r="U5" s="359" t="s">
        <v>94</v>
      </c>
      <c r="V5" s="359" t="s">
        <v>131</v>
      </c>
      <c r="W5" s="359" t="s">
        <v>94</v>
      </c>
      <c r="X5" s="359" t="s">
        <v>132</v>
      </c>
      <c r="Y5" s="364" t="s">
        <v>100</v>
      </c>
      <c r="Z5" s="365" t="s">
        <v>84</v>
      </c>
      <c r="AA5" s="359"/>
      <c r="AB5" s="359" t="s">
        <v>139</v>
      </c>
      <c r="AC5" s="359" t="s">
        <v>94</v>
      </c>
      <c r="AD5" s="359" t="s">
        <v>140</v>
      </c>
      <c r="AE5" s="359" t="s">
        <v>94</v>
      </c>
      <c r="AF5" s="359" t="s">
        <v>141</v>
      </c>
      <c r="AG5" s="359" t="s">
        <v>94</v>
      </c>
      <c r="AH5" s="359" t="s">
        <v>142</v>
      </c>
      <c r="AI5" s="359" t="s">
        <v>94</v>
      </c>
      <c r="AJ5" s="363" t="s">
        <v>143</v>
      </c>
      <c r="AK5" s="364" t="s">
        <v>100</v>
      </c>
      <c r="AL5" s="365" t="s">
        <v>84</v>
      </c>
      <c r="AM5" s="359"/>
      <c r="AN5" s="363"/>
      <c r="AO5" s="363"/>
      <c r="AP5" s="363"/>
      <c r="AQ5" s="363"/>
      <c r="AR5" s="363"/>
      <c r="AS5" s="363"/>
      <c r="AT5" s="363"/>
      <c r="AU5" s="363"/>
      <c r="AV5" s="363"/>
      <c r="AW5" s="363"/>
      <c r="AX5" s="363"/>
      <c r="AY5" s="363"/>
    </row>
    <row r="6" spans="1:51" ht="20.100000000000001" customHeight="1" x14ac:dyDescent="0.25">
      <c r="A6" s="288" t="s">
        <v>104</v>
      </c>
      <c r="B6" s="303"/>
      <c r="C6" s="304">
        <v>993809</v>
      </c>
      <c r="D6" s="304"/>
      <c r="E6" s="304">
        <v>975405</v>
      </c>
      <c r="F6" s="304"/>
      <c r="G6" s="304">
        <v>1006431</v>
      </c>
      <c r="H6" s="304"/>
      <c r="I6" s="304">
        <v>1025563</v>
      </c>
      <c r="J6" s="304"/>
      <c r="K6" s="304"/>
      <c r="L6" s="305">
        <f>SUM(C6:J6)</f>
        <v>4001208</v>
      </c>
      <c r="M6" s="306"/>
      <c r="N6" s="307" t="s">
        <v>9</v>
      </c>
      <c r="O6" s="308"/>
      <c r="P6" s="304">
        <v>1025563</v>
      </c>
      <c r="Q6" s="304"/>
      <c r="R6" s="304">
        <v>1032864</v>
      </c>
      <c r="S6" s="304"/>
      <c r="T6" s="304">
        <v>1034531</v>
      </c>
      <c r="U6" s="304"/>
      <c r="V6" s="304">
        <v>1008778</v>
      </c>
      <c r="W6" s="304"/>
      <c r="X6" s="309">
        <f>SUM(P6:V6)</f>
        <v>4101736</v>
      </c>
      <c r="Y6" s="310"/>
      <c r="Z6" s="307" t="s">
        <v>9</v>
      </c>
      <c r="AA6" s="308"/>
      <c r="AB6" s="304">
        <v>994863</v>
      </c>
      <c r="AC6" s="304"/>
      <c r="AD6" s="304">
        <v>987987</v>
      </c>
      <c r="AE6" s="304"/>
      <c r="AF6" s="304">
        <v>1010027</v>
      </c>
      <c r="AG6" s="304"/>
      <c r="AH6" s="304">
        <v>1030715</v>
      </c>
      <c r="AI6" s="304"/>
      <c r="AJ6" s="305">
        <f>SUM(AB6:AI6)</f>
        <v>4023592</v>
      </c>
      <c r="AK6" s="306"/>
      <c r="AL6" s="307" t="s">
        <v>9</v>
      </c>
      <c r="AM6" s="308"/>
      <c r="AN6" s="303"/>
      <c r="AO6" s="303"/>
      <c r="AP6" s="303"/>
      <c r="AQ6" s="303"/>
      <c r="AR6" s="303"/>
      <c r="AS6" s="303"/>
      <c r="AT6" s="303"/>
      <c r="AU6" s="303"/>
      <c r="AV6" s="303"/>
      <c r="AW6" s="303"/>
      <c r="AX6" s="303"/>
      <c r="AY6" s="303"/>
    </row>
    <row r="7" spans="1:51" ht="20.100000000000001" customHeight="1" x14ac:dyDescent="0.25">
      <c r="A7" s="291" t="s">
        <v>105</v>
      </c>
      <c r="B7" s="311"/>
      <c r="C7" s="312">
        <v>255153404.72</v>
      </c>
      <c r="D7" s="313">
        <v>0</v>
      </c>
      <c r="E7" s="312">
        <v>234454606.66</v>
      </c>
      <c r="F7" s="313">
        <v>965390</v>
      </c>
      <c r="G7" s="312">
        <v>211246918</v>
      </c>
      <c r="H7" s="313">
        <v>684232</v>
      </c>
      <c r="I7" s="314">
        <v>237847705</v>
      </c>
      <c r="J7" s="315">
        <v>1811197</v>
      </c>
      <c r="K7" s="316">
        <f>-3446+1056256</f>
        <v>1052810</v>
      </c>
      <c r="L7" s="317">
        <f>SUM(C7:K7)</f>
        <v>943216263.38</v>
      </c>
      <c r="M7" s="318">
        <v>943216259</v>
      </c>
      <c r="N7" s="319">
        <f>+M7-L7</f>
        <v>-4.3799999952316284</v>
      </c>
      <c r="O7" s="320"/>
      <c r="P7" s="312">
        <v>210088405</v>
      </c>
      <c r="Q7" s="315">
        <v>0</v>
      </c>
      <c r="R7" s="314">
        <v>294503825</v>
      </c>
      <c r="S7" s="315">
        <v>77871</v>
      </c>
      <c r="T7" s="314">
        <v>232621629</v>
      </c>
      <c r="U7" s="315">
        <f>2261878-2579482+53661</f>
        <v>-263943</v>
      </c>
      <c r="V7" s="314">
        <v>247041204</v>
      </c>
      <c r="W7" s="315">
        <f>30012+1787411-3095419</f>
        <v>-1277996</v>
      </c>
      <c r="X7" s="321">
        <f>SUM(P7:W7)</f>
        <v>982790995</v>
      </c>
      <c r="Y7" s="322">
        <f>737027787+245763212</f>
        <v>982790999</v>
      </c>
      <c r="Z7" s="323">
        <f>+Y7-X7</f>
        <v>4</v>
      </c>
      <c r="AA7" s="320"/>
      <c r="AB7" s="312">
        <v>221356820</v>
      </c>
      <c r="AC7" s="313">
        <f>-3702003.79+25284</f>
        <v>-3676719.79</v>
      </c>
      <c r="AD7" s="312">
        <v>250636282</v>
      </c>
      <c r="AE7" s="313">
        <f>-14928986.39+307552</f>
        <v>-14621434.390000001</v>
      </c>
      <c r="AF7" s="312">
        <v>253065209</v>
      </c>
      <c r="AG7" s="313">
        <f>-10586136.68+18034</f>
        <v>-10568102.68</v>
      </c>
      <c r="AH7" s="314">
        <v>246546306</v>
      </c>
      <c r="AI7" s="315">
        <v>10131</v>
      </c>
      <c r="AJ7" s="317">
        <f t="shared" ref="AJ7:AJ29" si="0">SUM(AB7:AI7)</f>
        <v>942748491.1400001</v>
      </c>
      <c r="AK7" s="318">
        <f>941955269+246556437-245763212</f>
        <v>942748494</v>
      </c>
      <c r="AL7" s="319">
        <f>+AK7-AJ7</f>
        <v>2.8599998950958252</v>
      </c>
      <c r="AM7" s="320"/>
      <c r="AN7" s="303"/>
      <c r="AO7" s="303"/>
      <c r="AP7" s="303"/>
      <c r="AQ7" s="303"/>
      <c r="AR7" s="303"/>
      <c r="AS7" s="303"/>
      <c r="AT7" s="303"/>
      <c r="AU7" s="303"/>
      <c r="AV7" s="303"/>
      <c r="AW7" s="303"/>
      <c r="AX7" s="303"/>
      <c r="AY7" s="303"/>
    </row>
    <row r="8" spans="1:51" ht="20.100000000000001" customHeight="1" x14ac:dyDescent="0.25">
      <c r="A8" s="291" t="s">
        <v>106</v>
      </c>
      <c r="B8" s="311"/>
      <c r="C8" s="324">
        <v>687564</v>
      </c>
      <c r="D8" s="324"/>
      <c r="E8" s="324">
        <v>668292</v>
      </c>
      <c r="F8" s="324"/>
      <c r="G8" s="325">
        <v>687950</v>
      </c>
      <c r="H8" s="325"/>
      <c r="I8" s="304">
        <v>701314</v>
      </c>
      <c r="J8" s="304"/>
      <c r="K8" s="326"/>
      <c r="L8" s="305">
        <f>SUM(C8:J8)</f>
        <v>2745120</v>
      </c>
      <c r="M8" s="327"/>
      <c r="N8" s="327"/>
      <c r="O8" s="328"/>
      <c r="P8" s="324">
        <v>701314</v>
      </c>
      <c r="Q8" s="304"/>
      <c r="R8" s="304">
        <v>707838</v>
      </c>
      <c r="S8" s="329"/>
      <c r="T8" s="304">
        <v>708111</v>
      </c>
      <c r="U8" s="329"/>
      <c r="V8" s="304">
        <v>690573</v>
      </c>
      <c r="W8" s="329"/>
      <c r="X8" s="309">
        <f>SUM(P8:V8)</f>
        <v>2807836</v>
      </c>
      <c r="Y8" s="310"/>
      <c r="Z8" s="330"/>
      <c r="AA8" s="328"/>
      <c r="AB8" s="324">
        <v>676822</v>
      </c>
      <c r="AC8" s="324"/>
      <c r="AD8" s="324">
        <v>665888</v>
      </c>
      <c r="AE8" s="324"/>
      <c r="AF8" s="325">
        <v>682505</v>
      </c>
      <c r="AG8" s="325"/>
      <c r="AH8" s="304">
        <v>695915</v>
      </c>
      <c r="AI8" s="304"/>
      <c r="AJ8" s="305">
        <f t="shared" si="0"/>
        <v>2721130</v>
      </c>
      <c r="AK8" s="327"/>
      <c r="AL8" s="327"/>
      <c r="AM8" s="328"/>
      <c r="AN8" s="303"/>
      <c r="AO8" s="303"/>
      <c r="AP8" s="303"/>
      <c r="AQ8" s="303"/>
      <c r="AR8" s="303"/>
      <c r="AS8" s="303"/>
      <c r="AT8" s="303"/>
      <c r="AU8" s="303"/>
      <c r="AV8" s="303"/>
      <c r="AW8" s="303"/>
      <c r="AX8" s="303"/>
      <c r="AY8" s="303"/>
    </row>
    <row r="9" spans="1:51" ht="20.100000000000001" customHeight="1" x14ac:dyDescent="0.25">
      <c r="A9" s="291" t="s">
        <v>107</v>
      </c>
      <c r="B9" s="311"/>
      <c r="C9" s="312">
        <v>159793700</v>
      </c>
      <c r="D9" s="313">
        <v>0</v>
      </c>
      <c r="E9" s="312">
        <v>156510031</v>
      </c>
      <c r="F9" s="313">
        <v>758627</v>
      </c>
      <c r="G9" s="312">
        <v>147164486.30000001</v>
      </c>
      <c r="H9" s="313">
        <v>478413</v>
      </c>
      <c r="I9" s="314">
        <v>159116336</v>
      </c>
      <c r="J9" s="315">
        <v>1158227</v>
      </c>
      <c r="K9" s="316">
        <f>-2050856+1954697+764760-20774</f>
        <v>647827</v>
      </c>
      <c r="L9" s="317">
        <f>SUM(C9:K9)</f>
        <v>625627647.29999995</v>
      </c>
      <c r="M9" s="318">
        <v>625627645</v>
      </c>
      <c r="N9" s="319">
        <f>+M9-L9</f>
        <v>-2.2999999523162842</v>
      </c>
      <c r="O9" s="320"/>
      <c r="P9" s="312">
        <v>142696842</v>
      </c>
      <c r="Q9" s="315">
        <v>0</v>
      </c>
      <c r="R9" s="314">
        <v>147946913</v>
      </c>
      <c r="S9" s="315">
        <v>189684</v>
      </c>
      <c r="T9" s="314">
        <v>154609360</v>
      </c>
      <c r="U9" s="315">
        <f>1051718-2039437+44967</f>
        <v>-942752</v>
      </c>
      <c r="V9" s="314">
        <v>147287342</v>
      </c>
      <c r="W9" s="315">
        <f>41833+705311-3187225</f>
        <v>-2440081</v>
      </c>
      <c r="X9" s="321">
        <f>SUM(P9:W9)</f>
        <v>589347308</v>
      </c>
      <c r="Y9" s="322">
        <f>444500047+144847261</f>
        <v>589347308</v>
      </c>
      <c r="Z9" s="323">
        <f>+Y9-X9</f>
        <v>0</v>
      </c>
      <c r="AA9" s="320"/>
      <c r="AB9" s="312">
        <v>150454771</v>
      </c>
      <c r="AC9" s="313">
        <f>-4302098.78+150364</f>
        <v>-4151734.7800000003</v>
      </c>
      <c r="AD9" s="312">
        <v>134576758</v>
      </c>
      <c r="AE9" s="313">
        <f>-12836066.97+504977</f>
        <v>-12331089.970000001</v>
      </c>
      <c r="AF9" s="312">
        <v>153682123</v>
      </c>
      <c r="AG9" s="313">
        <f>-7555334.89+40495</f>
        <v>-7514839.8899999997</v>
      </c>
      <c r="AH9" s="314">
        <v>148276527</v>
      </c>
      <c r="AI9" s="315">
        <v>13008</v>
      </c>
      <c r="AJ9" s="317">
        <f t="shared" si="0"/>
        <v>563005522.36000001</v>
      </c>
      <c r="AK9" s="318">
        <f>559563242+148289534-144847261</f>
        <v>563005515</v>
      </c>
      <c r="AL9" s="319">
        <f>+AK9-AJ9</f>
        <v>-7.3600000143051147</v>
      </c>
      <c r="AM9" s="320"/>
      <c r="AN9" s="303"/>
      <c r="AO9" s="303"/>
      <c r="AP9" s="303"/>
      <c r="AQ9" s="303"/>
      <c r="AR9" s="303"/>
      <c r="AS9" s="303"/>
      <c r="AT9" s="303"/>
      <c r="AU9" s="303"/>
      <c r="AV9" s="303"/>
      <c r="AW9" s="303"/>
      <c r="AX9" s="303"/>
      <c r="AY9" s="303"/>
    </row>
    <row r="10" spans="1:51" ht="20.100000000000001" customHeight="1" x14ac:dyDescent="0.25">
      <c r="A10" s="291" t="s">
        <v>108</v>
      </c>
      <c r="B10" s="311"/>
      <c r="C10" s="324">
        <v>91344</v>
      </c>
      <c r="D10" s="324"/>
      <c r="E10" s="324">
        <v>91570</v>
      </c>
      <c r="F10" s="324"/>
      <c r="G10" s="324">
        <v>91839</v>
      </c>
      <c r="H10" s="324"/>
      <c r="I10" s="304">
        <v>90877</v>
      </c>
      <c r="J10" s="304"/>
      <c r="K10" s="326"/>
      <c r="L10" s="305">
        <f>SUM(C10:J10)</f>
        <v>365630</v>
      </c>
      <c r="M10" s="331"/>
      <c r="N10" s="331"/>
      <c r="O10" s="332"/>
      <c r="P10" s="324">
        <v>90877</v>
      </c>
      <c r="Q10" s="304"/>
      <c r="R10" s="304">
        <v>90503</v>
      </c>
      <c r="S10" s="304"/>
      <c r="T10" s="304">
        <v>90333</v>
      </c>
      <c r="U10" s="304"/>
      <c r="V10" s="304">
        <v>91097</v>
      </c>
      <c r="W10" s="304"/>
      <c r="X10" s="309">
        <f>SUM(P10:V10)</f>
        <v>362810</v>
      </c>
      <c r="Y10" s="310"/>
      <c r="Z10" s="333"/>
      <c r="AA10" s="332"/>
      <c r="AB10" s="324">
        <v>91666</v>
      </c>
      <c r="AC10" s="324"/>
      <c r="AD10" s="324">
        <v>93707</v>
      </c>
      <c r="AE10" s="324"/>
      <c r="AF10" s="324">
        <v>93937</v>
      </c>
      <c r="AG10" s="324"/>
      <c r="AH10" s="304">
        <v>93778</v>
      </c>
      <c r="AI10" s="304"/>
      <c r="AJ10" s="305">
        <f t="shared" si="0"/>
        <v>373088</v>
      </c>
      <c r="AK10" s="331"/>
      <c r="AL10" s="331"/>
      <c r="AM10" s="332"/>
      <c r="AN10" s="303"/>
      <c r="AO10" s="303"/>
      <c r="AP10" s="303"/>
      <c r="AQ10" s="303"/>
      <c r="AR10" s="303"/>
      <c r="AS10" s="303"/>
      <c r="AT10" s="303"/>
      <c r="AU10" s="303"/>
      <c r="AV10" s="303"/>
      <c r="AW10" s="303"/>
      <c r="AX10" s="303"/>
      <c r="AY10" s="303"/>
    </row>
    <row r="11" spans="1:51" ht="20.100000000000001" customHeight="1" x14ac:dyDescent="0.25">
      <c r="A11" s="291" t="s">
        <v>109</v>
      </c>
      <c r="B11" s="311"/>
      <c r="C11" s="312">
        <v>90366326.780000001</v>
      </c>
      <c r="D11" s="313">
        <v>0</v>
      </c>
      <c r="E11" s="312">
        <v>100153415</v>
      </c>
      <c r="F11" s="313">
        <v>196655</v>
      </c>
      <c r="G11" s="312">
        <v>94266493</v>
      </c>
      <c r="H11" s="313">
        <v>146035</v>
      </c>
      <c r="I11" s="314">
        <v>100036584</v>
      </c>
      <c r="J11" s="315">
        <v>197608</v>
      </c>
      <c r="K11" s="316">
        <f>-164103+191775-83774</f>
        <v>-56102</v>
      </c>
      <c r="L11" s="317">
        <f>SUM(C11:K11)</f>
        <v>385307014.77999997</v>
      </c>
      <c r="M11" s="318">
        <v>385307013</v>
      </c>
      <c r="N11" s="319">
        <f>+M11-L11</f>
        <v>-1.7799999713897705</v>
      </c>
      <c r="O11" s="320"/>
      <c r="P11" s="312">
        <v>89343585</v>
      </c>
      <c r="Q11" s="315">
        <v>0</v>
      </c>
      <c r="R11" s="314">
        <v>102046078</v>
      </c>
      <c r="S11" s="315">
        <v>22474</v>
      </c>
      <c r="T11" s="314">
        <v>104240332</v>
      </c>
      <c r="U11" s="315">
        <f>2278479-2174711+25023</f>
        <v>128791</v>
      </c>
      <c r="V11" s="314">
        <v>99326257</v>
      </c>
      <c r="W11" s="315">
        <f>34659-1182826+883121</f>
        <v>-265046</v>
      </c>
      <c r="X11" s="321">
        <f>SUM(P11:W11)</f>
        <v>394842471</v>
      </c>
      <c r="Y11" s="322">
        <f>295781260+99061209</f>
        <v>394842469</v>
      </c>
      <c r="Z11" s="323">
        <f>+Y11-X11</f>
        <v>-2</v>
      </c>
      <c r="AA11" s="320"/>
      <c r="AB11" s="312">
        <v>100256259</v>
      </c>
      <c r="AC11" s="313">
        <f>-1857689.97+17665</f>
        <v>-1840024.97</v>
      </c>
      <c r="AD11" s="312">
        <v>90864347</v>
      </c>
      <c r="AE11" s="313">
        <f>-5979405.21+37341</f>
        <v>-5942064.21</v>
      </c>
      <c r="AF11" s="312">
        <v>102327981</v>
      </c>
      <c r="AG11" s="313">
        <f>1840941.84+65182</f>
        <v>1906123.84</v>
      </c>
      <c r="AH11" s="314">
        <v>97334448</v>
      </c>
      <c r="AI11" s="315">
        <v>15076</v>
      </c>
      <c r="AJ11" s="317">
        <f t="shared" si="0"/>
        <v>384922145.65999997</v>
      </c>
      <c r="AK11" s="318">
        <f>386633831+97349523-99061209</f>
        <v>384922145</v>
      </c>
      <c r="AL11" s="319">
        <f>+AK11-AJ11</f>
        <v>-0.65999996662139893</v>
      </c>
      <c r="AM11" s="320"/>
      <c r="AN11" s="303"/>
      <c r="AO11" s="303"/>
      <c r="AP11" s="303"/>
      <c r="AQ11" s="303"/>
      <c r="AR11" s="303"/>
      <c r="AS11" s="303"/>
      <c r="AT11" s="303"/>
      <c r="AU11" s="303"/>
      <c r="AV11" s="303"/>
      <c r="AW11" s="303"/>
      <c r="AX11" s="303"/>
      <c r="AY11" s="303"/>
    </row>
    <row r="12" spans="1:51" ht="20.100000000000001" customHeight="1" x14ac:dyDescent="0.25">
      <c r="A12" s="291" t="s">
        <v>110</v>
      </c>
      <c r="B12" s="311"/>
      <c r="C12" s="324">
        <v>73425</v>
      </c>
      <c r="D12" s="324"/>
      <c r="E12" s="324">
        <v>72912</v>
      </c>
      <c r="F12" s="324"/>
      <c r="G12" s="324">
        <v>73090</v>
      </c>
      <c r="H12" s="324"/>
      <c r="I12" s="304">
        <v>72379</v>
      </c>
      <c r="J12" s="304"/>
      <c r="K12" s="326"/>
      <c r="L12" s="305">
        <f>SUM(C12:J12)</f>
        <v>291806</v>
      </c>
      <c r="M12" s="331"/>
      <c r="N12" s="331"/>
      <c r="O12" s="332"/>
      <c r="P12" s="324">
        <v>72379</v>
      </c>
      <c r="Q12" s="304"/>
      <c r="R12" s="304">
        <v>71826</v>
      </c>
      <c r="S12" s="304"/>
      <c r="T12" s="304">
        <v>71442</v>
      </c>
      <c r="U12" s="304"/>
      <c r="V12" s="304">
        <v>71603</v>
      </c>
      <c r="W12" s="304"/>
      <c r="X12" s="309">
        <f>SUM(P12:V12)</f>
        <v>287250</v>
      </c>
      <c r="Y12" s="310"/>
      <c r="Z12" s="333"/>
      <c r="AA12" s="332"/>
      <c r="AB12" s="324">
        <v>71790</v>
      </c>
      <c r="AC12" s="324"/>
      <c r="AD12" s="324">
        <v>69048</v>
      </c>
      <c r="AE12" s="324"/>
      <c r="AF12" s="324">
        <v>68853</v>
      </c>
      <c r="AG12" s="324"/>
      <c r="AH12" s="304">
        <v>68812</v>
      </c>
      <c r="AI12" s="304"/>
      <c r="AJ12" s="305">
        <f t="shared" si="0"/>
        <v>278503</v>
      </c>
      <c r="AK12" s="331"/>
      <c r="AL12" s="331"/>
      <c r="AM12" s="332"/>
      <c r="AN12" s="303"/>
      <c r="AO12" s="303"/>
      <c r="AP12" s="303"/>
      <c r="AQ12" s="303"/>
      <c r="AR12" s="303"/>
      <c r="AS12" s="303"/>
      <c r="AT12" s="303"/>
      <c r="AU12" s="303"/>
      <c r="AV12" s="303"/>
      <c r="AW12" s="303"/>
      <c r="AX12" s="303"/>
      <c r="AY12" s="303"/>
    </row>
    <row r="13" spans="1:51" ht="20.100000000000001" customHeight="1" x14ac:dyDescent="0.25">
      <c r="A13" s="291" t="s">
        <v>111</v>
      </c>
      <c r="B13" s="311"/>
      <c r="C13" s="312">
        <v>71446936</v>
      </c>
      <c r="D13" s="313">
        <v>0</v>
      </c>
      <c r="E13" s="312">
        <v>76174341.430000007</v>
      </c>
      <c r="F13" s="313">
        <v>224590</v>
      </c>
      <c r="G13" s="312">
        <v>70977947</v>
      </c>
      <c r="H13" s="313">
        <v>143385</v>
      </c>
      <c r="I13" s="314">
        <v>75454096</v>
      </c>
      <c r="J13" s="315">
        <v>209519</v>
      </c>
      <c r="K13" s="316">
        <f>-281752+177264-48346</f>
        <v>-152834</v>
      </c>
      <c r="L13" s="317">
        <f>SUM(C13:K13)</f>
        <v>294477980.43000001</v>
      </c>
      <c r="M13" s="318">
        <v>294477980</v>
      </c>
      <c r="N13" s="319">
        <f>+M13-L13</f>
        <v>-0.43000000715255737</v>
      </c>
      <c r="O13" s="320"/>
      <c r="P13" s="312">
        <v>68075005</v>
      </c>
      <c r="Q13" s="315">
        <v>0</v>
      </c>
      <c r="R13" s="314">
        <v>78928228</v>
      </c>
      <c r="S13" s="315">
        <v>49556</v>
      </c>
      <c r="T13" s="314">
        <v>78041570</v>
      </c>
      <c r="U13" s="315">
        <f>1920037-4439637+35475</f>
        <v>-2484125</v>
      </c>
      <c r="V13" s="314">
        <v>74385862</v>
      </c>
      <c r="W13" s="315">
        <f>20944-469439-1611127+469439+526982</f>
        <v>-1063201</v>
      </c>
      <c r="X13" s="321">
        <f>SUM(P13:W13)</f>
        <v>295932895</v>
      </c>
      <c r="Y13" s="322">
        <f>222610234+73322660</f>
        <v>295932894</v>
      </c>
      <c r="Z13" s="323">
        <f>+Y13-X13</f>
        <v>-1</v>
      </c>
      <c r="AA13" s="320"/>
      <c r="AB13" s="312">
        <v>76302442</v>
      </c>
      <c r="AC13" s="313">
        <f>-915250.34+39310</f>
        <v>-875940.34</v>
      </c>
      <c r="AD13" s="312">
        <v>66206401</v>
      </c>
      <c r="AE13" s="313">
        <f>-107607.65+75652</f>
        <v>-31955.649999999994</v>
      </c>
      <c r="AF13" s="312">
        <v>73471364</v>
      </c>
      <c r="AG13" s="313">
        <f>-5472760.15+36936</f>
        <v>-5435824.1500000004</v>
      </c>
      <c r="AH13" s="314">
        <v>69830252</v>
      </c>
      <c r="AI13" s="315">
        <v>55125</v>
      </c>
      <c r="AJ13" s="317">
        <f t="shared" si="0"/>
        <v>279521863.86000001</v>
      </c>
      <c r="AK13" s="318">
        <f>282959151+69885375-73322660</f>
        <v>279521866</v>
      </c>
      <c r="AL13" s="319">
        <f>+AK13-AJ13</f>
        <v>2.1399999856948853</v>
      </c>
      <c r="AM13" s="320"/>
      <c r="AN13" s="303"/>
      <c r="AO13" s="303"/>
      <c r="AP13" s="303"/>
      <c r="AQ13" s="303"/>
      <c r="AR13" s="303"/>
      <c r="AS13" s="303"/>
      <c r="AT13" s="303"/>
      <c r="AU13" s="303"/>
      <c r="AV13" s="303"/>
      <c r="AW13" s="303"/>
      <c r="AX13" s="303"/>
      <c r="AY13" s="303"/>
    </row>
    <row r="14" spans="1:51" ht="20.100000000000001" customHeight="1" x14ac:dyDescent="0.25">
      <c r="A14" s="292" t="s">
        <v>112</v>
      </c>
      <c r="B14" s="334"/>
      <c r="C14" s="324">
        <v>80316</v>
      </c>
      <c r="D14" s="324"/>
      <c r="E14" s="335">
        <v>78314</v>
      </c>
      <c r="F14" s="335"/>
      <c r="G14" s="335">
        <v>75263</v>
      </c>
      <c r="H14" s="335"/>
      <c r="I14" s="304">
        <v>39253</v>
      </c>
      <c r="J14" s="304"/>
      <c r="K14" s="326"/>
      <c r="L14" s="305">
        <f>SUM(C14:J14)</f>
        <v>273146</v>
      </c>
      <c r="M14" s="311"/>
      <c r="N14" s="311"/>
      <c r="O14" s="336"/>
      <c r="P14" s="324">
        <v>39253</v>
      </c>
      <c r="Q14" s="337"/>
      <c r="R14" s="338">
        <v>39312</v>
      </c>
      <c r="S14" s="337"/>
      <c r="T14" s="338">
        <v>38425</v>
      </c>
      <c r="U14" s="337"/>
      <c r="V14" s="338">
        <v>41553</v>
      </c>
      <c r="W14" s="337"/>
      <c r="X14" s="309">
        <f>SUM(P14:V14)</f>
        <v>158543</v>
      </c>
      <c r="Y14" s="310"/>
      <c r="Z14" s="303"/>
      <c r="AA14" s="336"/>
      <c r="AB14" s="324">
        <v>45182</v>
      </c>
      <c r="AC14" s="324"/>
      <c r="AD14" s="335">
        <v>39417</v>
      </c>
      <c r="AE14" s="335"/>
      <c r="AF14" s="335">
        <v>43383</v>
      </c>
      <c r="AG14" s="335"/>
      <c r="AH14" s="304">
        <v>44701</v>
      </c>
      <c r="AI14" s="304"/>
      <c r="AJ14" s="305">
        <f t="shared" si="0"/>
        <v>172683</v>
      </c>
      <c r="AK14" s="311"/>
      <c r="AL14" s="311"/>
      <c r="AM14" s="336"/>
      <c r="AN14" s="303"/>
      <c r="AO14" s="303"/>
      <c r="AP14" s="303"/>
      <c r="AQ14" s="303"/>
      <c r="AR14" s="303"/>
      <c r="AS14" s="303"/>
      <c r="AT14" s="303"/>
      <c r="AU14" s="303"/>
      <c r="AV14" s="303"/>
      <c r="AW14" s="303"/>
      <c r="AX14" s="303"/>
      <c r="AY14" s="303"/>
    </row>
    <row r="15" spans="1:51" ht="20.100000000000001" customHeight="1" x14ac:dyDescent="0.25">
      <c r="A15" s="292" t="s">
        <v>113</v>
      </c>
      <c r="B15" s="334">
        <v>5228</v>
      </c>
      <c r="C15" s="340">
        <v>0</v>
      </c>
      <c r="D15" s="339">
        <v>0</v>
      </c>
      <c r="E15" s="340">
        <v>0</v>
      </c>
      <c r="F15" s="339"/>
      <c r="G15" s="340">
        <v>10243940</v>
      </c>
      <c r="H15" s="339">
        <v>0</v>
      </c>
      <c r="I15" s="314">
        <v>9558078</v>
      </c>
      <c r="J15" s="341"/>
      <c r="K15" s="342"/>
      <c r="L15" s="317">
        <f>SUM(C15:K15)</f>
        <v>19802018</v>
      </c>
      <c r="M15" s="318">
        <v>19802018</v>
      </c>
      <c r="N15" s="319">
        <f>+M15-L15</f>
        <v>0</v>
      </c>
      <c r="O15" s="320"/>
      <c r="P15" s="312">
        <v>10597292</v>
      </c>
      <c r="Q15" s="341"/>
      <c r="R15" s="314">
        <v>11150548</v>
      </c>
      <c r="S15" s="341"/>
      <c r="T15" s="314">
        <v>11122787</v>
      </c>
      <c r="U15" s="341"/>
      <c r="V15" s="314">
        <v>11193345</v>
      </c>
      <c r="W15" s="341"/>
      <c r="X15" s="321">
        <f>SUM(P15:W15)</f>
        <v>44063972</v>
      </c>
      <c r="Y15" s="343">
        <f>32870627+11193345</f>
        <v>44063972</v>
      </c>
      <c r="Z15" s="323">
        <f>+Y15-X15</f>
        <v>0</v>
      </c>
      <c r="AA15" s="320"/>
      <c r="AB15" s="340">
        <v>8872217</v>
      </c>
      <c r="AC15" s="339"/>
      <c r="AD15" s="340">
        <v>12689665</v>
      </c>
      <c r="AE15" s="339"/>
      <c r="AF15" s="340">
        <v>16235423</v>
      </c>
      <c r="AG15" s="339"/>
      <c r="AH15" s="314">
        <v>13994042</v>
      </c>
      <c r="AI15" s="341"/>
      <c r="AJ15" s="317">
        <f t="shared" si="0"/>
        <v>51791347</v>
      </c>
      <c r="AK15" s="318">
        <f>48990650+13994042-11193345</f>
        <v>51791347</v>
      </c>
      <c r="AL15" s="319">
        <f>+AK15-AJ15</f>
        <v>0</v>
      </c>
      <c r="AM15" s="320"/>
      <c r="AN15" s="303"/>
      <c r="AO15" s="303"/>
      <c r="AP15" s="303"/>
      <c r="AQ15" s="303"/>
      <c r="AR15" s="303"/>
      <c r="AS15" s="303"/>
      <c r="AT15" s="303"/>
      <c r="AU15" s="303"/>
      <c r="AV15" s="303"/>
      <c r="AW15" s="303"/>
      <c r="AX15" s="303"/>
      <c r="AY15" s="303"/>
    </row>
    <row r="16" spans="1:51" ht="20.100000000000001" customHeight="1" x14ac:dyDescent="0.25">
      <c r="A16" s="292" t="s">
        <v>114</v>
      </c>
      <c r="B16" s="334"/>
      <c r="C16" s="335">
        <v>0</v>
      </c>
      <c r="D16" s="335"/>
      <c r="E16" s="335">
        <v>0</v>
      </c>
      <c r="F16" s="335"/>
      <c r="G16" s="335">
        <v>0</v>
      </c>
      <c r="H16" s="335"/>
      <c r="I16" s="304">
        <v>12712</v>
      </c>
      <c r="J16" s="337"/>
      <c r="K16" s="344"/>
      <c r="L16" s="305">
        <f>SUM(C16:J16)</f>
        <v>12712</v>
      </c>
      <c r="M16" s="345"/>
      <c r="N16" s="345"/>
      <c r="O16" s="346"/>
      <c r="P16" s="324">
        <v>12712</v>
      </c>
      <c r="Q16" s="337"/>
      <c r="R16" s="304">
        <v>12579</v>
      </c>
      <c r="S16" s="337"/>
      <c r="T16" s="304">
        <v>11688</v>
      </c>
      <c r="U16" s="337"/>
      <c r="V16" s="304">
        <v>11109</v>
      </c>
      <c r="W16" s="337"/>
      <c r="X16" s="309">
        <f>SUM(P16:V16)</f>
        <v>48088</v>
      </c>
      <c r="Y16" s="310"/>
      <c r="Z16" s="347"/>
      <c r="AA16" s="346"/>
      <c r="AB16" s="335">
        <v>11437</v>
      </c>
      <c r="AC16" s="335"/>
      <c r="AD16" s="335">
        <v>12318</v>
      </c>
      <c r="AE16" s="335"/>
      <c r="AF16" s="335">
        <v>12896</v>
      </c>
      <c r="AG16" s="335"/>
      <c r="AH16" s="452">
        <v>13669</v>
      </c>
      <c r="AI16" s="337"/>
      <c r="AJ16" s="305">
        <f t="shared" si="0"/>
        <v>50320</v>
      </c>
      <c r="AK16" s="345"/>
      <c r="AL16" s="345"/>
      <c r="AM16" s="346"/>
      <c r="AN16" s="303"/>
      <c r="AO16" s="303"/>
      <c r="AP16" s="303"/>
      <c r="AQ16" s="303"/>
      <c r="AR16" s="303"/>
      <c r="AS16" s="303"/>
      <c r="AT16" s="303"/>
      <c r="AU16" s="303"/>
      <c r="AV16" s="303"/>
      <c r="AW16" s="303"/>
      <c r="AX16" s="303"/>
      <c r="AY16" s="303"/>
    </row>
    <row r="17" spans="1:51" ht="20.100000000000001" customHeight="1" x14ac:dyDescent="0.25">
      <c r="A17" s="292" t="s">
        <v>115</v>
      </c>
      <c r="B17" s="334">
        <v>5229</v>
      </c>
      <c r="C17" s="340">
        <v>21777685</v>
      </c>
      <c r="D17" s="339">
        <v>0</v>
      </c>
      <c r="E17" s="340">
        <v>20031378.629999999</v>
      </c>
      <c r="F17" s="339">
        <v>30665</v>
      </c>
      <c r="G17" s="340">
        <v>7591254.1699999999</v>
      </c>
      <c r="H17" s="339">
        <v>20146</v>
      </c>
      <c r="I17" s="314">
        <v>7453929</v>
      </c>
      <c r="J17" s="341">
        <v>10836</v>
      </c>
      <c r="K17" s="342">
        <v>10359</v>
      </c>
      <c r="L17" s="317">
        <f>SUM(C17:K17)</f>
        <v>56926252.799999997</v>
      </c>
      <c r="M17" s="318">
        <f>41839729+15086525</f>
        <v>56926254</v>
      </c>
      <c r="N17" s="319">
        <f>+M17-L17</f>
        <v>1.2000000029802322</v>
      </c>
      <c r="O17" s="320"/>
      <c r="P17" s="312">
        <v>6763237</v>
      </c>
      <c r="Q17" s="341">
        <v>0</v>
      </c>
      <c r="R17" s="314">
        <v>7524740</v>
      </c>
      <c r="S17" s="341">
        <v>684</v>
      </c>
      <c r="T17" s="314">
        <v>7309719</v>
      </c>
      <c r="U17" s="341">
        <v>1460</v>
      </c>
      <c r="V17" s="314">
        <v>6677293</v>
      </c>
      <c r="W17" s="341">
        <v>580</v>
      </c>
      <c r="X17" s="321">
        <f>SUM(P17:W17)</f>
        <v>28277713</v>
      </c>
      <c r="Y17" s="343">
        <f>21599841+6677873</f>
        <v>28277714</v>
      </c>
      <c r="Z17" s="323">
        <f>+Y17-X17</f>
        <v>1</v>
      </c>
      <c r="AA17" s="320"/>
      <c r="AB17" s="340">
        <v>6658945</v>
      </c>
      <c r="AC17" s="339">
        <v>205</v>
      </c>
      <c r="AD17" s="340">
        <v>6304464</v>
      </c>
      <c r="AE17" s="339">
        <f>2023</f>
        <v>2023</v>
      </c>
      <c r="AF17" s="340">
        <v>7521202</v>
      </c>
      <c r="AG17" s="339">
        <v>545</v>
      </c>
      <c r="AH17" s="314">
        <v>6882502</v>
      </c>
      <c r="AI17" s="341">
        <v>319</v>
      </c>
      <c r="AJ17" s="317">
        <f t="shared" si="0"/>
        <v>27370205</v>
      </c>
      <c r="AK17" s="318">
        <f>27165257+6882821-6677873</f>
        <v>27370205</v>
      </c>
      <c r="AL17" s="319">
        <f>+AK17-AJ17</f>
        <v>0</v>
      </c>
      <c r="AM17" s="320"/>
      <c r="AN17" s="303"/>
      <c r="AO17" s="303"/>
      <c r="AP17" s="303"/>
      <c r="AQ17" s="303"/>
      <c r="AR17" s="303"/>
      <c r="AS17" s="303"/>
      <c r="AT17" s="303"/>
      <c r="AU17" s="303"/>
      <c r="AV17" s="303"/>
      <c r="AW17" s="303"/>
      <c r="AX17" s="303"/>
      <c r="AY17" s="303"/>
    </row>
    <row r="18" spans="1:51" ht="20.100000000000001" customHeight="1" x14ac:dyDescent="0.25">
      <c r="A18" s="292" t="s">
        <v>116</v>
      </c>
      <c r="B18" s="334"/>
      <c r="C18" s="324">
        <v>1451</v>
      </c>
      <c r="D18" s="324"/>
      <c r="E18" s="335">
        <v>1515</v>
      </c>
      <c r="F18" s="335"/>
      <c r="G18" s="335">
        <v>1533</v>
      </c>
      <c r="H18" s="335"/>
      <c r="I18" s="304">
        <v>1649</v>
      </c>
      <c r="J18" s="304"/>
      <c r="K18" s="326"/>
      <c r="L18" s="305">
        <f>SUM(C18:J18)</f>
        <v>6148</v>
      </c>
      <c r="M18" s="311"/>
      <c r="N18" s="311"/>
      <c r="O18" s="336"/>
      <c r="P18" s="324">
        <v>1649</v>
      </c>
      <c r="Q18" s="337"/>
      <c r="R18" s="304">
        <v>1692</v>
      </c>
      <c r="S18" s="337"/>
      <c r="T18" s="304">
        <v>1705</v>
      </c>
      <c r="U18" s="337"/>
      <c r="V18" s="304">
        <v>1725</v>
      </c>
      <c r="W18" s="337"/>
      <c r="X18" s="309">
        <f>SUM(P18:V18)</f>
        <v>6771</v>
      </c>
      <c r="Y18" s="310"/>
      <c r="Z18" s="303"/>
      <c r="AA18" s="336"/>
      <c r="AB18" s="324">
        <v>1753</v>
      </c>
      <c r="AC18" s="324"/>
      <c r="AD18" s="335">
        <v>1794</v>
      </c>
      <c r="AE18" s="335"/>
      <c r="AF18" s="335">
        <v>1796</v>
      </c>
      <c r="AG18" s="335"/>
      <c r="AH18" s="304">
        <v>1806</v>
      </c>
      <c r="AI18" s="304"/>
      <c r="AJ18" s="305">
        <f t="shared" si="0"/>
        <v>7149</v>
      </c>
      <c r="AK18" s="311"/>
      <c r="AL18" s="311"/>
      <c r="AM18" s="336"/>
      <c r="AN18" s="303"/>
      <c r="AO18" s="303"/>
      <c r="AP18" s="303"/>
      <c r="AQ18" s="303"/>
      <c r="AR18" s="303"/>
      <c r="AS18" s="303"/>
      <c r="AT18" s="303"/>
      <c r="AU18" s="303"/>
      <c r="AV18" s="303"/>
      <c r="AW18" s="303"/>
      <c r="AX18" s="303"/>
      <c r="AY18" s="303"/>
    </row>
    <row r="19" spans="1:51" ht="20.100000000000001" customHeight="1" x14ac:dyDescent="0.25">
      <c r="A19" s="292" t="s">
        <v>117</v>
      </c>
      <c r="B19" s="334"/>
      <c r="C19" s="340">
        <v>1482746.56</v>
      </c>
      <c r="D19" s="339">
        <v>0</v>
      </c>
      <c r="E19" s="340">
        <v>1497021.61</v>
      </c>
      <c r="F19" s="339">
        <v>1191</v>
      </c>
      <c r="G19" s="340">
        <v>1593667.41</v>
      </c>
      <c r="H19" s="339">
        <v>8040</v>
      </c>
      <c r="I19" s="314">
        <v>1677327</v>
      </c>
      <c r="J19" s="341">
        <v>1914</v>
      </c>
      <c r="K19" s="342">
        <v>1058</v>
      </c>
      <c r="L19" s="317">
        <f>SUM(C19:K19)</f>
        <v>6262965.5800000001</v>
      </c>
      <c r="M19" s="318">
        <v>6262962</v>
      </c>
      <c r="N19" s="319">
        <f>+M19-L19</f>
        <v>-3.5800000000745058</v>
      </c>
      <c r="O19" s="320"/>
      <c r="P19" s="312">
        <v>1317574</v>
      </c>
      <c r="Q19" s="341">
        <v>0</v>
      </c>
      <c r="R19" s="314">
        <v>1686136</v>
      </c>
      <c r="S19" s="341">
        <v>8</v>
      </c>
      <c r="T19" s="314">
        <v>2367692</v>
      </c>
      <c r="U19" s="341">
        <v>1035</v>
      </c>
      <c r="V19" s="314">
        <v>1387485</v>
      </c>
      <c r="W19" s="341">
        <f>-693576-36769+895+696-31776</f>
        <v>-760530</v>
      </c>
      <c r="X19" s="321">
        <f>SUM(P19:W19)</f>
        <v>5999400</v>
      </c>
      <c r="Y19" s="343">
        <f>5372445+626955</f>
        <v>5999400</v>
      </c>
      <c r="Z19" s="323">
        <f>+Y19-X19</f>
        <v>0</v>
      </c>
      <c r="AA19" s="320"/>
      <c r="AB19" s="340">
        <v>1483960</v>
      </c>
      <c r="AC19" s="339">
        <f>-41508.07</f>
        <v>-41508.07</v>
      </c>
      <c r="AD19" s="340">
        <v>1288562</v>
      </c>
      <c r="AE19" s="339">
        <f>-195200.13+36</f>
        <v>-195164.13</v>
      </c>
      <c r="AF19" s="340">
        <v>1461688</v>
      </c>
      <c r="AG19" s="339">
        <f>-249297.23</f>
        <v>-249297.23</v>
      </c>
      <c r="AH19" s="314">
        <v>1370523</v>
      </c>
      <c r="AI19" s="341">
        <v>406</v>
      </c>
      <c r="AJ19" s="317">
        <f t="shared" si="0"/>
        <v>5119169.57</v>
      </c>
      <c r="AK19" s="318">
        <f>4375197+1370929-626955</f>
        <v>5119171</v>
      </c>
      <c r="AL19" s="319">
        <f>+AK19-AJ19</f>
        <v>1.4299999997019768</v>
      </c>
      <c r="AM19" s="320"/>
      <c r="AN19" s="303"/>
      <c r="AO19" s="303"/>
      <c r="AP19" s="303"/>
      <c r="AQ19" s="303"/>
      <c r="AR19" s="303"/>
      <c r="AS19" s="303"/>
      <c r="AT19" s="303"/>
      <c r="AU19" s="303"/>
      <c r="AV19" s="303"/>
      <c r="AW19" s="303"/>
      <c r="AX19" s="303"/>
      <c r="AY19" s="303"/>
    </row>
    <row r="20" spans="1:51" ht="20.100000000000001" customHeight="1" x14ac:dyDescent="0.25">
      <c r="A20" s="292" t="s">
        <v>118</v>
      </c>
      <c r="B20" s="334"/>
      <c r="C20" s="324">
        <v>647</v>
      </c>
      <c r="D20" s="324"/>
      <c r="E20" s="335">
        <v>851</v>
      </c>
      <c r="F20" s="335"/>
      <c r="G20" s="335">
        <v>835</v>
      </c>
      <c r="H20" s="335"/>
      <c r="I20" s="304">
        <v>849</v>
      </c>
      <c r="J20" s="304"/>
      <c r="K20" s="326"/>
      <c r="L20" s="305">
        <f>SUM(C20:J20)</f>
        <v>3182</v>
      </c>
      <c r="M20" s="311"/>
      <c r="N20" s="311"/>
      <c r="O20" s="336"/>
      <c r="P20" s="324">
        <f>105+107+96</f>
        <v>308</v>
      </c>
      <c r="Q20" s="337"/>
      <c r="R20" s="304">
        <v>294</v>
      </c>
      <c r="S20" s="337"/>
      <c r="T20" s="304">
        <v>282</v>
      </c>
      <c r="U20" s="337"/>
      <c r="V20" s="304">
        <v>333</v>
      </c>
      <c r="W20" s="337"/>
      <c r="X20" s="309">
        <f>SUM(P20:V20)</f>
        <v>1217</v>
      </c>
      <c r="Y20" s="310"/>
      <c r="Z20" s="303"/>
      <c r="AA20" s="336"/>
      <c r="AB20" s="324">
        <v>384</v>
      </c>
      <c r="AC20" s="324"/>
      <c r="AD20" s="335">
        <v>388</v>
      </c>
      <c r="AE20" s="335"/>
      <c r="AF20" s="335">
        <v>323</v>
      </c>
      <c r="AG20" s="335"/>
      <c r="AH20" s="304">
        <v>355</v>
      </c>
      <c r="AI20" s="304"/>
      <c r="AJ20" s="305">
        <f t="shared" si="0"/>
        <v>1450</v>
      </c>
      <c r="AK20" s="311"/>
      <c r="AL20" s="311"/>
      <c r="AM20" s="336"/>
      <c r="AN20" s="303"/>
      <c r="AO20" s="303"/>
      <c r="AP20" s="303"/>
      <c r="AQ20" s="303"/>
      <c r="AR20" s="303"/>
      <c r="AS20" s="303"/>
      <c r="AT20" s="303"/>
      <c r="AU20" s="303"/>
      <c r="AV20" s="303"/>
      <c r="AW20" s="303"/>
      <c r="AX20" s="303"/>
      <c r="AY20" s="303"/>
    </row>
    <row r="21" spans="1:51" ht="20.100000000000001" customHeight="1" x14ac:dyDescent="0.25">
      <c r="A21" s="292" t="s">
        <v>119</v>
      </c>
      <c r="B21" s="334"/>
      <c r="C21" s="340">
        <v>0</v>
      </c>
      <c r="D21" s="339">
        <v>0</v>
      </c>
      <c r="E21" s="340">
        <v>82127</v>
      </c>
      <c r="F21" s="339"/>
      <c r="G21" s="340">
        <v>86911.23</v>
      </c>
      <c r="H21" s="339">
        <v>0</v>
      </c>
      <c r="I21" s="314">
        <v>66865</v>
      </c>
      <c r="J21" s="341"/>
      <c r="K21" s="342"/>
      <c r="L21" s="317">
        <f>SUM(C21:K21)</f>
        <v>235903.22999999998</v>
      </c>
      <c r="M21" s="318">
        <v>235903</v>
      </c>
      <c r="N21" s="319">
        <f>+M21-L21</f>
        <v>-0.22999999998137355</v>
      </c>
      <c r="O21" s="320"/>
      <c r="P21" s="312">
        <v>76879</v>
      </c>
      <c r="Q21" s="341"/>
      <c r="R21" s="314">
        <v>75480</v>
      </c>
      <c r="S21" s="341"/>
      <c r="T21" s="314">
        <v>77656</v>
      </c>
      <c r="U21" s="341"/>
      <c r="V21" s="314">
        <v>76644</v>
      </c>
      <c r="W21" s="341"/>
      <c r="X21" s="321">
        <f>SUM(P21:W21)</f>
        <v>306659</v>
      </c>
      <c r="Y21" s="343">
        <f>230015+76644</f>
        <v>306659</v>
      </c>
      <c r="Z21" s="323">
        <f>+Y21-X21</f>
        <v>0</v>
      </c>
      <c r="AA21" s="320"/>
      <c r="AB21" s="340">
        <v>74517</v>
      </c>
      <c r="AC21" s="339"/>
      <c r="AD21" s="340">
        <v>80905</v>
      </c>
      <c r="AE21" s="339"/>
      <c r="AF21" s="340">
        <v>89433</v>
      </c>
      <c r="AG21" s="339"/>
      <c r="AH21" s="314">
        <v>102724</v>
      </c>
      <c r="AI21" s="341"/>
      <c r="AJ21" s="317">
        <f t="shared" si="0"/>
        <v>347579</v>
      </c>
      <c r="AK21" s="318">
        <f>321499+102724-76644</f>
        <v>347579</v>
      </c>
      <c r="AL21" s="319">
        <f>+AK21-AJ21</f>
        <v>0</v>
      </c>
      <c r="AM21" s="320"/>
      <c r="AN21" s="303"/>
      <c r="AO21" s="303"/>
      <c r="AP21" s="303"/>
      <c r="AQ21" s="303"/>
      <c r="AR21" s="303"/>
      <c r="AS21" s="303"/>
      <c r="AT21" s="303"/>
      <c r="AU21" s="303"/>
      <c r="AV21" s="303"/>
      <c r="AW21" s="303"/>
      <c r="AX21" s="303"/>
      <c r="AY21" s="303"/>
    </row>
    <row r="22" spans="1:51" ht="20.100000000000001" customHeight="1" x14ac:dyDescent="0.25">
      <c r="A22" s="292" t="s">
        <v>120</v>
      </c>
      <c r="B22" s="334"/>
      <c r="C22" s="335">
        <v>0</v>
      </c>
      <c r="D22" s="335"/>
      <c r="E22" s="335">
        <v>0</v>
      </c>
      <c r="F22" s="335"/>
      <c r="G22" s="335">
        <v>0</v>
      </c>
      <c r="H22" s="335"/>
      <c r="I22" s="304"/>
      <c r="J22" s="337"/>
      <c r="K22" s="344"/>
      <c r="L22" s="305">
        <f>SUM(C22:J22)</f>
        <v>0</v>
      </c>
      <c r="M22" s="311"/>
      <c r="N22" s="311"/>
      <c r="O22" s="336"/>
      <c r="P22" s="324">
        <f>177+179+185</f>
        <v>541</v>
      </c>
      <c r="Q22" s="337"/>
      <c r="R22" s="304">
        <v>542</v>
      </c>
      <c r="S22" s="337"/>
      <c r="T22" s="304">
        <v>508</v>
      </c>
      <c r="U22" s="337"/>
      <c r="V22" s="304">
        <v>535</v>
      </c>
      <c r="W22" s="337"/>
      <c r="X22" s="309">
        <f>SUM(P22:V22)</f>
        <v>2126</v>
      </c>
      <c r="Y22" s="310"/>
      <c r="Z22" s="303"/>
      <c r="AA22" s="336"/>
      <c r="AB22" s="335">
        <v>587</v>
      </c>
      <c r="AC22" s="335"/>
      <c r="AD22" s="335">
        <v>570</v>
      </c>
      <c r="AE22" s="335"/>
      <c r="AF22" s="335">
        <v>553</v>
      </c>
      <c r="AG22" s="335"/>
      <c r="AH22" s="304">
        <v>593</v>
      </c>
      <c r="AI22" s="337"/>
      <c r="AJ22" s="305">
        <f t="shared" si="0"/>
        <v>2303</v>
      </c>
      <c r="AK22" s="311"/>
      <c r="AL22" s="311"/>
      <c r="AM22" s="336"/>
      <c r="AN22" s="303"/>
      <c r="AO22" s="303"/>
      <c r="AP22" s="333"/>
      <c r="AQ22" s="303"/>
      <c r="AR22" s="303"/>
      <c r="AS22" s="303"/>
      <c r="AT22" s="303"/>
      <c r="AU22" s="303"/>
      <c r="AV22" s="303"/>
      <c r="AW22" s="303"/>
      <c r="AX22" s="303"/>
      <c r="AY22" s="303"/>
    </row>
    <row r="23" spans="1:51" ht="20.100000000000001" customHeight="1" x14ac:dyDescent="0.25">
      <c r="A23" s="292" t="s">
        <v>121</v>
      </c>
      <c r="B23" s="334"/>
      <c r="C23" s="340">
        <v>0</v>
      </c>
      <c r="D23" s="339">
        <v>0</v>
      </c>
      <c r="E23" s="340">
        <v>103191.73</v>
      </c>
      <c r="F23" s="339"/>
      <c r="G23" s="340">
        <v>103265.31</v>
      </c>
      <c r="H23" s="339">
        <f>322</f>
        <v>322</v>
      </c>
      <c r="I23" s="314">
        <v>86064</v>
      </c>
      <c r="J23" s="341">
        <v>194</v>
      </c>
      <c r="K23" s="342">
        <v>163</v>
      </c>
      <c r="L23" s="317">
        <f>SUM(C23:K23)</f>
        <v>293200.03999999998</v>
      </c>
      <c r="M23" s="318">
        <v>293200</v>
      </c>
      <c r="N23" s="319">
        <f>+M23-L23</f>
        <v>-3.9999999979045242E-2</v>
      </c>
      <c r="O23" s="320"/>
      <c r="P23" s="312">
        <v>93942</v>
      </c>
      <c r="Q23" s="341"/>
      <c r="R23" s="314">
        <v>96372</v>
      </c>
      <c r="S23" s="341"/>
      <c r="T23" s="314">
        <v>103685</v>
      </c>
      <c r="U23" s="341"/>
      <c r="V23" s="314">
        <v>88878</v>
      </c>
      <c r="W23" s="341"/>
      <c r="X23" s="321">
        <f>SUM(P23:W23)</f>
        <v>382877</v>
      </c>
      <c r="Y23" s="343">
        <f>293999+88878</f>
        <v>382877</v>
      </c>
      <c r="Z23" s="323">
        <f>+Y23-X23</f>
        <v>0</v>
      </c>
      <c r="AA23" s="320"/>
      <c r="AB23" s="340">
        <v>107735</v>
      </c>
      <c r="AC23" s="339"/>
      <c r="AD23" s="340">
        <v>74280</v>
      </c>
      <c r="AE23" s="339">
        <v>18</v>
      </c>
      <c r="AF23" s="340">
        <v>148632</v>
      </c>
      <c r="AG23" s="339"/>
      <c r="AH23" s="314">
        <v>85224</v>
      </c>
      <c r="AI23" s="341">
        <v>800</v>
      </c>
      <c r="AJ23" s="317">
        <f t="shared" si="0"/>
        <v>416689</v>
      </c>
      <c r="AK23" s="318">
        <f>419543+86024-88878</f>
        <v>416689</v>
      </c>
      <c r="AL23" s="319">
        <f>+AK23-AJ23</f>
        <v>0</v>
      </c>
      <c r="AM23" s="320"/>
      <c r="AN23" s="303"/>
      <c r="AO23" s="303"/>
      <c r="AP23" s="333"/>
      <c r="AQ23" s="303"/>
      <c r="AR23" s="303"/>
      <c r="AS23" s="303"/>
      <c r="AT23" s="303"/>
      <c r="AU23" s="303"/>
      <c r="AV23" s="303"/>
      <c r="AW23" s="303"/>
      <c r="AX23" s="303"/>
      <c r="AY23" s="303"/>
    </row>
    <row r="24" spans="1:51" ht="20.100000000000001" customHeight="1" x14ac:dyDescent="0.25">
      <c r="A24" s="292" t="s">
        <v>122</v>
      </c>
      <c r="B24" s="334"/>
      <c r="C24" s="324">
        <v>0</v>
      </c>
      <c r="D24" s="324"/>
      <c r="E24" s="335">
        <v>0</v>
      </c>
      <c r="F24" s="335"/>
      <c r="G24" s="335">
        <v>0</v>
      </c>
      <c r="H24" s="335"/>
      <c r="I24" s="304">
        <v>4</v>
      </c>
      <c r="J24" s="304">
        <v>0</v>
      </c>
      <c r="K24" s="326"/>
      <c r="L24" s="305">
        <f>SUM(C24:J24)</f>
        <v>4</v>
      </c>
      <c r="M24" s="311"/>
      <c r="N24" s="311"/>
      <c r="O24" s="336"/>
      <c r="P24" s="324">
        <v>3</v>
      </c>
      <c r="Q24" s="337"/>
      <c r="R24" s="304">
        <v>4</v>
      </c>
      <c r="S24" s="337"/>
      <c r="T24" s="304">
        <v>3</v>
      </c>
      <c r="U24" s="337"/>
      <c r="V24" s="304">
        <v>1</v>
      </c>
      <c r="W24" s="337"/>
      <c r="X24" s="309">
        <f>SUM(P24:V24)</f>
        <v>11</v>
      </c>
      <c r="Y24" s="310"/>
      <c r="Z24" s="303"/>
      <c r="AA24" s="336"/>
      <c r="AB24" s="324">
        <v>0</v>
      </c>
      <c r="AC24" s="324"/>
      <c r="AD24" s="335">
        <v>0</v>
      </c>
      <c r="AE24" s="335"/>
      <c r="AF24" s="335"/>
      <c r="AG24" s="335"/>
      <c r="AH24" s="304"/>
      <c r="AI24" s="304"/>
      <c r="AJ24" s="305">
        <f t="shared" si="0"/>
        <v>0</v>
      </c>
      <c r="AK24" s="311"/>
      <c r="AL24" s="311"/>
      <c r="AM24" s="336"/>
      <c r="AN24" s="303"/>
      <c r="AO24" s="303"/>
      <c r="AP24" s="333"/>
      <c r="AQ24" s="303"/>
      <c r="AR24" s="303"/>
      <c r="AS24" s="303"/>
      <c r="AT24" s="303"/>
      <c r="AU24" s="303"/>
      <c r="AV24" s="303"/>
      <c r="AW24" s="303"/>
      <c r="AX24" s="303"/>
      <c r="AY24" s="303"/>
    </row>
    <row r="25" spans="1:51" ht="20.100000000000001" customHeight="1" x14ac:dyDescent="0.25">
      <c r="A25" s="292" t="s">
        <v>123</v>
      </c>
      <c r="B25" s="334"/>
      <c r="C25" s="312">
        <v>1161.95</v>
      </c>
      <c r="D25" s="313">
        <v>0</v>
      </c>
      <c r="E25" s="340">
        <v>3431</v>
      </c>
      <c r="F25" s="313">
        <v>579</v>
      </c>
      <c r="G25" s="340">
        <v>650.74</v>
      </c>
      <c r="H25" s="339"/>
      <c r="I25" s="314">
        <v>415</v>
      </c>
      <c r="J25" s="315">
        <v>0</v>
      </c>
      <c r="K25" s="316">
        <v>5</v>
      </c>
      <c r="L25" s="317">
        <f>SUM(C25:K25)</f>
        <v>6242.69</v>
      </c>
      <c r="M25" s="318">
        <f>5172+1071</f>
        <v>6243</v>
      </c>
      <c r="N25" s="319">
        <f>+M25-L25</f>
        <v>0.31000000000040018</v>
      </c>
      <c r="O25" s="320"/>
      <c r="P25" s="312">
        <v>621</v>
      </c>
      <c r="Q25" s="341"/>
      <c r="R25" s="314">
        <v>13337</v>
      </c>
      <c r="S25" s="341"/>
      <c r="T25" s="314">
        <v>20093</v>
      </c>
      <c r="U25" s="341"/>
      <c r="V25" s="314">
        <v>12009</v>
      </c>
      <c r="W25" s="341"/>
      <c r="X25" s="321">
        <f>SUM(P25:W25)</f>
        <v>46060</v>
      </c>
      <c r="Y25" s="343">
        <f>34051+12009</f>
        <v>46060</v>
      </c>
      <c r="Z25" s="323">
        <f>+Y25-X25</f>
        <v>0</v>
      </c>
      <c r="AA25" s="320"/>
      <c r="AB25" s="312">
        <v>16767</v>
      </c>
      <c r="AC25" s="313"/>
      <c r="AD25" s="340">
        <v>656</v>
      </c>
      <c r="AE25" s="313"/>
      <c r="AF25" s="340">
        <v>0</v>
      </c>
      <c r="AG25" s="339"/>
      <c r="AH25" s="314">
        <v>132</v>
      </c>
      <c r="AI25" s="315"/>
      <c r="AJ25" s="317">
        <f t="shared" si="0"/>
        <v>17555</v>
      </c>
      <c r="AK25" s="318">
        <f>29432+132-12009</f>
        <v>17555</v>
      </c>
      <c r="AL25" s="319">
        <f>+AK25-AJ25</f>
        <v>0</v>
      </c>
      <c r="AM25" s="320"/>
      <c r="AN25" s="303"/>
      <c r="AO25" s="303"/>
      <c r="AP25" s="333"/>
      <c r="AQ25" s="303"/>
      <c r="AR25" s="303"/>
      <c r="AS25" s="303"/>
      <c r="AT25" s="303"/>
      <c r="AU25" s="303"/>
      <c r="AV25" s="303"/>
      <c r="AW25" s="303"/>
      <c r="AX25" s="303"/>
      <c r="AY25" s="303"/>
    </row>
    <row r="26" spans="1:51" ht="20.100000000000001" customHeight="1" x14ac:dyDescent="0.25">
      <c r="A26" s="292" t="s">
        <v>124</v>
      </c>
      <c r="B26" s="334"/>
      <c r="C26" s="335">
        <v>0</v>
      </c>
      <c r="D26" s="335"/>
      <c r="E26" s="335">
        <v>0</v>
      </c>
      <c r="F26" s="335"/>
      <c r="G26" s="335">
        <v>0</v>
      </c>
      <c r="H26" s="335"/>
      <c r="I26" s="304"/>
      <c r="J26" s="337"/>
      <c r="K26" s="344"/>
      <c r="L26" s="305">
        <f>SUM(C26:J26)</f>
        <v>0</v>
      </c>
      <c r="M26" s="311"/>
      <c r="N26" s="311"/>
      <c r="O26" s="336"/>
      <c r="P26" s="324"/>
      <c r="Q26" s="337"/>
      <c r="R26" s="304"/>
      <c r="S26" s="337"/>
      <c r="T26" s="304">
        <v>0</v>
      </c>
      <c r="U26" s="337"/>
      <c r="V26" s="304">
        <v>0</v>
      </c>
      <c r="W26" s="337"/>
      <c r="X26" s="366">
        <v>360061</v>
      </c>
      <c r="Y26" s="310"/>
      <c r="Z26" s="303"/>
      <c r="AA26" s="336"/>
      <c r="AB26" s="335"/>
      <c r="AC26" s="335"/>
      <c r="AD26" s="335"/>
      <c r="AE26" s="335"/>
      <c r="AF26" s="335"/>
      <c r="AG26" s="335"/>
      <c r="AH26" s="304"/>
      <c r="AI26" s="337"/>
      <c r="AJ26" s="305">
        <f t="shared" si="0"/>
        <v>0</v>
      </c>
      <c r="AK26" s="311"/>
      <c r="AL26" s="311"/>
      <c r="AM26" s="336"/>
      <c r="AN26" s="303"/>
      <c r="AO26" s="303"/>
      <c r="AP26" s="303"/>
      <c r="AQ26" s="303"/>
      <c r="AR26" s="303"/>
      <c r="AS26" s="303"/>
      <c r="AT26" s="303"/>
      <c r="AU26" s="303"/>
      <c r="AV26" s="303"/>
      <c r="AW26" s="303"/>
      <c r="AX26" s="303"/>
      <c r="AY26" s="303"/>
    </row>
    <row r="27" spans="1:51" ht="20.100000000000001" customHeight="1" x14ac:dyDescent="0.25">
      <c r="A27" s="292" t="s">
        <v>125</v>
      </c>
      <c r="B27" s="334"/>
      <c r="C27" s="340">
        <v>1790515</v>
      </c>
      <c r="D27" s="339">
        <v>0</v>
      </c>
      <c r="E27" s="340">
        <v>1731585</v>
      </c>
      <c r="F27" s="339">
        <v>0</v>
      </c>
      <c r="G27" s="340">
        <v>1719790</v>
      </c>
      <c r="H27" s="339"/>
      <c r="I27" s="314">
        <v>1739820</v>
      </c>
      <c r="J27" s="341"/>
      <c r="K27" s="342"/>
      <c r="L27" s="317">
        <f>SUM(C27:K27)</f>
        <v>6981710</v>
      </c>
      <c r="M27" s="318">
        <v>6981710</v>
      </c>
      <c r="N27" s="319">
        <f>+M27-L27</f>
        <v>0</v>
      </c>
      <c r="O27" s="320"/>
      <c r="P27" s="312">
        <v>1867940</v>
      </c>
      <c r="Q27" s="341"/>
      <c r="R27" s="314">
        <v>3262272</v>
      </c>
      <c r="S27" s="341">
        <v>0</v>
      </c>
      <c r="T27" s="314">
        <v>1678515</v>
      </c>
      <c r="U27" s="341">
        <v>-1277967</v>
      </c>
      <c r="V27" s="314">
        <v>1603180</v>
      </c>
      <c r="W27" s="341">
        <v>0</v>
      </c>
      <c r="X27" s="321">
        <f>SUM(P27:W27)</f>
        <v>7133940</v>
      </c>
      <c r="Y27" s="343">
        <f>1603180+5530760</f>
        <v>7133940</v>
      </c>
      <c r="Z27" s="323">
        <f>+Y27-X27</f>
        <v>0</v>
      </c>
      <c r="AA27" s="320"/>
      <c r="AB27" s="340">
        <v>1527540</v>
      </c>
      <c r="AC27" s="339"/>
      <c r="AD27" s="340">
        <v>1547370</v>
      </c>
      <c r="AE27" s="339"/>
      <c r="AF27" s="340">
        <v>1638720</v>
      </c>
      <c r="AG27" s="339"/>
      <c r="AH27" s="314">
        <v>2103800</v>
      </c>
      <c r="AI27" s="341"/>
      <c r="AJ27" s="317">
        <f t="shared" si="0"/>
        <v>6817430</v>
      </c>
      <c r="AK27" s="318">
        <f>6316810+2103800-1603180</f>
        <v>6817430</v>
      </c>
      <c r="AL27" s="319">
        <f>+AK27-AJ27</f>
        <v>0</v>
      </c>
      <c r="AM27" s="320"/>
      <c r="AN27" s="303"/>
      <c r="AO27" s="303"/>
      <c r="AP27" s="303"/>
      <c r="AQ27" s="303"/>
      <c r="AR27" s="303"/>
      <c r="AS27" s="303"/>
      <c r="AT27" s="303"/>
      <c r="AU27" s="303"/>
      <c r="AV27" s="303"/>
      <c r="AW27" s="303"/>
      <c r="AX27" s="303"/>
      <c r="AY27" s="303"/>
    </row>
    <row r="28" spans="1:51" ht="20.100000000000001" customHeight="1" x14ac:dyDescent="0.25">
      <c r="A28" s="292" t="s">
        <v>126</v>
      </c>
      <c r="B28" s="334"/>
      <c r="C28" s="335">
        <v>0</v>
      </c>
      <c r="D28" s="335"/>
      <c r="E28" s="335">
        <v>0</v>
      </c>
      <c r="F28" s="335"/>
      <c r="G28" s="335">
        <v>0</v>
      </c>
      <c r="H28" s="335"/>
      <c r="I28" s="304"/>
      <c r="J28" s="337"/>
      <c r="K28" s="344"/>
      <c r="L28" s="305">
        <f>SUM(C28:J28)</f>
        <v>0</v>
      </c>
      <c r="M28" s="311"/>
      <c r="N28" s="311"/>
      <c r="O28" s="336"/>
      <c r="P28" s="324"/>
      <c r="Q28" s="337"/>
      <c r="R28" s="304"/>
      <c r="S28" s="337"/>
      <c r="T28" s="304">
        <v>0</v>
      </c>
      <c r="U28" s="337"/>
      <c r="V28" s="304">
        <v>0</v>
      </c>
      <c r="W28" s="337"/>
      <c r="X28" s="309">
        <v>13519</v>
      </c>
      <c r="Y28" s="310"/>
      <c r="Z28" s="303"/>
      <c r="AA28" s="336"/>
      <c r="AB28" s="335"/>
      <c r="AC28" s="335"/>
      <c r="AD28" s="335"/>
      <c r="AE28" s="335"/>
      <c r="AF28" s="335"/>
      <c r="AG28" s="335"/>
      <c r="AH28" s="304"/>
      <c r="AI28" s="337"/>
      <c r="AJ28" s="305">
        <f t="shared" si="0"/>
        <v>0</v>
      </c>
      <c r="AK28" s="311"/>
      <c r="AL28" s="311"/>
      <c r="AM28" s="336"/>
      <c r="AN28" s="303"/>
      <c r="AO28" s="303"/>
      <c r="AP28" s="303"/>
      <c r="AQ28" s="303"/>
      <c r="AR28" s="303"/>
      <c r="AS28" s="303"/>
      <c r="AT28" s="303"/>
      <c r="AU28" s="303"/>
      <c r="AV28" s="303"/>
      <c r="AW28" s="303"/>
      <c r="AX28" s="303"/>
      <c r="AY28" s="303"/>
    </row>
    <row r="29" spans="1:51" ht="20.100000000000001" customHeight="1" x14ac:dyDescent="0.25">
      <c r="A29" s="293" t="s">
        <v>127</v>
      </c>
      <c r="B29" s="348"/>
      <c r="C29" s="340">
        <v>0</v>
      </c>
      <c r="D29" s="339">
        <v>0</v>
      </c>
      <c r="E29" s="340">
        <v>1659948.46</v>
      </c>
      <c r="F29" s="339">
        <f>1519518+1413571+1858084+1312662+1127256+1545655+2175872</f>
        <v>10952618</v>
      </c>
      <c r="G29" s="340">
        <v>548217.22</v>
      </c>
      <c r="H29" s="339"/>
      <c r="I29" s="314">
        <v>2260578</v>
      </c>
      <c r="J29" s="341"/>
      <c r="K29" s="342"/>
      <c r="L29" s="317">
        <f>SUM(C29:K29)</f>
        <v>15421361.680000002</v>
      </c>
      <c r="M29" s="318">
        <v>15421361</v>
      </c>
      <c r="N29" s="319">
        <f>+M29-L29</f>
        <v>-0.68000000156462193</v>
      </c>
      <c r="O29" s="320"/>
      <c r="P29" s="312">
        <v>1277967</v>
      </c>
      <c r="Q29" s="341"/>
      <c r="R29" s="314">
        <v>1863344</v>
      </c>
      <c r="S29" s="341"/>
      <c r="T29" s="314">
        <v>2068833</v>
      </c>
      <c r="U29" s="341"/>
      <c r="V29" s="314">
        <v>2087924</v>
      </c>
      <c r="W29" s="341"/>
      <c r="X29" s="321">
        <f>SUM(P29:W29)</f>
        <v>7298068</v>
      </c>
      <c r="Y29" s="343">
        <f>5210144+2087924</f>
        <v>7298068</v>
      </c>
      <c r="Z29" s="323">
        <f>+Y29-X29</f>
        <v>0</v>
      </c>
      <c r="AA29" s="320"/>
      <c r="AB29" s="340">
        <v>2904340</v>
      </c>
      <c r="AC29" s="339"/>
      <c r="AD29" s="340">
        <v>1681964</v>
      </c>
      <c r="AE29" s="339"/>
      <c r="AF29" s="340">
        <v>4069403</v>
      </c>
      <c r="AG29" s="339"/>
      <c r="AH29" s="314">
        <v>1678022</v>
      </c>
      <c r="AI29" s="341"/>
      <c r="AJ29" s="317">
        <f t="shared" si="0"/>
        <v>10333729</v>
      </c>
      <c r="AK29" s="318">
        <f>10743631+1678022-2087924</f>
        <v>10333729</v>
      </c>
      <c r="AL29" s="319">
        <f>+AK29-AJ29</f>
        <v>0</v>
      </c>
      <c r="AM29" s="320"/>
      <c r="AN29" s="303"/>
      <c r="AO29" s="303"/>
      <c r="AP29" s="303"/>
      <c r="AQ29" s="303"/>
      <c r="AR29" s="303"/>
      <c r="AS29" s="303"/>
      <c r="AT29" s="303"/>
      <c r="AU29" s="303"/>
      <c r="AV29" s="303"/>
      <c r="AW29" s="303"/>
      <c r="AX29" s="303"/>
      <c r="AY29" s="303"/>
    </row>
    <row r="30" spans="1:51" s="294" customFormat="1" ht="20.100000000000001" customHeight="1" x14ac:dyDescent="0.25">
      <c r="B30"/>
      <c r="C30" s="349"/>
      <c r="D30" s="350"/>
      <c r="E30" s="349"/>
      <c r="F30" s="350"/>
      <c r="G30" s="349"/>
      <c r="H30" s="350"/>
      <c r="I30" s="48"/>
      <c r="J30" s="351"/>
      <c r="K30" s="352"/>
      <c r="L30" s="353"/>
      <c r="M30" s="354">
        <v>0</v>
      </c>
      <c r="N30" s="355"/>
      <c r="O30" s="356"/>
      <c r="P30" s="48"/>
      <c r="Q30" s="351"/>
      <c r="R30" s="48"/>
      <c r="S30" s="351"/>
      <c r="T30" s="48"/>
      <c r="U30" s="351"/>
      <c r="V30" s="329">
        <v>0</v>
      </c>
      <c r="W30" s="351"/>
      <c r="X30"/>
      <c r="Y30" s="357"/>
      <c r="Z30" s="358"/>
      <c r="AA30" s="356"/>
      <c r="AB30" s="349"/>
      <c r="AC30" s="350"/>
      <c r="AD30" s="349"/>
      <c r="AE30" s="350"/>
      <c r="AF30" s="349"/>
      <c r="AG30" s="350"/>
      <c r="AH30" s="48"/>
      <c r="AI30" s="351"/>
      <c r="AJ30" s="353"/>
      <c r="AK30" s="354">
        <v>0</v>
      </c>
      <c r="AL30" s="355"/>
      <c r="AM30" s="356"/>
      <c r="AN30"/>
      <c r="AO30"/>
      <c r="AP30"/>
      <c r="AQ30"/>
      <c r="AR30"/>
      <c r="AS30"/>
      <c r="AT30"/>
      <c r="AU30"/>
      <c r="AV30"/>
      <c r="AW30"/>
      <c r="AX30"/>
      <c r="AY30"/>
    </row>
    <row r="31" spans="1:51" x14ac:dyDescent="0.25">
      <c r="A31" s="289" t="s">
        <v>46</v>
      </c>
      <c r="B31" s="359"/>
      <c r="C31" s="360">
        <f>+C29+D29+C27+D27+C25+D25+C23+D23+C21+D21+C19+D19+C17+D17+C15+D15+C13+D13+C11+D11+C9+D9+C7+D7</f>
        <v>601812476.00999999</v>
      </c>
      <c r="D31" s="303"/>
      <c r="E31" s="360">
        <f>+E29+F29+E27+F27+E25+F25+E23+F23+E21+F21+E19+F19+E17+F17+E15+F15+E13+F13+E11+F11+E9+F9+E7+F7</f>
        <v>605531392.51999998</v>
      </c>
      <c r="F31" s="303"/>
      <c r="G31" s="360">
        <f>+G29+H29+G27+H27+G25+H25+G23+H23+G21+H21+G19+H19+G17+H17+G15+H15+G13+H13+G11+H11+G9+H9+G7+H7</f>
        <v>547024113.38</v>
      </c>
      <c r="H31" s="303"/>
      <c r="I31" s="360">
        <f>+I29+J29+I27+J27+I25+J25+I23+J23+I21+J21+I19+J19+I17+J17+I15+J15+I13+J13+I11+J11+I9+J9+I7+J7</f>
        <v>598687292</v>
      </c>
      <c r="J31" s="303"/>
      <c r="K31" s="360">
        <f>SUM(K7:K30)</f>
        <v>1503286</v>
      </c>
      <c r="L31" s="361">
        <f>+L29+L27+L25+L23+L21+L19+L17+L15+L13+L11+L9+L7</f>
        <v>2354558559.9099998</v>
      </c>
      <c r="M31" s="354">
        <f>SUM(M7:M30)</f>
        <v>2354558548</v>
      </c>
      <c r="N31" s="303"/>
      <c r="O31" s="303"/>
      <c r="P31" s="360">
        <f>+P29+Q29+P27+Q27+P25+Q25+P23+Q23+P21+Q21+P19+Q19+P17+Q17+P15+Q15+P13+Q13+P11+Q11+P9+Q9+P7+Q7</f>
        <v>532199289</v>
      </c>
      <c r="Q31" s="303"/>
      <c r="R31" s="360">
        <f>+R29+S29+R27+S27+R25+S25+R23+S23+R21+S21+R19+S19+R17+S17+R15+S15+R13+S13+R11+S11+R9+S9+R7+S7</f>
        <v>649437550</v>
      </c>
      <c r="S31" s="303"/>
      <c r="T31" s="360">
        <f>+T29+U29+T27+U27+T25+U25+T23+U23+T21+U21+T19+U19+T17+U17+T15+U15+T13+U13+T11+U11+T9+U9+T7+U7</f>
        <v>589424370</v>
      </c>
      <c r="U31" s="303"/>
      <c r="V31" s="304">
        <v>281855</v>
      </c>
      <c r="W31" s="303"/>
      <c r="X31" s="360">
        <f>+X29+X27+X25+X23+X21+X19+X17++X15+X13+X11+X9+X7</f>
        <v>2356422358</v>
      </c>
      <c r="Y31" s="360">
        <f>+Y29+Y27+Y25+Y23+Y21+Y19+Y17++Y15+Y13+Y11+Y9+Y7</f>
        <v>2356422360</v>
      </c>
      <c r="Z31" s="303"/>
      <c r="AA31" s="303"/>
      <c r="AB31" s="360">
        <f>+AB29+AC29+AB27+AC27+AB25+AC25+AB23+AC23+AB21+AC21+AB19+AC19+AB17+AC17+AB15+AC15+AB13+AC13+AB11+AC11+AB9+AC9+AB7+AC7</f>
        <v>559430590.05000007</v>
      </c>
      <c r="AC31" s="303"/>
      <c r="AD31" s="360">
        <f>+AD29+AE29+AD27+AE27+AD25+AE25+AD23+AE23+AD21+AE21+AD19+AE19+AD17+AE17+AD15+AE15+AD13+AE13+AD11+AE11+AD9+AE9+AD7+AE7</f>
        <v>532831986.64999998</v>
      </c>
      <c r="AE31" s="303"/>
      <c r="AF31" s="360">
        <f>+AF29+AG29+AF27+AG27+AF25+AG25+AF23+AG23+AF21+AG21+AF19+AG19+AF17+AG17+AF15+AG15+AF13+AG13+AF11+AG11+AF9+AG9+AF7+AG7</f>
        <v>591849782.8900001</v>
      </c>
      <c r="AG31" s="303"/>
      <c r="AH31" s="360">
        <f>+AH29+AI29+AH27+AI27+AH25+AI25+AH23+AI23+AH21+AI21+AH19+AI19+AH17+AI17+AH15+AI15+AH13+AI13+AH11+AI11+AH9+AI9+AH7+AI7</f>
        <v>588299367</v>
      </c>
      <c r="AI31" s="303"/>
      <c r="AJ31" s="361">
        <f>+AJ29+AJ27+AJ25+AJ23+AJ21+AJ19+AJ17+AJ15+AJ13+AJ11+AJ9+AJ7</f>
        <v>2272411726.5900002</v>
      </c>
      <c r="AK31" s="354">
        <f>SUM(AK7:AK30)</f>
        <v>2272411725</v>
      </c>
      <c r="AL31" s="303"/>
      <c r="AM31" s="303"/>
      <c r="AN31" s="303"/>
      <c r="AO31" s="303"/>
      <c r="AP31" s="303"/>
      <c r="AQ31" s="303"/>
      <c r="AR31" s="303"/>
      <c r="AS31" s="303"/>
      <c r="AT31" s="303"/>
      <c r="AU31" s="303"/>
      <c r="AV31" s="303"/>
      <c r="AW31" s="303"/>
      <c r="AX31" s="303"/>
      <c r="AY31" s="303"/>
    </row>
    <row r="32" spans="1:51" x14ac:dyDescent="0.25">
      <c r="B32" s="303"/>
      <c r="C32" s="303"/>
      <c r="D32" s="303"/>
      <c r="E32" s="303"/>
      <c r="F32" s="303"/>
      <c r="G32" s="360" t="s">
        <v>9</v>
      </c>
      <c r="H32" s="303"/>
      <c r="I32" s="303"/>
      <c r="J32" s="303"/>
      <c r="K32" s="303"/>
      <c r="L32" s="303"/>
      <c r="M32" s="360">
        <f>+M31-L31</f>
        <v>-11.909999847412109</v>
      </c>
      <c r="N32" s="303"/>
      <c r="O32" s="303"/>
      <c r="P32" s="360">
        <f>532199289-P31</f>
        <v>0</v>
      </c>
      <c r="Q32" s="303"/>
      <c r="R32" s="303"/>
      <c r="S32" s="303"/>
      <c r="T32" s="303"/>
      <c r="U32" s="303"/>
      <c r="V32" s="303"/>
      <c r="W32" s="303"/>
      <c r="X32" s="303"/>
      <c r="Y32" s="303"/>
      <c r="Z32" s="303"/>
    </row>
    <row r="33" spans="2:37" x14ac:dyDescent="0.25">
      <c r="B33" s="303"/>
      <c r="C33" s="303"/>
      <c r="D33" s="303"/>
      <c r="E33" s="303"/>
      <c r="F33" s="303"/>
      <c r="G33" s="303"/>
      <c r="H33" s="303"/>
      <c r="I33" s="303"/>
      <c r="J33" s="303"/>
      <c r="K33" s="303"/>
      <c r="L33" s="360" t="s">
        <v>9</v>
      </c>
      <c r="M33" s="303"/>
      <c r="N33" s="303"/>
      <c r="O33" s="303"/>
      <c r="P33" s="303"/>
      <c r="Q33" s="303"/>
      <c r="R33" s="303"/>
      <c r="S33" s="303"/>
      <c r="T33" s="303"/>
      <c r="U33" s="303"/>
      <c r="V33" s="303"/>
      <c r="W33" s="303"/>
      <c r="X33" s="303"/>
      <c r="Y33" s="303"/>
      <c r="Z33" s="303"/>
    </row>
    <row r="34" spans="2:37" x14ac:dyDescent="0.25">
      <c r="B34" s="303"/>
      <c r="C34" s="362">
        <f>+C23+C21+C17+C15</f>
        <v>21777685</v>
      </c>
      <c r="D34" s="303"/>
      <c r="E34" s="362">
        <f>+E17+E15</f>
        <v>20031378.629999999</v>
      </c>
      <c r="F34" s="303"/>
      <c r="G34" s="303"/>
      <c r="H34" s="303"/>
      <c r="I34" s="303"/>
      <c r="J34" s="303"/>
      <c r="K34" s="303"/>
      <c r="L34" s="360" t="s">
        <v>9</v>
      </c>
      <c r="M34" s="303"/>
      <c r="N34" s="303"/>
      <c r="O34" s="303"/>
      <c r="P34" s="303"/>
      <c r="Q34" s="303"/>
      <c r="R34" s="303"/>
      <c r="S34" s="303"/>
      <c r="T34" s="303"/>
      <c r="U34" s="303"/>
      <c r="V34" s="303"/>
      <c r="W34" s="303"/>
      <c r="X34" s="303"/>
      <c r="Y34" s="303"/>
      <c r="Z34" s="303"/>
    </row>
    <row r="35" spans="2:37" x14ac:dyDescent="0.25">
      <c r="M35" s="448"/>
      <c r="Y35" s="448"/>
      <c r="AK35" s="448"/>
    </row>
    <row r="36" spans="2:37" x14ac:dyDescent="0.25">
      <c r="M36" s="448"/>
      <c r="Y36" s="448"/>
      <c r="AK36" s="448"/>
    </row>
    <row r="37" spans="2:37" x14ac:dyDescent="0.25">
      <c r="M37" s="448"/>
      <c r="Y37" s="448"/>
      <c r="AK37" s="448"/>
    </row>
    <row r="38" spans="2:37" x14ac:dyDescent="0.25">
      <c r="M38" s="448"/>
      <c r="Y38" s="448"/>
      <c r="AK38" s="448"/>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A75C4"/>
    <pageSetUpPr fitToPage="1"/>
  </sheetPr>
  <dimension ref="A2:R40"/>
  <sheetViews>
    <sheetView workbookViewId="0"/>
  </sheetViews>
  <sheetFormatPr defaultRowHeight="12.75" x14ac:dyDescent="0.2"/>
  <cols>
    <col min="3" max="3" width="13.42578125" customWidth="1"/>
    <col min="4" max="9" width="14.7109375" customWidth="1"/>
    <col min="10" max="10" width="15.7109375" customWidth="1"/>
    <col min="11" max="11" width="22.7109375" customWidth="1"/>
    <col min="12" max="14" width="15.7109375" customWidth="1"/>
    <col min="16" max="18" width="15.7109375" customWidth="1"/>
  </cols>
  <sheetData>
    <row r="2" spans="1:18" ht="18" x14ac:dyDescent="0.25">
      <c r="A2" s="37" t="s">
        <v>0</v>
      </c>
    </row>
    <row r="3" spans="1:18" ht="18.75" x14ac:dyDescent="0.3">
      <c r="A3" s="37" t="s">
        <v>10</v>
      </c>
    </row>
    <row r="4" spans="1:18" ht="18" x14ac:dyDescent="0.25">
      <c r="A4" s="37"/>
    </row>
    <row r="5" spans="1:18" ht="18" x14ac:dyDescent="0.25">
      <c r="A5" s="37" t="s">
        <v>21</v>
      </c>
    </row>
    <row r="7" spans="1:18" ht="40.15" customHeight="1" thickBot="1" x14ac:dyDescent="0.25">
      <c r="B7" s="1" t="s">
        <v>9</v>
      </c>
      <c r="P7" s="484" t="s">
        <v>72</v>
      </c>
      <c r="Q7" s="484"/>
      <c r="R7" s="484"/>
    </row>
    <row r="8" spans="1:18" ht="13.5" thickBot="1" x14ac:dyDescent="0.25">
      <c r="B8" s="206"/>
      <c r="C8" s="207"/>
      <c r="D8" s="207"/>
      <c r="E8" s="488" t="s">
        <v>1</v>
      </c>
      <c r="F8" s="489"/>
      <c r="G8" s="488" t="s">
        <v>2</v>
      </c>
      <c r="H8" s="489"/>
      <c r="I8" s="208"/>
      <c r="J8" s="207"/>
      <c r="P8" s="207"/>
      <c r="Q8" s="207"/>
      <c r="R8" s="207"/>
    </row>
    <row r="9" spans="1:18" ht="34.5" thickBot="1" x14ac:dyDescent="0.25">
      <c r="B9" s="209" t="s">
        <v>3</v>
      </c>
      <c r="C9" s="210" t="s">
        <v>4</v>
      </c>
      <c r="D9" s="211" t="s">
        <v>25</v>
      </c>
      <c r="E9" s="212" t="s">
        <v>5</v>
      </c>
      <c r="F9" s="211" t="s">
        <v>6</v>
      </c>
      <c r="G9" s="211" t="s">
        <v>5</v>
      </c>
      <c r="H9" s="211" t="s">
        <v>6</v>
      </c>
      <c r="I9" s="212" t="s">
        <v>7</v>
      </c>
      <c r="J9" s="211" t="s">
        <v>8</v>
      </c>
      <c r="P9" s="211" t="s">
        <v>75</v>
      </c>
      <c r="Q9" s="211" t="s">
        <v>35</v>
      </c>
      <c r="R9" s="211" t="s">
        <v>36</v>
      </c>
    </row>
    <row r="10" spans="1:18" ht="18" customHeight="1" x14ac:dyDescent="0.2">
      <c r="A10" s="490" t="s">
        <v>51</v>
      </c>
      <c r="B10" s="2">
        <v>1</v>
      </c>
      <c r="C10" s="3">
        <v>1996</v>
      </c>
      <c r="D10" s="63">
        <v>1248591</v>
      </c>
      <c r="E10" s="64">
        <v>121.6</v>
      </c>
      <c r="F10" s="65">
        <f t="shared" ref="F10:F16" si="0">D10*E10</f>
        <v>151828665.59999999</v>
      </c>
      <c r="G10" s="225"/>
      <c r="H10" s="226"/>
      <c r="I10" s="227"/>
      <c r="J10" s="228"/>
      <c r="P10" s="82"/>
      <c r="Q10" s="82"/>
      <c r="R10" s="90"/>
    </row>
    <row r="11" spans="1:18" ht="18" customHeight="1" x14ac:dyDescent="0.2">
      <c r="A11" s="491"/>
      <c r="B11" s="9">
        <v>2</v>
      </c>
      <c r="C11" s="10">
        <v>1997</v>
      </c>
      <c r="D11" s="18">
        <v>1201538</v>
      </c>
      <c r="E11" s="99">
        <v>129.51615999999999</v>
      </c>
      <c r="F11" s="19">
        <f t="shared" si="0"/>
        <v>155618587.85407999</v>
      </c>
      <c r="G11" s="229"/>
      <c r="H11" s="230"/>
      <c r="I11" s="231"/>
      <c r="J11" s="232"/>
      <c r="P11" s="83"/>
      <c r="Q11" s="83"/>
      <c r="R11" s="90"/>
    </row>
    <row r="12" spans="1:18" ht="18" customHeight="1" x14ac:dyDescent="0.2">
      <c r="A12" s="491"/>
      <c r="B12" s="9">
        <v>3</v>
      </c>
      <c r="C12" s="10">
        <v>1998</v>
      </c>
      <c r="D12" s="18">
        <v>1299675</v>
      </c>
      <c r="E12" s="20">
        <v>137.94766201599998</v>
      </c>
      <c r="F12" s="19">
        <f t="shared" si="0"/>
        <v>179287127.63064477</v>
      </c>
      <c r="G12" s="229"/>
      <c r="H12" s="230"/>
      <c r="I12" s="231"/>
      <c r="J12" s="232"/>
      <c r="P12" s="83"/>
      <c r="Q12" s="83"/>
      <c r="R12" s="90"/>
    </row>
    <row r="13" spans="1:18" ht="18" customHeight="1" x14ac:dyDescent="0.2">
      <c r="A13" s="491"/>
      <c r="B13" s="9">
        <v>4</v>
      </c>
      <c r="C13" s="10">
        <v>1999</v>
      </c>
      <c r="D13" s="18">
        <v>1489962</v>
      </c>
      <c r="E13" s="20">
        <v>146.92805481324157</v>
      </c>
      <c r="F13" s="19">
        <f t="shared" si="0"/>
        <v>218917218.40564704</v>
      </c>
      <c r="G13" s="229"/>
      <c r="H13" s="230"/>
      <c r="I13" s="231"/>
      <c r="J13" s="232"/>
      <c r="P13" s="83"/>
      <c r="Q13" s="83"/>
      <c r="R13" s="90"/>
    </row>
    <row r="14" spans="1:18" ht="18" customHeight="1" x14ac:dyDescent="0.2">
      <c r="A14" s="491"/>
      <c r="B14" s="9">
        <v>5</v>
      </c>
      <c r="C14" s="10">
        <v>2000</v>
      </c>
      <c r="D14" s="18">
        <v>1575250</v>
      </c>
      <c r="E14" s="20">
        <v>156.49307118158359</v>
      </c>
      <c r="F14" s="19">
        <f t="shared" si="0"/>
        <v>246515710.37878954</v>
      </c>
      <c r="G14" s="229"/>
      <c r="H14" s="230"/>
      <c r="I14" s="231"/>
      <c r="J14" s="232"/>
      <c r="P14" s="83"/>
      <c r="Q14" s="83"/>
      <c r="R14" s="91"/>
    </row>
    <row r="15" spans="1:18" ht="18" customHeight="1" x14ac:dyDescent="0.2">
      <c r="A15" s="491"/>
      <c r="B15" s="9">
        <v>6</v>
      </c>
      <c r="C15" s="10">
        <v>2001</v>
      </c>
      <c r="D15" s="18">
        <v>1988010</v>
      </c>
      <c r="E15" s="20">
        <v>166.68077011550466</v>
      </c>
      <c r="F15" s="19">
        <f t="shared" si="0"/>
        <v>331363037.79732442</v>
      </c>
      <c r="G15" s="229"/>
      <c r="H15" s="230"/>
      <c r="I15" s="231"/>
      <c r="J15" s="232"/>
      <c r="P15" s="83"/>
      <c r="Q15" s="83"/>
      <c r="R15" s="90"/>
    </row>
    <row r="16" spans="1:18" ht="18" customHeight="1" x14ac:dyDescent="0.2">
      <c r="A16" s="491"/>
      <c r="B16" s="9">
        <v>7</v>
      </c>
      <c r="C16" s="10">
        <v>2002</v>
      </c>
      <c r="D16" s="18">
        <v>2159002</v>
      </c>
      <c r="E16" s="20">
        <v>177.53168825002399</v>
      </c>
      <c r="F16" s="19">
        <f t="shared" si="0"/>
        <v>383291269.99517828</v>
      </c>
      <c r="G16" s="229"/>
      <c r="H16" s="230"/>
      <c r="I16" s="231"/>
      <c r="J16" s="232"/>
      <c r="P16" s="83"/>
      <c r="Q16" s="83"/>
      <c r="R16" s="90"/>
    </row>
    <row r="17" spans="1:18" ht="18" customHeight="1" x14ac:dyDescent="0.2">
      <c r="A17" s="491"/>
      <c r="B17" s="16">
        <v>8</v>
      </c>
      <c r="C17" s="17">
        <v>2003</v>
      </c>
      <c r="D17" s="18">
        <v>2319441</v>
      </c>
      <c r="E17" s="20">
        <v>189.08900115510053</v>
      </c>
      <c r="F17" s="19">
        <f t="shared" ref="F17:F29" si="1">D17*E17</f>
        <v>438580781.92818755</v>
      </c>
      <c r="G17" s="229"/>
      <c r="H17" s="230"/>
      <c r="I17" s="231"/>
      <c r="J17" s="232"/>
      <c r="K17" t="s">
        <v>9</v>
      </c>
      <c r="P17" s="84"/>
      <c r="Q17" s="83"/>
      <c r="R17" s="91"/>
    </row>
    <row r="18" spans="1:18" ht="18" customHeight="1" x14ac:dyDescent="0.2">
      <c r="A18" s="491"/>
      <c r="B18" s="23">
        <v>9</v>
      </c>
      <c r="C18" s="24">
        <v>2004</v>
      </c>
      <c r="D18" s="25">
        <v>2426341</v>
      </c>
      <c r="E18" s="26">
        <v>201.39869513029757</v>
      </c>
      <c r="F18" s="27">
        <f t="shared" si="1"/>
        <v>488661911.34114134</v>
      </c>
      <c r="G18" s="26">
        <f t="shared" ref="G18:G25" si="2">H18/D18</f>
        <v>136.69532559520695</v>
      </c>
      <c r="H18" s="27">
        <v>331669473</v>
      </c>
      <c r="I18" s="28">
        <f>F18-H18</f>
        <v>156992438.34114134</v>
      </c>
      <c r="J18" s="29">
        <f>J17+I18</f>
        <v>156992438.34114134</v>
      </c>
      <c r="P18" s="85">
        <f t="shared" ref="P18:P23" si="3">H18</f>
        <v>331669473</v>
      </c>
      <c r="Q18" s="83">
        <f>L18-P18</f>
        <v>-331669473</v>
      </c>
      <c r="R18" s="90"/>
    </row>
    <row r="19" spans="1:18" ht="18" customHeight="1" x14ac:dyDescent="0.2">
      <c r="A19" s="491"/>
      <c r="B19" s="16">
        <v>10</v>
      </c>
      <c r="C19" s="17">
        <v>2005</v>
      </c>
      <c r="D19" s="18">
        <v>2528654</v>
      </c>
      <c r="E19" s="20">
        <v>214.50975018327992</v>
      </c>
      <c r="F19" s="19">
        <f t="shared" si="1"/>
        <v>542420937.83995152</v>
      </c>
      <c r="G19" s="26">
        <f t="shared" si="2"/>
        <v>188.10541537118166</v>
      </c>
      <c r="H19" s="19">
        <v>475653511</v>
      </c>
      <c r="I19" s="21">
        <f>F19-H19</f>
        <v>66767426.839951515</v>
      </c>
      <c r="J19" s="22">
        <f>J18+I19</f>
        <v>223759865.18109286</v>
      </c>
      <c r="P19" s="85">
        <f t="shared" si="3"/>
        <v>475653511</v>
      </c>
      <c r="Q19" s="83">
        <f t="shared" ref="Q19:Q27" si="4">L19-P19</f>
        <v>-475653511</v>
      </c>
      <c r="R19" s="90"/>
    </row>
    <row r="20" spans="1:18" ht="18" customHeight="1" x14ac:dyDescent="0.2">
      <c r="A20" s="491"/>
      <c r="B20" s="35">
        <v>11</v>
      </c>
      <c r="C20" s="17">
        <v>2006</v>
      </c>
      <c r="D20" s="18">
        <v>2643157</v>
      </c>
      <c r="E20" s="20">
        <v>228.47433492021142</v>
      </c>
      <c r="F20" s="19">
        <f t="shared" si="1"/>
        <v>603893537.66470122</v>
      </c>
      <c r="G20" s="20">
        <f t="shared" si="2"/>
        <v>213.24717600959761</v>
      </c>
      <c r="H20" s="19">
        <v>563645766</v>
      </c>
      <c r="I20" s="21">
        <f>F20-H20</f>
        <v>40247771.664701223</v>
      </c>
      <c r="J20" s="36">
        <f>J19+I20</f>
        <v>264007636.84579408</v>
      </c>
      <c r="P20" s="85">
        <f t="shared" si="3"/>
        <v>563645766</v>
      </c>
      <c r="Q20" s="83">
        <f t="shared" si="4"/>
        <v>-563645766</v>
      </c>
      <c r="R20" s="91" t="s">
        <v>9</v>
      </c>
    </row>
    <row r="21" spans="1:18" ht="18" customHeight="1" x14ac:dyDescent="0.2">
      <c r="A21" s="491"/>
      <c r="B21" s="33">
        <v>12</v>
      </c>
      <c r="C21" s="52">
        <v>2007</v>
      </c>
      <c r="D21" s="25">
        <v>2808278</v>
      </c>
      <c r="E21" s="26">
        <v>240.19000006409621</v>
      </c>
      <c r="F21" s="27">
        <f t="shared" si="1"/>
        <v>674520293</v>
      </c>
      <c r="G21" s="26">
        <f t="shared" si="2"/>
        <v>217.73669059829547</v>
      </c>
      <c r="H21" s="27">
        <v>611465158</v>
      </c>
      <c r="I21" s="28">
        <f t="shared" ref="I21:I27" si="5">F21-H21</f>
        <v>63055135</v>
      </c>
      <c r="J21" s="34">
        <f t="shared" ref="J21:J27" si="6">J20+I21</f>
        <v>327062771.84579408</v>
      </c>
      <c r="P21" s="85">
        <f t="shared" si="3"/>
        <v>611465158</v>
      </c>
      <c r="Q21" s="83">
        <f t="shared" si="4"/>
        <v>-611465158</v>
      </c>
      <c r="R21" s="90"/>
    </row>
    <row r="22" spans="1:18" ht="18" customHeight="1" x14ac:dyDescent="0.2">
      <c r="A22" s="491"/>
      <c r="B22" s="35">
        <v>13</v>
      </c>
      <c r="C22" s="59">
        <v>2008</v>
      </c>
      <c r="D22" s="18">
        <v>2772622</v>
      </c>
      <c r="E22" s="20">
        <v>252.51174706738433</v>
      </c>
      <c r="F22" s="19">
        <f t="shared" si="1"/>
        <v>700119625.17746532</v>
      </c>
      <c r="G22" s="20">
        <f t="shared" si="2"/>
        <v>237.39972884872154</v>
      </c>
      <c r="H22" s="19">
        <v>658219711</v>
      </c>
      <c r="I22" s="21">
        <f t="shared" si="5"/>
        <v>41899914.17746532</v>
      </c>
      <c r="J22" s="36">
        <f t="shared" si="6"/>
        <v>368962686.0232594</v>
      </c>
      <c r="P22" s="85">
        <f t="shared" si="3"/>
        <v>658219711</v>
      </c>
      <c r="Q22" s="200">
        <f t="shared" si="4"/>
        <v>-658219711</v>
      </c>
      <c r="R22" s="90"/>
    </row>
    <row r="23" spans="1:18" ht="18" customHeight="1" x14ac:dyDescent="0.2">
      <c r="A23" s="491"/>
      <c r="B23" s="16">
        <v>14</v>
      </c>
      <c r="C23" s="59">
        <v>2009</v>
      </c>
      <c r="D23" s="18">
        <v>3029870</v>
      </c>
      <c r="E23" s="20">
        <v>265.47000000000003</v>
      </c>
      <c r="F23" s="19">
        <f t="shared" si="1"/>
        <v>804339588.9000001</v>
      </c>
      <c r="G23" s="20">
        <f t="shared" si="2"/>
        <v>249.71148399106232</v>
      </c>
      <c r="H23" s="19">
        <v>756593334</v>
      </c>
      <c r="I23" s="21">
        <f t="shared" si="5"/>
        <v>47746254.900000095</v>
      </c>
      <c r="J23" s="22">
        <f t="shared" si="6"/>
        <v>416708940.9232595</v>
      </c>
      <c r="P23" s="85">
        <f t="shared" si="3"/>
        <v>756593334</v>
      </c>
      <c r="Q23" s="83">
        <f t="shared" si="4"/>
        <v>-756593334</v>
      </c>
      <c r="R23" s="91" t="s">
        <v>9</v>
      </c>
    </row>
    <row r="24" spans="1:18" ht="18" customHeight="1" x14ac:dyDescent="0.2">
      <c r="A24" s="491"/>
      <c r="B24" s="35">
        <v>15</v>
      </c>
      <c r="C24" s="17">
        <v>2010</v>
      </c>
      <c r="D24" s="18">
        <v>3333170</v>
      </c>
      <c r="E24" s="140">
        <v>279.08861100000001</v>
      </c>
      <c r="F24" s="19">
        <f t="shared" si="1"/>
        <v>930249785.52687001</v>
      </c>
      <c r="G24" s="20">
        <f t="shared" si="2"/>
        <v>234.68424412796227</v>
      </c>
      <c r="H24" s="19">
        <f>782988002-'May17-Exh22-HAN'!H24</f>
        <v>782242482</v>
      </c>
      <c r="I24" s="21">
        <f t="shared" si="5"/>
        <v>148007303.52687001</v>
      </c>
      <c r="J24" s="36">
        <f t="shared" si="6"/>
        <v>564716244.45012951</v>
      </c>
      <c r="P24" s="85">
        <f>H24+'May17-Exh22-HAN'!H24</f>
        <v>782988002</v>
      </c>
      <c r="Q24" s="163">
        <f t="shared" si="4"/>
        <v>-782988002</v>
      </c>
      <c r="R24" s="90"/>
    </row>
    <row r="25" spans="1:18" ht="18" customHeight="1" x14ac:dyDescent="0.2">
      <c r="A25" s="491"/>
      <c r="B25" s="38">
        <v>16</v>
      </c>
      <c r="C25" s="92">
        <v>2011</v>
      </c>
      <c r="D25" s="93">
        <v>3357000</v>
      </c>
      <c r="E25" s="94">
        <v>293.40731694965746</v>
      </c>
      <c r="F25" s="95">
        <f t="shared" si="1"/>
        <v>984968363.00000012</v>
      </c>
      <c r="G25" s="94">
        <f t="shared" si="2"/>
        <v>252.30861096216861</v>
      </c>
      <c r="H25" s="95">
        <f>849144497-'May17-Exh22-HAN'!H25</f>
        <v>847000007</v>
      </c>
      <c r="I25" s="96">
        <f t="shared" si="5"/>
        <v>137968356.00000012</v>
      </c>
      <c r="J25" s="39">
        <f t="shared" si="6"/>
        <v>702684600.45012963</v>
      </c>
      <c r="P25" s="85">
        <f>H25+'May17-Exh22-HAN'!H25</f>
        <v>849144497</v>
      </c>
      <c r="Q25" s="83">
        <f t="shared" si="4"/>
        <v>-849144497</v>
      </c>
      <c r="R25" s="90"/>
    </row>
    <row r="26" spans="1:18" ht="18" customHeight="1" thickBot="1" x14ac:dyDescent="0.25">
      <c r="A26" s="491"/>
      <c r="B26" s="141">
        <v>17</v>
      </c>
      <c r="C26" s="142">
        <v>2012</v>
      </c>
      <c r="D26" s="143">
        <v>3620263</v>
      </c>
      <c r="E26" s="144">
        <v>308.45911230917483</v>
      </c>
      <c r="F26" s="145">
        <f t="shared" si="1"/>
        <v>1116703111.3057501</v>
      </c>
      <c r="G26" s="144">
        <f>+H26/D26</f>
        <v>251.65641087401661</v>
      </c>
      <c r="H26" s="145">
        <f>913775678-'May17-Exh22-HAN'!H26</f>
        <v>911062393</v>
      </c>
      <c r="I26" s="146">
        <f t="shared" si="5"/>
        <v>205640718.30575013</v>
      </c>
      <c r="J26" s="147">
        <f t="shared" si="6"/>
        <v>908325318.75587976</v>
      </c>
      <c r="K26" s="48"/>
      <c r="P26" s="86">
        <f>H26+'May17-Exh22-HAN'!H26</f>
        <v>913775678</v>
      </c>
      <c r="Q26" s="161">
        <f t="shared" si="4"/>
        <v>-913775678</v>
      </c>
      <c r="R26" s="91" t="s">
        <v>9</v>
      </c>
    </row>
    <row r="27" spans="1:18" ht="30" customHeight="1" x14ac:dyDescent="0.2">
      <c r="A27" s="492" t="s">
        <v>52</v>
      </c>
      <c r="B27" s="152">
        <v>18</v>
      </c>
      <c r="C27" s="153">
        <v>2013</v>
      </c>
      <c r="D27" s="154">
        <v>3741817</v>
      </c>
      <c r="E27" s="128">
        <v>322.02999999999997</v>
      </c>
      <c r="F27" s="155">
        <f t="shared" si="1"/>
        <v>1204977328.51</v>
      </c>
      <c r="G27" s="199">
        <f>+H27/D27</f>
        <v>255.00562449975814</v>
      </c>
      <c r="H27" s="155">
        <f>956117310-'May17-Exh22-HAN'!H27+'May17-Exh23-HMP'!I27</f>
        <v>954184380.84881151</v>
      </c>
      <c r="I27" s="156">
        <f t="shared" si="5"/>
        <v>250792947.66118848</v>
      </c>
      <c r="J27" s="157">
        <f t="shared" si="6"/>
        <v>1159118266.4170682</v>
      </c>
      <c r="K27" s="48"/>
      <c r="P27" s="85">
        <f>H27+'May17-Exh22-HAN'!H27-'May17-Exh23-HMP'!I27</f>
        <v>956117310</v>
      </c>
      <c r="Q27" s="164">
        <f t="shared" si="4"/>
        <v>-956117310</v>
      </c>
      <c r="R27" s="91">
        <f>SUM(Q18:Q27)</f>
        <v>-6899272440</v>
      </c>
    </row>
    <row r="28" spans="1:18" ht="30" customHeight="1" x14ac:dyDescent="0.2">
      <c r="A28" s="493"/>
      <c r="B28" s="16">
        <v>19</v>
      </c>
      <c r="C28" s="59">
        <v>2014</v>
      </c>
      <c r="D28" s="18">
        <f>'OHCA_C-Report_2014-16'!L6</f>
        <v>4001208</v>
      </c>
      <c r="E28" s="20">
        <v>336.2</v>
      </c>
      <c r="F28" s="19">
        <f t="shared" si="1"/>
        <v>1345206129.5999999</v>
      </c>
      <c r="G28" s="20">
        <f>+H28/D28</f>
        <v>237.81578165647056</v>
      </c>
      <c r="H28" s="19">
        <f>('OHCA_C-Report_2014-16'!M7)+'May17-Exh23-HMP'!I28</f>
        <v>951550408.0901233</v>
      </c>
      <c r="I28" s="21">
        <f t="shared" ref="I28:I33" si="7">F28-H28</f>
        <v>393655721.50987661</v>
      </c>
      <c r="J28" s="22">
        <f>J27+I28</f>
        <v>1552773987.9269447</v>
      </c>
      <c r="K28" s="48"/>
      <c r="P28" s="84"/>
      <c r="Q28" s="15"/>
      <c r="R28" s="90"/>
    </row>
    <row r="29" spans="1:18" ht="30" customHeight="1" thickBot="1" x14ac:dyDescent="0.25">
      <c r="A29" s="494"/>
      <c r="B29" s="134">
        <v>20</v>
      </c>
      <c r="C29" s="139">
        <v>2015</v>
      </c>
      <c r="D29" s="93">
        <f>'OHCA_C-Report_2014-16'!X6</f>
        <v>4101736</v>
      </c>
      <c r="E29" s="94">
        <v>350.99</v>
      </c>
      <c r="F29" s="95">
        <f t="shared" si="1"/>
        <v>1439668318.6400001</v>
      </c>
      <c r="G29" s="94">
        <f>+H29/D29</f>
        <v>240.56906991010499</v>
      </c>
      <c r="H29" s="95">
        <f>('OHCA_C-Report_2014-16'!Y$7)+'May17-Exh23-HMP'!I$29</f>
        <v>986750814.53679442</v>
      </c>
      <c r="I29" s="96">
        <f t="shared" si="7"/>
        <v>452917504.10320568</v>
      </c>
      <c r="J29" s="101">
        <f>J28+I29</f>
        <v>2005691492.0301504</v>
      </c>
      <c r="K29" s="48"/>
      <c r="P29" s="86"/>
      <c r="Q29" s="161"/>
      <c r="R29" s="90"/>
    </row>
    <row r="30" spans="1:18" ht="30" customHeight="1" x14ac:dyDescent="0.2">
      <c r="A30" s="485" t="s">
        <v>34</v>
      </c>
      <c r="B30" s="61">
        <v>21</v>
      </c>
      <c r="C30" s="62">
        <v>2016</v>
      </c>
      <c r="D30" s="63">
        <f>'OHCA_C-Report_2014-16'!AJ6</f>
        <v>4023592</v>
      </c>
      <c r="E30" s="64">
        <v>366.44</v>
      </c>
      <c r="F30" s="65">
        <f t="shared" ref="F30:F33" si="8">D30*E30</f>
        <v>1474405052.48</v>
      </c>
      <c r="G30" s="128">
        <f>H30/D30</f>
        <v>235.70233746405805</v>
      </c>
      <c r="H30" s="65">
        <f>('OHCA_C-Report_2014-16'!AK$7)+'May17-Exh23-HMP'!I30</f>
        <v>948370039.40168428</v>
      </c>
      <c r="I30" s="66">
        <f t="shared" si="7"/>
        <v>526035013.07831573</v>
      </c>
      <c r="J30" s="67">
        <f>J29+I30</f>
        <v>2531726505.1084661</v>
      </c>
      <c r="P30" s="87"/>
      <c r="Q30" s="67"/>
      <c r="R30" s="90"/>
    </row>
    <row r="31" spans="1:18" ht="30" customHeight="1" x14ac:dyDescent="0.2">
      <c r="A31" s="486"/>
      <c r="B31" s="35">
        <v>22</v>
      </c>
      <c r="C31" s="59" t="s">
        <v>49</v>
      </c>
      <c r="D31" s="187">
        <f>(D30*(1+'May17-Exh1&amp;2-Trends'!$K$10))</f>
        <v>4151834.320334523</v>
      </c>
      <c r="E31" s="20">
        <f>E30*'May17-Exh1&amp;2-Trends'!$D$26</f>
        <v>382.56335999999999</v>
      </c>
      <c r="F31" s="19">
        <f t="shared" si="8"/>
        <v>1588339687.7504914</v>
      </c>
      <c r="G31" s="20">
        <f>'May17-Exh1&amp;2-Trends'!D$26*(G30-('May17-Exh23-HMP'!I30/D30))+('May17-Exh23-HMP'!I31/D31)</f>
        <v>246.0179174058301</v>
      </c>
      <c r="H31" s="13">
        <f>D31*G31</f>
        <v>1021425632.9027494</v>
      </c>
      <c r="I31" s="13">
        <f t="shared" si="7"/>
        <v>566914054.84774196</v>
      </c>
      <c r="J31" s="80">
        <f>J30+I31</f>
        <v>3098640559.9562082</v>
      </c>
      <c r="P31" s="88"/>
      <c r="Q31" s="78"/>
      <c r="R31" s="90"/>
    </row>
    <row r="32" spans="1:18" ht="30" hidden="1" customHeight="1" thickBot="1" x14ac:dyDescent="0.25">
      <c r="A32" s="487"/>
      <c r="B32" s="453">
        <v>23</v>
      </c>
      <c r="C32" s="70" t="s">
        <v>50</v>
      </c>
      <c r="D32" s="75">
        <f>D31*(1+'May17-Exh1&amp;2-Trends'!$K$10)</f>
        <v>4284164.0562730096</v>
      </c>
      <c r="E32" s="71">
        <f>E31*'May17-Exh1&amp;2-Trends'!$D$26</f>
        <v>399.39614784000003</v>
      </c>
      <c r="F32" s="76">
        <f t="shared" si="8"/>
        <v>1711078620.790029</v>
      </c>
      <c r="G32" s="71">
        <f>'May17-Exh1&amp;2-Trends'!D$26*(G31-('May17-Exh23-HMP'!I31/D31))+('May17-Exh23-HMP'!I32/D32)</f>
        <v>256.78705643809286</v>
      </c>
      <c r="H32" s="76">
        <f>D32*G32</f>
        <v>1100117877.3082261</v>
      </c>
      <c r="I32" s="76">
        <f t="shared" si="7"/>
        <v>610960743.48180294</v>
      </c>
      <c r="J32" s="77">
        <f>J31+I32</f>
        <v>3709601303.4380112</v>
      </c>
      <c r="K32" s="130" t="s">
        <v>158</v>
      </c>
      <c r="P32" s="89"/>
      <c r="Q32" s="77"/>
      <c r="R32" s="90"/>
    </row>
    <row r="33" spans="1:10" ht="30" customHeight="1" thickBot="1" x14ac:dyDescent="0.25">
      <c r="A33" s="441" t="s">
        <v>154</v>
      </c>
      <c r="B33" s="454">
        <v>23</v>
      </c>
      <c r="C33" s="70" t="s">
        <v>50</v>
      </c>
      <c r="D33" s="75">
        <f>D32</f>
        <v>4284164.0562730096</v>
      </c>
      <c r="E33" s="71">
        <f>'May17-Exh1&amp;2-Trends'!D26^2*G30</f>
        <v>256.90046288622557</v>
      </c>
      <c r="F33" s="76">
        <f t="shared" si="8"/>
        <v>1100603729.1370659</v>
      </c>
      <c r="G33" s="71">
        <f>G32</f>
        <v>256.78705643809286</v>
      </c>
      <c r="H33" s="76">
        <f>H32</f>
        <v>1100117877.3082261</v>
      </c>
      <c r="I33" s="76">
        <f t="shared" si="7"/>
        <v>485851.8288397789</v>
      </c>
      <c r="J33" s="77">
        <f>J31+I33</f>
        <v>3099126411.785048</v>
      </c>
    </row>
    <row r="35" spans="1:10" x14ac:dyDescent="0.2">
      <c r="H35" s="190"/>
    </row>
    <row r="36" spans="1:10" x14ac:dyDescent="0.2">
      <c r="H36" s="190"/>
    </row>
    <row r="37" spans="1:10" x14ac:dyDescent="0.2">
      <c r="H37" s="190"/>
    </row>
    <row r="38" spans="1:10" x14ac:dyDescent="0.2">
      <c r="H38" s="190"/>
    </row>
    <row r="39" spans="1:10" x14ac:dyDescent="0.2">
      <c r="H39" s="190"/>
    </row>
    <row r="40" spans="1:10" x14ac:dyDescent="0.2">
      <c r="H40" s="449"/>
    </row>
  </sheetData>
  <mergeCells count="6">
    <mergeCell ref="P7:R7"/>
    <mergeCell ref="A30:A32"/>
    <mergeCell ref="G8:H8"/>
    <mergeCell ref="E8:F8"/>
    <mergeCell ref="A10:A26"/>
    <mergeCell ref="A27:A29"/>
  </mergeCells>
  <phoneticPr fontId="4" type="noConversion"/>
  <pageMargins left="0.41" right="0.25" top="1" bottom="1" header="0.5" footer="0.5"/>
  <pageSetup scale="51" orientation="landscape" r:id="rId1"/>
  <headerFooter alignWithMargins="0">
    <oddFooter xml:space="preserve">&amp;L&amp;8 &amp;C&amp;A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3A75C4"/>
    <pageSetUpPr fitToPage="1"/>
  </sheetPr>
  <dimension ref="A2:R43"/>
  <sheetViews>
    <sheetView workbookViewId="0"/>
  </sheetViews>
  <sheetFormatPr defaultRowHeight="12.75" x14ac:dyDescent="0.2"/>
  <cols>
    <col min="3" max="3" width="14" customWidth="1"/>
    <col min="4" max="9" width="14.7109375" customWidth="1"/>
    <col min="10" max="10" width="15.7109375" customWidth="1"/>
    <col min="11" max="11" width="22.7109375" customWidth="1"/>
    <col min="12" max="14" width="15.7109375" customWidth="1"/>
    <col min="16" max="18" width="15.7109375" customWidth="1"/>
  </cols>
  <sheetData>
    <row r="2" spans="1:18" ht="18" x14ac:dyDescent="0.25">
      <c r="A2" s="37" t="s">
        <v>0</v>
      </c>
    </row>
    <row r="3" spans="1:18" ht="18.75" x14ac:dyDescent="0.3">
      <c r="A3" s="37" t="s">
        <v>10</v>
      </c>
    </row>
    <row r="4" spans="1:18" ht="18" x14ac:dyDescent="0.25">
      <c r="A4" s="37"/>
    </row>
    <row r="5" spans="1:18" ht="18" x14ac:dyDescent="0.25">
      <c r="A5" s="37" t="s">
        <v>22</v>
      </c>
    </row>
    <row r="7" spans="1:18" ht="33" customHeight="1" thickBot="1" x14ac:dyDescent="0.25">
      <c r="B7" s="1" t="s">
        <v>9</v>
      </c>
      <c r="P7" s="484" t="s">
        <v>74</v>
      </c>
      <c r="Q7" s="484"/>
      <c r="R7" s="484"/>
    </row>
    <row r="8" spans="1:18" ht="13.5" thickBot="1" x14ac:dyDescent="0.25">
      <c r="B8" s="206"/>
      <c r="C8" s="207"/>
      <c r="D8" s="207"/>
      <c r="E8" s="488" t="s">
        <v>1</v>
      </c>
      <c r="F8" s="489"/>
      <c r="G8" s="488" t="s">
        <v>2</v>
      </c>
      <c r="H8" s="489"/>
      <c r="I8" s="208"/>
      <c r="J8" s="207"/>
      <c r="P8" s="207"/>
      <c r="Q8" s="207"/>
      <c r="R8" s="207"/>
    </row>
    <row r="9" spans="1:18" ht="34.5" thickBot="1" x14ac:dyDescent="0.25">
      <c r="B9" s="209" t="s">
        <v>3</v>
      </c>
      <c r="C9" s="210" t="s">
        <v>4</v>
      </c>
      <c r="D9" s="211" t="s">
        <v>25</v>
      </c>
      <c r="E9" s="212" t="s">
        <v>5</v>
      </c>
      <c r="F9" s="211" t="s">
        <v>6</v>
      </c>
      <c r="G9" s="211" t="s">
        <v>5</v>
      </c>
      <c r="H9" s="211" t="s">
        <v>6</v>
      </c>
      <c r="I9" s="212" t="s">
        <v>7</v>
      </c>
      <c r="J9" s="211" t="s">
        <v>8</v>
      </c>
      <c r="P9" s="211" t="s">
        <v>73</v>
      </c>
      <c r="Q9" s="211" t="s">
        <v>35</v>
      </c>
      <c r="R9" s="211" t="s">
        <v>36</v>
      </c>
    </row>
    <row r="10" spans="1:18" ht="18" customHeight="1" x14ac:dyDescent="0.2">
      <c r="A10" s="498" t="s">
        <v>48</v>
      </c>
      <c r="B10" s="2">
        <v>1</v>
      </c>
      <c r="C10" s="3">
        <v>1996</v>
      </c>
      <c r="D10" s="63">
        <v>1088941</v>
      </c>
      <c r="E10" s="64">
        <v>123.34</v>
      </c>
      <c r="F10" s="65">
        <f>D10*E10</f>
        <v>134309982.94</v>
      </c>
      <c r="G10" s="225"/>
      <c r="H10" s="226"/>
      <c r="I10" s="227"/>
      <c r="J10" s="228"/>
      <c r="P10" s="82"/>
      <c r="Q10" s="82"/>
      <c r="R10" s="90"/>
    </row>
    <row r="11" spans="1:18" ht="18" customHeight="1" x14ac:dyDescent="0.2">
      <c r="A11" s="499"/>
      <c r="B11" s="9">
        <v>2</v>
      </c>
      <c r="C11" s="10">
        <v>1997</v>
      </c>
      <c r="D11" s="18">
        <v>1081206</v>
      </c>
      <c r="E11" s="20">
        <v>131.36943399999998</v>
      </c>
      <c r="F11" s="19">
        <f t="shared" ref="F11:F32" si="0">D11*E11</f>
        <v>142037420.25740397</v>
      </c>
      <c r="G11" s="229"/>
      <c r="H11" s="230"/>
      <c r="I11" s="231"/>
      <c r="J11" s="232"/>
      <c r="P11" s="83"/>
      <c r="Q11" s="83"/>
      <c r="R11" s="90"/>
    </row>
    <row r="12" spans="1:18" ht="18" customHeight="1" x14ac:dyDescent="0.2">
      <c r="A12" s="499"/>
      <c r="B12" s="9">
        <v>3</v>
      </c>
      <c r="C12" s="10">
        <v>1998</v>
      </c>
      <c r="D12" s="18">
        <v>1250830</v>
      </c>
      <c r="E12" s="20">
        <v>139.92158415339998</v>
      </c>
      <c r="F12" s="19">
        <f t="shared" si="0"/>
        <v>175018115.1065973</v>
      </c>
      <c r="G12" s="229"/>
      <c r="H12" s="230"/>
      <c r="I12" s="231"/>
      <c r="J12" s="232"/>
      <c r="P12" s="83"/>
      <c r="Q12" s="83"/>
      <c r="R12" s="90"/>
    </row>
    <row r="13" spans="1:18" ht="18" customHeight="1" x14ac:dyDescent="0.2">
      <c r="A13" s="499"/>
      <c r="B13" s="9">
        <v>4</v>
      </c>
      <c r="C13" s="10">
        <v>1999</v>
      </c>
      <c r="D13" s="18">
        <v>1510946</v>
      </c>
      <c r="E13" s="20">
        <v>149.03047928178631</v>
      </c>
      <c r="F13" s="19">
        <f t="shared" si="0"/>
        <v>225177006.54889789</v>
      </c>
      <c r="G13" s="229"/>
      <c r="H13" s="230"/>
      <c r="I13" s="231"/>
      <c r="J13" s="232"/>
      <c r="P13" s="83"/>
      <c r="Q13" s="83"/>
      <c r="R13" s="90"/>
    </row>
    <row r="14" spans="1:18" ht="18" customHeight="1" x14ac:dyDescent="0.2">
      <c r="A14" s="499"/>
      <c r="B14" s="9">
        <v>5</v>
      </c>
      <c r="C14" s="10">
        <v>2000</v>
      </c>
      <c r="D14" s="18">
        <v>1522229</v>
      </c>
      <c r="E14" s="20">
        <v>158.73236348303058</v>
      </c>
      <c r="F14" s="19">
        <f t="shared" si="0"/>
        <v>241627006.93241015</v>
      </c>
      <c r="G14" s="229"/>
      <c r="H14" s="230"/>
      <c r="I14" s="231"/>
      <c r="J14" s="232"/>
      <c r="P14" s="83"/>
      <c r="Q14" s="83"/>
      <c r="R14" s="91"/>
    </row>
    <row r="15" spans="1:18" ht="18" customHeight="1" x14ac:dyDescent="0.2">
      <c r="A15" s="499"/>
      <c r="B15" s="9">
        <v>6</v>
      </c>
      <c r="C15" s="10">
        <v>2001</v>
      </c>
      <c r="D15" s="18">
        <v>1915864</v>
      </c>
      <c r="E15" s="20">
        <v>169.06584034577585</v>
      </c>
      <c r="F15" s="19">
        <f t="shared" si="0"/>
        <v>323907157.14821953</v>
      </c>
      <c r="G15" s="229"/>
      <c r="H15" s="230"/>
      <c r="I15" s="231"/>
      <c r="J15" s="232"/>
      <c r="P15" s="83"/>
      <c r="Q15" s="83"/>
      <c r="R15" s="90"/>
    </row>
    <row r="16" spans="1:18" ht="18" customHeight="1" x14ac:dyDescent="0.2">
      <c r="A16" s="499"/>
      <c r="B16" s="9">
        <v>7</v>
      </c>
      <c r="C16" s="10">
        <v>2002</v>
      </c>
      <c r="D16" s="18">
        <v>2014674</v>
      </c>
      <c r="E16" s="20">
        <v>180.07202655228585</v>
      </c>
      <c r="F16" s="19">
        <f t="shared" si="0"/>
        <v>362786430.02219993</v>
      </c>
      <c r="G16" s="229"/>
      <c r="H16" s="230"/>
      <c r="I16" s="231"/>
      <c r="J16" s="232"/>
      <c r="P16" s="83"/>
      <c r="Q16" s="83"/>
      <c r="R16" s="90"/>
    </row>
    <row r="17" spans="1:18" ht="18" customHeight="1" x14ac:dyDescent="0.2">
      <c r="A17" s="499"/>
      <c r="B17" s="16">
        <v>8</v>
      </c>
      <c r="C17" s="17">
        <v>2003</v>
      </c>
      <c r="D17" s="18">
        <v>1941227</v>
      </c>
      <c r="E17" s="20">
        <v>191.79471548083964</v>
      </c>
      <c r="F17" s="19">
        <f t="shared" si="0"/>
        <v>372317080.1487239</v>
      </c>
      <c r="G17" s="229"/>
      <c r="H17" s="230"/>
      <c r="I17" s="231"/>
      <c r="J17" s="232"/>
      <c r="P17" s="84"/>
      <c r="Q17" s="83"/>
      <c r="R17" s="91"/>
    </row>
    <row r="18" spans="1:18" ht="18" customHeight="1" x14ac:dyDescent="0.2">
      <c r="A18" s="499"/>
      <c r="B18" s="23">
        <v>9</v>
      </c>
      <c r="C18" s="24">
        <v>2004</v>
      </c>
      <c r="D18" s="25">
        <v>1984722</v>
      </c>
      <c r="E18" s="26">
        <v>204.28055145864229</v>
      </c>
      <c r="F18" s="27">
        <f t="shared" si="0"/>
        <v>405440104.65209943</v>
      </c>
      <c r="G18" s="26">
        <f t="shared" ref="G18:G23" si="1">H18/D18</f>
        <v>149.18655106357465</v>
      </c>
      <c r="H18" s="27">
        <v>296093830</v>
      </c>
      <c r="I18" s="28">
        <f t="shared" ref="I18:I27" si="2">F18-H18</f>
        <v>109346274.65209943</v>
      </c>
      <c r="J18" s="29">
        <f t="shared" ref="J18:J27" si="3">J17+I18</f>
        <v>109346274.65209943</v>
      </c>
      <c r="P18" s="85">
        <f>H18</f>
        <v>296093830</v>
      </c>
      <c r="Q18" s="83">
        <f>L18-P18</f>
        <v>-296093830</v>
      </c>
      <c r="R18" s="90"/>
    </row>
    <row r="19" spans="1:18" ht="18" customHeight="1" x14ac:dyDescent="0.2">
      <c r="A19" s="499"/>
      <c r="B19" s="16">
        <v>10</v>
      </c>
      <c r="C19" s="17">
        <v>2005</v>
      </c>
      <c r="D19" s="18">
        <v>2015932</v>
      </c>
      <c r="E19" s="20">
        <v>217.5792153585999</v>
      </c>
      <c r="F19" s="19">
        <f t="shared" si="0"/>
        <v>438624902.77629298</v>
      </c>
      <c r="G19" s="26">
        <f t="shared" si="1"/>
        <v>159.74234349174475</v>
      </c>
      <c r="H19" s="19">
        <v>322029702</v>
      </c>
      <c r="I19" s="21">
        <f t="shared" si="2"/>
        <v>116595200.77629298</v>
      </c>
      <c r="J19" s="22">
        <f t="shared" si="3"/>
        <v>225941475.42839241</v>
      </c>
      <c r="P19" s="84">
        <f t="shared" ref="P19:P26" si="4">H19</f>
        <v>322029702</v>
      </c>
      <c r="Q19" s="83">
        <f t="shared" ref="Q19:Q27" si="5">L19-P19</f>
        <v>-322029702</v>
      </c>
      <c r="R19" s="90"/>
    </row>
    <row r="20" spans="1:18" ht="18" customHeight="1" x14ac:dyDescent="0.2">
      <c r="A20" s="499"/>
      <c r="B20" s="35">
        <v>11</v>
      </c>
      <c r="C20" s="17">
        <v>2006</v>
      </c>
      <c r="D20" s="18">
        <v>2036491</v>
      </c>
      <c r="E20" s="20">
        <v>231.74362227844475</v>
      </c>
      <c r="F20" s="19">
        <f t="shared" si="0"/>
        <v>471943801.07745224</v>
      </c>
      <c r="G20" s="20">
        <f t="shared" si="1"/>
        <v>190.63851006461604</v>
      </c>
      <c r="H20" s="19">
        <v>388233610</v>
      </c>
      <c r="I20" s="21">
        <f t="shared" si="2"/>
        <v>83710191.077452242</v>
      </c>
      <c r="J20" s="36">
        <f t="shared" si="3"/>
        <v>309651666.50584465</v>
      </c>
      <c r="P20" s="84">
        <f t="shared" si="4"/>
        <v>388233610</v>
      </c>
      <c r="Q20" s="83">
        <f t="shared" si="5"/>
        <v>-388233610</v>
      </c>
      <c r="R20" s="91" t="s">
        <v>9</v>
      </c>
    </row>
    <row r="21" spans="1:18" ht="18" customHeight="1" x14ac:dyDescent="0.2">
      <c r="A21" s="499"/>
      <c r="B21" s="33">
        <v>12</v>
      </c>
      <c r="C21" s="52">
        <v>2007</v>
      </c>
      <c r="D21" s="25">
        <v>2130548</v>
      </c>
      <c r="E21" s="26">
        <v>243.63</v>
      </c>
      <c r="F21" s="27">
        <f t="shared" si="0"/>
        <v>519065409.24000001</v>
      </c>
      <c r="G21" s="26">
        <f t="shared" si="1"/>
        <v>195.93138619735393</v>
      </c>
      <c r="H21" s="27">
        <v>417441223</v>
      </c>
      <c r="I21" s="28">
        <f t="shared" si="2"/>
        <v>101624186.24000001</v>
      </c>
      <c r="J21" s="34">
        <f t="shared" si="3"/>
        <v>411275852.74584466</v>
      </c>
      <c r="P21" s="85">
        <f t="shared" si="4"/>
        <v>417441223</v>
      </c>
      <c r="Q21" s="83">
        <f t="shared" si="5"/>
        <v>-417441223</v>
      </c>
      <c r="R21" s="90"/>
    </row>
    <row r="22" spans="1:18" ht="18" customHeight="1" x14ac:dyDescent="0.2">
      <c r="A22" s="499"/>
      <c r="B22" s="35">
        <v>13</v>
      </c>
      <c r="C22" s="59">
        <v>2008</v>
      </c>
      <c r="D22" s="18">
        <v>2078460</v>
      </c>
      <c r="E22" s="20">
        <v>256.12821899999994</v>
      </c>
      <c r="F22" s="19">
        <f t="shared" si="0"/>
        <v>532352258.06273991</v>
      </c>
      <c r="G22" s="20">
        <f t="shared" si="1"/>
        <v>208.7750257402115</v>
      </c>
      <c r="H22" s="19">
        <v>433930540</v>
      </c>
      <c r="I22" s="21">
        <f t="shared" si="2"/>
        <v>98421718.062739909</v>
      </c>
      <c r="J22" s="36">
        <f t="shared" si="3"/>
        <v>509697570.80858457</v>
      </c>
      <c r="P22" s="162">
        <f t="shared" si="4"/>
        <v>433930540</v>
      </c>
      <c r="Q22" s="200">
        <f t="shared" si="5"/>
        <v>-433930540</v>
      </c>
      <c r="R22" s="90"/>
    </row>
    <row r="23" spans="1:18" ht="18" customHeight="1" x14ac:dyDescent="0.2">
      <c r="A23" s="499"/>
      <c r="B23" s="16">
        <v>14</v>
      </c>
      <c r="C23" s="59">
        <v>2009</v>
      </c>
      <c r="D23" s="18">
        <v>2246021</v>
      </c>
      <c r="E23" s="20">
        <v>269.26759663469994</v>
      </c>
      <c r="F23" s="19">
        <f t="shared" si="0"/>
        <v>604780676.66106534</v>
      </c>
      <c r="G23" s="20">
        <f t="shared" si="1"/>
        <v>220.16723574712793</v>
      </c>
      <c r="H23" s="19">
        <v>494500235</v>
      </c>
      <c r="I23" s="21">
        <f t="shared" si="2"/>
        <v>110280441.66106534</v>
      </c>
      <c r="J23" s="22">
        <f t="shared" si="3"/>
        <v>619978012.46964991</v>
      </c>
      <c r="P23" s="84">
        <f t="shared" si="4"/>
        <v>494500235</v>
      </c>
      <c r="Q23" s="83">
        <f t="shared" si="5"/>
        <v>-494500235</v>
      </c>
      <c r="R23" s="91" t="s">
        <v>9</v>
      </c>
    </row>
    <row r="24" spans="1:18" ht="18" customHeight="1" x14ac:dyDescent="0.2">
      <c r="A24" s="499"/>
      <c r="B24" s="35">
        <v>15</v>
      </c>
      <c r="C24" s="17">
        <v>2010</v>
      </c>
      <c r="D24" s="18">
        <v>2429264</v>
      </c>
      <c r="E24" s="140">
        <v>283.08102434206</v>
      </c>
      <c r="F24" s="19">
        <f t="shared" si="0"/>
        <v>687678541.51729</v>
      </c>
      <c r="G24" s="99">
        <f>H24/D24</f>
        <v>213.69708808923195</v>
      </c>
      <c r="H24" s="19">
        <v>519126643</v>
      </c>
      <c r="I24" s="21">
        <f t="shared" si="2"/>
        <v>168551898.51729</v>
      </c>
      <c r="J24" s="36">
        <f t="shared" si="3"/>
        <v>788529910.98693991</v>
      </c>
      <c r="P24" s="84">
        <f t="shared" si="4"/>
        <v>519126643</v>
      </c>
      <c r="Q24" s="163">
        <f t="shared" si="5"/>
        <v>-519126643</v>
      </c>
      <c r="R24" s="90"/>
    </row>
    <row r="25" spans="1:18" ht="18" customHeight="1" x14ac:dyDescent="0.2">
      <c r="A25" s="499"/>
      <c r="B25" s="38">
        <v>16</v>
      </c>
      <c r="C25" s="92">
        <v>2011</v>
      </c>
      <c r="D25" s="93">
        <v>2433324</v>
      </c>
      <c r="E25" s="94">
        <v>297.60308089080763</v>
      </c>
      <c r="F25" s="95">
        <f t="shared" si="0"/>
        <v>724164719.20554364</v>
      </c>
      <c r="G25" s="94">
        <f>H25/D25</f>
        <v>224.38421393945072</v>
      </c>
      <c r="H25" s="95">
        <v>545999493</v>
      </c>
      <c r="I25" s="96">
        <f t="shared" si="2"/>
        <v>178165226.20554364</v>
      </c>
      <c r="J25" s="39">
        <f t="shared" si="3"/>
        <v>966695137.19248354</v>
      </c>
      <c r="K25" s="48"/>
      <c r="P25" s="85">
        <f t="shared" si="4"/>
        <v>545999493</v>
      </c>
      <c r="Q25" s="83">
        <f t="shared" si="5"/>
        <v>-545999493</v>
      </c>
      <c r="R25" s="90"/>
    </row>
    <row r="26" spans="1:18" ht="18" customHeight="1" thickBot="1" x14ac:dyDescent="0.25">
      <c r="A26" s="499"/>
      <c r="B26" s="141">
        <v>17</v>
      </c>
      <c r="C26" s="142">
        <v>2012</v>
      </c>
      <c r="D26" s="143">
        <v>2565123</v>
      </c>
      <c r="E26" s="144">
        <v>312.87011894050602</v>
      </c>
      <c r="F26" s="145">
        <f t="shared" si="0"/>
        <v>802550338.10702765</v>
      </c>
      <c r="G26" s="144">
        <f>+H26/D26</f>
        <v>230.21659117321079</v>
      </c>
      <c r="H26" s="145">
        <v>590533873</v>
      </c>
      <c r="I26" s="146">
        <f t="shared" si="2"/>
        <v>212016465.10702765</v>
      </c>
      <c r="J26" s="147">
        <f t="shared" si="3"/>
        <v>1178711602.2995112</v>
      </c>
      <c r="K26" s="48"/>
      <c r="P26" s="86">
        <f t="shared" si="4"/>
        <v>590533873</v>
      </c>
      <c r="Q26" s="161">
        <f t="shared" si="5"/>
        <v>-590533873</v>
      </c>
      <c r="R26" s="90"/>
    </row>
    <row r="27" spans="1:18" ht="30" customHeight="1" x14ac:dyDescent="0.2">
      <c r="A27" s="135"/>
      <c r="B27" s="152">
        <v>18</v>
      </c>
      <c r="C27" s="153">
        <v>2013</v>
      </c>
      <c r="D27" s="154">
        <v>2618683</v>
      </c>
      <c r="E27" s="128">
        <v>326.64</v>
      </c>
      <c r="F27" s="155">
        <f t="shared" si="0"/>
        <v>855366615.12</v>
      </c>
      <c r="G27" s="199">
        <f>+H27/D27</f>
        <v>230.11964976051047</v>
      </c>
      <c r="H27" s="155">
        <f>600427955+'May17-Exh23-HMP'!J27</f>
        <v>602610414.79380286</v>
      </c>
      <c r="I27" s="156">
        <f t="shared" si="2"/>
        <v>252756200.32619715</v>
      </c>
      <c r="J27" s="157">
        <f t="shared" si="3"/>
        <v>1431467802.6257083</v>
      </c>
      <c r="K27" s="48"/>
      <c r="P27" s="85">
        <f>H27-'May17-Exh23-HMP'!J27</f>
        <v>600427955</v>
      </c>
      <c r="Q27" s="164">
        <f t="shared" si="5"/>
        <v>-600427955</v>
      </c>
      <c r="R27" s="91">
        <f>SUM(Q24:Q27)</f>
        <v>-2256087964</v>
      </c>
    </row>
    <row r="28" spans="1:18" ht="30" customHeight="1" x14ac:dyDescent="0.2">
      <c r="A28" s="135"/>
      <c r="B28" s="16">
        <v>19</v>
      </c>
      <c r="C28" s="59">
        <v>2014</v>
      </c>
      <c r="D28" s="18">
        <f>'OHCA_C-Report_2014-16'!L8</f>
        <v>2745120</v>
      </c>
      <c r="E28" s="20">
        <v>341.01</v>
      </c>
      <c r="F28" s="19">
        <f t="shared" si="0"/>
        <v>936113371.19999993</v>
      </c>
      <c r="G28" s="20">
        <f>+H28/D28</f>
        <v>229.98829852683602</v>
      </c>
      <c r="H28" s="19">
        <f>'OHCA_C-Report_2014-16'!M9+'May17-Exh23-HMP'!J28</f>
        <v>631345478.05198812</v>
      </c>
      <c r="I28" s="21">
        <f t="shared" ref="I28:I33" si="6">F28-H28</f>
        <v>304767893.1480118</v>
      </c>
      <c r="J28" s="22">
        <f>J27+I28</f>
        <v>1736235695.7737203</v>
      </c>
      <c r="K28" s="48"/>
      <c r="P28" s="84"/>
      <c r="Q28" s="15"/>
      <c r="R28" s="90"/>
    </row>
    <row r="29" spans="1:18" ht="30" customHeight="1" thickBot="1" x14ac:dyDescent="0.25">
      <c r="A29" s="136"/>
      <c r="B29" s="134">
        <v>20</v>
      </c>
      <c r="C29" s="139">
        <v>2015</v>
      </c>
      <c r="D29" s="93">
        <f>'OHCA_C-Report_2014-16'!X$8</f>
        <v>2807836</v>
      </c>
      <c r="E29" s="94">
        <v>356.01</v>
      </c>
      <c r="F29" s="95">
        <f t="shared" si="0"/>
        <v>999617694.36000001</v>
      </c>
      <c r="G29" s="94">
        <f>+H29/D29</f>
        <v>210.85917859954066</v>
      </c>
      <c r="H29" s="95">
        <f>('OHCA_C-Report_2014-16'!Y$9)+'May17-Exh23-HMP'!J29</f>
        <v>592057992.60221982</v>
      </c>
      <c r="I29" s="96">
        <f t="shared" si="6"/>
        <v>407559701.75778019</v>
      </c>
      <c r="J29" s="101">
        <f>J28+I29</f>
        <v>2143795397.5315003</v>
      </c>
      <c r="K29" s="48"/>
      <c r="P29" s="86"/>
      <c r="Q29" s="161"/>
      <c r="R29" s="90"/>
    </row>
    <row r="30" spans="1:18" ht="30" customHeight="1" x14ac:dyDescent="0.2">
      <c r="A30" s="495" t="s">
        <v>34</v>
      </c>
      <c r="B30" s="61">
        <v>21</v>
      </c>
      <c r="C30" s="62">
        <v>2016</v>
      </c>
      <c r="D30" s="63">
        <f>'OHCA_C-Report_2014-16'!AJ$8</f>
        <v>2721130</v>
      </c>
      <c r="E30" s="64">
        <v>371.67</v>
      </c>
      <c r="F30" s="65">
        <f t="shared" si="0"/>
        <v>1011362387.1</v>
      </c>
      <c r="G30" s="128">
        <f>H30/D30</f>
        <v>208.29851232754001</v>
      </c>
      <c r="H30" s="65">
        <f>('OHCA_C-Report_2014-16'!AK$9)+'May17-Exh23-HMP'!J30</f>
        <v>566807330.84983897</v>
      </c>
      <c r="I30" s="66">
        <f t="shared" si="6"/>
        <v>444555056.25016105</v>
      </c>
      <c r="J30" s="67">
        <f>J29+I30</f>
        <v>2588350453.7816615</v>
      </c>
      <c r="P30" s="87"/>
      <c r="Q30" s="67"/>
      <c r="R30" s="90"/>
    </row>
    <row r="31" spans="1:18" ht="30" customHeight="1" x14ac:dyDescent="0.2">
      <c r="A31" s="496"/>
      <c r="B31" s="74">
        <v>22</v>
      </c>
      <c r="C31" s="10" t="s">
        <v>49</v>
      </c>
      <c r="D31" s="18">
        <f>(D30*(1+'May17-Exh1&amp;2-Trends'!$K$11))</f>
        <v>2773075.6650501336</v>
      </c>
      <c r="E31" s="12">
        <f>E30*'May17-Exh1&amp;2-Trends'!$D$27</f>
        <v>388.02348000000001</v>
      </c>
      <c r="F31" s="13">
        <f t="shared" si="0"/>
        <v>1076018469.8560672</v>
      </c>
      <c r="G31" s="20">
        <f>('May17-Exh1&amp;2-Trends'!D$27*(G30-'May17-Exh23-HMP'!J30/D30)+('May17-Exh23-HMP'!J31/D31))</f>
        <v>217.40832396330526</v>
      </c>
      <c r="H31" s="13">
        <f>D31*G31</f>
        <v>602889732.56197762</v>
      </c>
      <c r="I31" s="13">
        <f t="shared" si="6"/>
        <v>473128737.29408956</v>
      </c>
      <c r="J31" s="78">
        <f>J30+I31</f>
        <v>3061479191.0757513</v>
      </c>
      <c r="P31" s="88"/>
      <c r="Q31" s="78"/>
      <c r="R31" s="90"/>
    </row>
    <row r="32" spans="1:18" ht="30" hidden="1" customHeight="1" thickBot="1" x14ac:dyDescent="0.25">
      <c r="A32" s="497"/>
      <c r="B32" s="453">
        <v>23</v>
      </c>
      <c r="C32" s="70" t="s">
        <v>50</v>
      </c>
      <c r="D32" s="75">
        <f>D31*(1+'May17-Exh1&amp;2-Trends'!$K$11)</f>
        <v>2826012.9593563117</v>
      </c>
      <c r="E32" s="71">
        <f>E31*'May17-Exh1&amp;2-Trends'!$D$27</f>
        <v>405.09651312</v>
      </c>
      <c r="F32" s="76">
        <f t="shared" si="0"/>
        <v>1144807995.8671741</v>
      </c>
      <c r="G32" s="71">
        <f>('May17-Exh1&amp;2-Trends'!D$27*(G31-'May17-Exh23-HMP'!J31/D31)+('May17-Exh23-HMP'!J32/D32))</f>
        <v>226.9186408840969</v>
      </c>
      <c r="H32" s="76">
        <f>D32*G32</f>
        <v>641275019.85797882</v>
      </c>
      <c r="I32" s="76">
        <f t="shared" si="6"/>
        <v>503532976.00919533</v>
      </c>
      <c r="J32" s="77">
        <f>J31+I32</f>
        <v>3565012167.0849466</v>
      </c>
      <c r="K32" t="s">
        <v>158</v>
      </c>
      <c r="P32" s="89"/>
      <c r="Q32" s="77"/>
      <c r="R32" s="90"/>
    </row>
    <row r="33" spans="1:10" ht="30" customHeight="1" thickBot="1" x14ac:dyDescent="0.25">
      <c r="A33" s="441" t="s">
        <v>154</v>
      </c>
      <c r="B33" s="454">
        <v>23</v>
      </c>
      <c r="C33" s="70" t="s">
        <v>50</v>
      </c>
      <c r="D33" s="75">
        <f>D32</f>
        <v>2826012.9593563117</v>
      </c>
      <c r="E33" s="71">
        <f>'May17-Exh1&amp;2-Trends'!D27^2*G30</f>
        <v>227.03204733222964</v>
      </c>
      <c r="F33" s="76">
        <f>D33*E33</f>
        <v>641595507.95007646</v>
      </c>
      <c r="G33" s="71">
        <f>G32</f>
        <v>226.9186408840969</v>
      </c>
      <c r="H33" s="76">
        <f>H32</f>
        <v>641275019.85797882</v>
      </c>
      <c r="I33" s="76">
        <f t="shared" si="6"/>
        <v>320488.09209764004</v>
      </c>
      <c r="J33" s="77">
        <f>J31+I33</f>
        <v>3061799679.1678491</v>
      </c>
    </row>
    <row r="34" spans="1:10" ht="31.5" customHeight="1" x14ac:dyDescent="0.2"/>
    <row r="35" spans="1:10" ht="31.5" customHeight="1" x14ac:dyDescent="0.2">
      <c r="H35" s="190"/>
    </row>
    <row r="36" spans="1:10" ht="31.5" customHeight="1" x14ac:dyDescent="0.2">
      <c r="H36" s="190"/>
    </row>
    <row r="37" spans="1:10" ht="31.5" customHeight="1" x14ac:dyDescent="0.2">
      <c r="H37" s="190"/>
    </row>
    <row r="38" spans="1:10" ht="31.5" customHeight="1" x14ac:dyDescent="0.2">
      <c r="H38" s="190"/>
    </row>
    <row r="39" spans="1:10" ht="31.5" customHeight="1" x14ac:dyDescent="0.2">
      <c r="H39" s="190"/>
    </row>
    <row r="40" spans="1:10" ht="31.5" customHeight="1" x14ac:dyDescent="0.2"/>
    <row r="41" spans="1:10" ht="31.5" customHeight="1" x14ac:dyDescent="0.2"/>
    <row r="42" spans="1:10" ht="31.5" customHeight="1" x14ac:dyDescent="0.2"/>
    <row r="43" spans="1:10" ht="31.5" customHeight="1" x14ac:dyDescent="0.2"/>
  </sheetData>
  <mergeCells count="5">
    <mergeCell ref="P7:R7"/>
    <mergeCell ref="A30:A32"/>
    <mergeCell ref="G8:H8"/>
    <mergeCell ref="E8:F8"/>
    <mergeCell ref="A10:A26"/>
  </mergeCells>
  <phoneticPr fontId="4" type="noConversion"/>
  <pageMargins left="0.41" right="0.25" top="1" bottom="1" header="0.5" footer="0.5"/>
  <pageSetup scale="61" orientation="landscape" r:id="rId1"/>
  <headerFooter alignWithMargins="0">
    <oddFooter xml:space="preserve">&amp;L&amp;8 &amp;C&amp;A </oddFooter>
  </headerFooter>
  <rowBreaks count="1" manualBreakCount="1">
    <brk id="2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3A75C4"/>
    <pageSetUpPr fitToPage="1"/>
  </sheetPr>
  <dimension ref="A2:R43"/>
  <sheetViews>
    <sheetView workbookViewId="0"/>
  </sheetViews>
  <sheetFormatPr defaultRowHeight="12.75" x14ac:dyDescent="0.2"/>
  <cols>
    <col min="3" max="3" width="13.85546875" customWidth="1"/>
    <col min="4" max="9" width="14.7109375" customWidth="1"/>
    <col min="10" max="10" width="15.7109375" customWidth="1"/>
    <col min="11" max="11" width="22.7109375" customWidth="1"/>
    <col min="12" max="14" width="15.7109375" customWidth="1"/>
    <col min="16" max="16" width="12.7109375" customWidth="1"/>
    <col min="17" max="17" width="16.140625" customWidth="1"/>
    <col min="18" max="18" width="16.28515625" customWidth="1"/>
  </cols>
  <sheetData>
    <row r="2" spans="1:18" ht="18" x14ac:dyDescent="0.25">
      <c r="A2" s="37" t="s">
        <v>0</v>
      </c>
    </row>
    <row r="3" spans="1:18" ht="18.75" x14ac:dyDescent="0.3">
      <c r="A3" s="37" t="s">
        <v>10</v>
      </c>
    </row>
    <row r="4" spans="1:18" ht="18" x14ac:dyDescent="0.25">
      <c r="A4" s="37"/>
    </row>
    <row r="5" spans="1:18" ht="18" x14ac:dyDescent="0.25">
      <c r="A5" s="37" t="s">
        <v>23</v>
      </c>
    </row>
    <row r="7" spans="1:18" ht="33" customHeight="1" thickBot="1" x14ac:dyDescent="0.25">
      <c r="B7" s="1" t="s">
        <v>9</v>
      </c>
      <c r="P7" s="484" t="s">
        <v>77</v>
      </c>
      <c r="Q7" s="484"/>
      <c r="R7" s="484"/>
    </row>
    <row r="8" spans="1:18" ht="13.5" thickBot="1" x14ac:dyDescent="0.25">
      <c r="B8" s="206"/>
      <c r="C8" s="207"/>
      <c r="D8" s="207"/>
      <c r="E8" s="488" t="s">
        <v>1</v>
      </c>
      <c r="F8" s="489"/>
      <c r="G8" s="488" t="s">
        <v>2</v>
      </c>
      <c r="H8" s="489"/>
      <c r="I8" s="208"/>
      <c r="J8" s="207"/>
      <c r="P8" s="207"/>
      <c r="Q8" s="207"/>
      <c r="R8" s="207"/>
    </row>
    <row r="9" spans="1:18" ht="34.5" thickBot="1" x14ac:dyDescent="0.25">
      <c r="B9" s="209" t="s">
        <v>3</v>
      </c>
      <c r="C9" s="210" t="s">
        <v>4</v>
      </c>
      <c r="D9" s="211" t="s">
        <v>25</v>
      </c>
      <c r="E9" s="212" t="s">
        <v>5</v>
      </c>
      <c r="F9" s="211" t="s">
        <v>6</v>
      </c>
      <c r="G9" s="211" t="s">
        <v>5</v>
      </c>
      <c r="H9" s="211" t="s">
        <v>6</v>
      </c>
      <c r="I9" s="212" t="s">
        <v>7</v>
      </c>
      <c r="J9" s="211" t="s">
        <v>8</v>
      </c>
      <c r="P9" s="211" t="s">
        <v>76</v>
      </c>
      <c r="Q9" s="211" t="s">
        <v>35</v>
      </c>
      <c r="R9" s="211" t="s">
        <v>36</v>
      </c>
    </row>
    <row r="10" spans="1:18" ht="18" customHeight="1" x14ac:dyDescent="0.2">
      <c r="A10" s="498" t="s">
        <v>48</v>
      </c>
      <c r="B10" s="2">
        <v>1</v>
      </c>
      <c r="C10" s="3">
        <v>1996</v>
      </c>
      <c r="D10" s="4"/>
      <c r="E10" s="5"/>
      <c r="F10" s="6"/>
      <c r="G10" s="5"/>
      <c r="H10" s="6"/>
      <c r="I10" s="7"/>
      <c r="J10" s="8"/>
      <c r="P10" s="82"/>
      <c r="Q10" s="82"/>
      <c r="R10" s="90"/>
    </row>
    <row r="11" spans="1:18" ht="18" customHeight="1" x14ac:dyDescent="0.2">
      <c r="A11" s="499"/>
      <c r="B11" s="9">
        <v>2</v>
      </c>
      <c r="C11" s="10">
        <v>1997</v>
      </c>
      <c r="D11" s="11"/>
      <c r="E11" s="12"/>
      <c r="F11" s="13"/>
      <c r="G11" s="12"/>
      <c r="H11" s="13"/>
      <c r="I11" s="14"/>
      <c r="J11" s="15"/>
      <c r="P11" s="83"/>
      <c r="Q11" s="83"/>
      <c r="R11" s="90"/>
    </row>
    <row r="12" spans="1:18" ht="18" customHeight="1" x14ac:dyDescent="0.2">
      <c r="A12" s="499"/>
      <c r="B12" s="9">
        <v>3</v>
      </c>
      <c r="C12" s="10">
        <v>1998</v>
      </c>
      <c r="D12" s="11"/>
      <c r="E12" s="12"/>
      <c r="F12" s="13"/>
      <c r="G12" s="12"/>
      <c r="H12" s="13"/>
      <c r="I12" s="14"/>
      <c r="J12" s="15"/>
      <c r="P12" s="83"/>
      <c r="Q12" s="83"/>
      <c r="R12" s="90"/>
    </row>
    <row r="13" spans="1:18" ht="18" customHeight="1" x14ac:dyDescent="0.2">
      <c r="A13" s="499"/>
      <c r="B13" s="9">
        <v>4</v>
      </c>
      <c r="C13" s="10">
        <v>1999</v>
      </c>
      <c r="D13" s="18">
        <v>96785</v>
      </c>
      <c r="E13" s="20">
        <v>536.13499999999999</v>
      </c>
      <c r="F13" s="19">
        <f>D13*E13</f>
        <v>51889825.975000001</v>
      </c>
      <c r="G13" s="229"/>
      <c r="H13" s="230"/>
      <c r="I13" s="231"/>
      <c r="J13" s="232"/>
      <c r="P13" s="83"/>
      <c r="Q13" s="83"/>
      <c r="R13" s="90"/>
    </row>
    <row r="14" spans="1:18" ht="18" customHeight="1" x14ac:dyDescent="0.2">
      <c r="A14" s="499"/>
      <c r="B14" s="9">
        <v>5</v>
      </c>
      <c r="C14" s="10">
        <v>2000</v>
      </c>
      <c r="D14" s="18">
        <v>190315</v>
      </c>
      <c r="E14" s="20">
        <v>567.55251099999998</v>
      </c>
      <c r="F14" s="19">
        <f t="shared" ref="F14:F32" si="0">D14*E14</f>
        <v>108013756.13096499</v>
      </c>
      <c r="G14" s="229"/>
      <c r="H14" s="230"/>
      <c r="I14" s="231"/>
      <c r="J14" s="232"/>
      <c r="P14" s="83"/>
      <c r="Q14" s="83"/>
      <c r="R14" s="91"/>
    </row>
    <row r="15" spans="1:18" ht="18" customHeight="1" x14ac:dyDescent="0.2">
      <c r="A15" s="499"/>
      <c r="B15" s="9">
        <v>6</v>
      </c>
      <c r="C15" s="10">
        <v>2001</v>
      </c>
      <c r="D15" s="18">
        <v>279689</v>
      </c>
      <c r="E15" s="20">
        <v>600.81108814459992</v>
      </c>
      <c r="F15" s="19">
        <f t="shared" si="0"/>
        <v>168040252.43207499</v>
      </c>
      <c r="G15" s="229"/>
      <c r="H15" s="230"/>
      <c r="I15" s="231"/>
      <c r="J15" s="232"/>
      <c r="P15" s="83"/>
      <c r="Q15" s="83"/>
      <c r="R15" s="90"/>
    </row>
    <row r="16" spans="1:18" ht="18" customHeight="1" x14ac:dyDescent="0.2">
      <c r="A16" s="499"/>
      <c r="B16" s="9">
        <v>7</v>
      </c>
      <c r="C16" s="10">
        <v>2002</v>
      </c>
      <c r="D16" s="18">
        <v>306526</v>
      </c>
      <c r="E16" s="20">
        <v>636.01861790987346</v>
      </c>
      <c r="F16" s="19">
        <f t="shared" si="0"/>
        <v>194956242.87344187</v>
      </c>
      <c r="G16" s="229"/>
      <c r="H16" s="230"/>
      <c r="I16" s="231"/>
      <c r="J16" s="232"/>
      <c r="P16" s="83"/>
      <c r="Q16" s="83"/>
      <c r="R16" s="90"/>
    </row>
    <row r="17" spans="1:18" ht="18" customHeight="1" x14ac:dyDescent="0.2">
      <c r="A17" s="499"/>
      <c r="B17" s="16">
        <v>8</v>
      </c>
      <c r="C17" s="17">
        <v>2003</v>
      </c>
      <c r="D17" s="18">
        <v>233742</v>
      </c>
      <c r="E17" s="20">
        <v>673.28930891939206</v>
      </c>
      <c r="F17" s="19">
        <f t="shared" si="0"/>
        <v>157375989.64543653</v>
      </c>
      <c r="G17" s="229"/>
      <c r="H17" s="230"/>
      <c r="I17" s="231"/>
      <c r="J17" s="232"/>
      <c r="P17" s="84"/>
      <c r="Q17" s="83"/>
      <c r="R17" s="91"/>
    </row>
    <row r="18" spans="1:18" ht="18" customHeight="1" x14ac:dyDescent="0.2">
      <c r="A18" s="499"/>
      <c r="B18" s="23">
        <v>9</v>
      </c>
      <c r="C18" s="24">
        <v>2004</v>
      </c>
      <c r="D18" s="25">
        <v>244590</v>
      </c>
      <c r="E18" s="26">
        <v>712.7440624220684</v>
      </c>
      <c r="F18" s="27">
        <f t="shared" si="0"/>
        <v>174330070.22781372</v>
      </c>
      <c r="G18" s="26">
        <f t="shared" ref="G18:G23" si="1">H18/D18</f>
        <v>489.16216525614294</v>
      </c>
      <c r="H18" s="27">
        <v>119644174</v>
      </c>
      <c r="I18" s="28">
        <f t="shared" ref="I18:I26" si="2">F18-H18</f>
        <v>54685896.227813721</v>
      </c>
      <c r="J18" s="29">
        <f t="shared" ref="J18:J26" si="3">J17+I18</f>
        <v>54685896.227813721</v>
      </c>
      <c r="P18" s="85">
        <f>H18</f>
        <v>119644174</v>
      </c>
      <c r="Q18" s="83">
        <f>L18-P18</f>
        <v>-119644174</v>
      </c>
      <c r="R18" s="90"/>
    </row>
    <row r="19" spans="1:18" ht="18" customHeight="1" x14ac:dyDescent="0.2">
      <c r="A19" s="499"/>
      <c r="B19" s="16">
        <v>10</v>
      </c>
      <c r="C19" s="17">
        <v>2005</v>
      </c>
      <c r="D19" s="18">
        <v>255066</v>
      </c>
      <c r="E19" s="20">
        <v>754.5108644800016</v>
      </c>
      <c r="F19" s="19">
        <f t="shared" si="0"/>
        <v>192450068.15945607</v>
      </c>
      <c r="G19" s="26">
        <f t="shared" si="1"/>
        <v>668.40532254396896</v>
      </c>
      <c r="H19" s="19">
        <v>170487472</v>
      </c>
      <c r="I19" s="21">
        <f t="shared" si="2"/>
        <v>21962596.159456074</v>
      </c>
      <c r="J19" s="22">
        <f t="shared" si="3"/>
        <v>76648492.387269795</v>
      </c>
      <c r="P19" s="84">
        <f t="shared" ref="P19:P26" si="4">H19</f>
        <v>170487472</v>
      </c>
      <c r="Q19" s="83">
        <f t="shared" ref="Q19:Q27" si="5">L19-P19</f>
        <v>-170487472</v>
      </c>
      <c r="R19" s="90"/>
    </row>
    <row r="20" spans="1:18" ht="18" customHeight="1" x14ac:dyDescent="0.2">
      <c r="A20" s="499"/>
      <c r="B20" s="35">
        <v>11</v>
      </c>
      <c r="C20" s="17">
        <v>2006</v>
      </c>
      <c r="D20" s="18">
        <v>259473</v>
      </c>
      <c r="E20" s="20">
        <v>798.72520113852966</v>
      </c>
      <c r="F20" s="19">
        <f t="shared" si="0"/>
        <v>207247624.11501771</v>
      </c>
      <c r="G20" s="20">
        <f t="shared" si="1"/>
        <v>857.99709796394995</v>
      </c>
      <c r="H20" s="19">
        <v>222627081</v>
      </c>
      <c r="I20" s="21">
        <f t="shared" si="2"/>
        <v>-15379456.884982288</v>
      </c>
      <c r="J20" s="36">
        <f t="shared" si="3"/>
        <v>61269035.502287507</v>
      </c>
      <c r="P20" s="84">
        <f t="shared" si="4"/>
        <v>222627081</v>
      </c>
      <c r="Q20" s="83">
        <f t="shared" si="5"/>
        <v>-222627081</v>
      </c>
      <c r="R20" s="91" t="s">
        <v>9</v>
      </c>
    </row>
    <row r="21" spans="1:18" ht="18" customHeight="1" x14ac:dyDescent="0.2">
      <c r="A21" s="499"/>
      <c r="B21" s="33">
        <v>12</v>
      </c>
      <c r="C21" s="52">
        <v>2007</v>
      </c>
      <c r="D21" s="25">
        <v>268332</v>
      </c>
      <c r="E21" s="26">
        <v>840.25999880744746</v>
      </c>
      <c r="F21" s="27">
        <f t="shared" si="0"/>
        <v>225468646</v>
      </c>
      <c r="G21" s="26">
        <f t="shared" si="1"/>
        <v>894.54930086609124</v>
      </c>
      <c r="H21" s="27">
        <v>240036203</v>
      </c>
      <c r="I21" s="28">
        <f t="shared" si="2"/>
        <v>-14567557</v>
      </c>
      <c r="J21" s="34">
        <f t="shared" si="3"/>
        <v>46701478.502287507</v>
      </c>
      <c r="P21" s="85">
        <f t="shared" si="4"/>
        <v>240036203</v>
      </c>
      <c r="Q21" s="83">
        <f t="shared" si="5"/>
        <v>-240036203</v>
      </c>
      <c r="R21" s="90"/>
    </row>
    <row r="22" spans="1:18" ht="18" customHeight="1" x14ac:dyDescent="0.2">
      <c r="A22" s="499"/>
      <c r="B22" s="35">
        <v>13</v>
      </c>
      <c r="C22" s="59">
        <v>2008</v>
      </c>
      <c r="D22" s="18">
        <v>283834</v>
      </c>
      <c r="E22" s="20">
        <v>883.96351874543473</v>
      </c>
      <c r="F22" s="19">
        <f t="shared" si="0"/>
        <v>250898901.37959173</v>
      </c>
      <c r="G22" s="20">
        <f t="shared" si="1"/>
        <v>962.43306298752088</v>
      </c>
      <c r="H22" s="19">
        <v>273171226</v>
      </c>
      <c r="I22" s="21">
        <f t="shared" si="2"/>
        <v>-22272324.620408267</v>
      </c>
      <c r="J22" s="36">
        <f t="shared" si="3"/>
        <v>24429153.88187924</v>
      </c>
      <c r="P22" s="162">
        <f t="shared" si="4"/>
        <v>273171226</v>
      </c>
      <c r="Q22" s="200">
        <f t="shared" si="5"/>
        <v>-273171226</v>
      </c>
      <c r="R22" s="90"/>
    </row>
    <row r="23" spans="1:18" ht="18" customHeight="1" x14ac:dyDescent="0.2">
      <c r="A23" s="499"/>
      <c r="B23" s="16">
        <v>14</v>
      </c>
      <c r="C23" s="59">
        <v>2009</v>
      </c>
      <c r="D23" s="18">
        <v>301034</v>
      </c>
      <c r="E23" s="20">
        <v>929.91962172019737</v>
      </c>
      <c r="F23" s="19">
        <f t="shared" si="0"/>
        <v>279937423.4049179</v>
      </c>
      <c r="G23" s="20">
        <f t="shared" si="1"/>
        <v>1003.2972587814002</v>
      </c>
      <c r="H23" s="19">
        <v>302026587</v>
      </c>
      <c r="I23" s="21">
        <f t="shared" si="2"/>
        <v>-22089163.595082104</v>
      </c>
      <c r="J23" s="22">
        <f t="shared" si="3"/>
        <v>2339990.2867971361</v>
      </c>
      <c r="P23" s="84">
        <f t="shared" si="4"/>
        <v>302026587</v>
      </c>
      <c r="Q23" s="83">
        <f t="shared" si="5"/>
        <v>-302026587</v>
      </c>
      <c r="R23" s="91" t="s">
        <v>9</v>
      </c>
    </row>
    <row r="24" spans="1:18" ht="18" customHeight="1" x14ac:dyDescent="0.2">
      <c r="A24" s="499"/>
      <c r="B24" s="35">
        <v>15</v>
      </c>
      <c r="C24" s="17">
        <v>2010</v>
      </c>
      <c r="D24" s="18">
        <v>327267</v>
      </c>
      <c r="E24" s="140">
        <v>978.27544204964772</v>
      </c>
      <c r="F24" s="19">
        <f t="shared" si="0"/>
        <v>320157269.09326208</v>
      </c>
      <c r="G24" s="20">
        <f>H24/D24</f>
        <v>960.83887468030696</v>
      </c>
      <c r="H24" s="19">
        <v>314450856</v>
      </c>
      <c r="I24" s="21">
        <f t="shared" si="2"/>
        <v>5706413.0932620764</v>
      </c>
      <c r="J24" s="36">
        <f t="shared" si="3"/>
        <v>8046403.3800592124</v>
      </c>
      <c r="P24" s="84">
        <f t="shared" si="4"/>
        <v>314450856</v>
      </c>
      <c r="Q24" s="163">
        <f t="shared" si="5"/>
        <v>-314450856</v>
      </c>
      <c r="R24" s="90"/>
    </row>
    <row r="25" spans="1:18" ht="18" customHeight="1" x14ac:dyDescent="0.2">
      <c r="A25" s="499"/>
      <c r="B25" s="38">
        <v>16</v>
      </c>
      <c r="C25" s="92">
        <v>2011</v>
      </c>
      <c r="D25" s="93">
        <v>344575</v>
      </c>
      <c r="E25" s="94">
        <v>1029.1457650362295</v>
      </c>
      <c r="F25" s="95">
        <f t="shared" si="0"/>
        <v>354617901.98735875</v>
      </c>
      <c r="G25" s="94">
        <f>H25/D25</f>
        <v>931.11754189944133</v>
      </c>
      <c r="H25" s="95">
        <v>320839827</v>
      </c>
      <c r="I25" s="96">
        <f t="shared" si="2"/>
        <v>33778074.987358749</v>
      </c>
      <c r="J25" s="39">
        <f t="shared" si="3"/>
        <v>41824478.367417961</v>
      </c>
      <c r="K25" s="48"/>
      <c r="P25" s="85">
        <f t="shared" si="4"/>
        <v>320839827</v>
      </c>
      <c r="Q25" s="83">
        <f t="shared" si="5"/>
        <v>-320839827</v>
      </c>
      <c r="R25" s="90"/>
    </row>
    <row r="26" spans="1:18" ht="18" customHeight="1" thickBot="1" x14ac:dyDescent="0.25">
      <c r="A26" s="499"/>
      <c r="B26" s="141">
        <v>17</v>
      </c>
      <c r="C26" s="142">
        <v>2012</v>
      </c>
      <c r="D26" s="143">
        <v>348935</v>
      </c>
      <c r="E26" s="144">
        <v>1082.6613448181135</v>
      </c>
      <c r="F26" s="145">
        <f t="shared" si="0"/>
        <v>377778436.35410845</v>
      </c>
      <c r="G26" s="144">
        <f>+H26/D26</f>
        <v>932.39622279221055</v>
      </c>
      <c r="H26" s="145">
        <v>325345676</v>
      </c>
      <c r="I26" s="146">
        <f t="shared" si="2"/>
        <v>52432760.354108453</v>
      </c>
      <c r="J26" s="147">
        <f t="shared" si="3"/>
        <v>94257238.721526414</v>
      </c>
      <c r="K26" s="48"/>
      <c r="P26" s="86">
        <f t="shared" si="4"/>
        <v>325345676</v>
      </c>
      <c r="Q26" s="161">
        <f t="shared" si="5"/>
        <v>-325345676</v>
      </c>
      <c r="R26" s="90"/>
    </row>
    <row r="27" spans="1:18" ht="30" customHeight="1" x14ac:dyDescent="0.2">
      <c r="A27" s="135"/>
      <c r="B27" s="152">
        <v>18</v>
      </c>
      <c r="C27" s="153">
        <v>2013</v>
      </c>
      <c r="D27" s="154">
        <v>360205</v>
      </c>
      <c r="E27" s="128">
        <v>1128.1300000000001</v>
      </c>
      <c r="F27" s="155">
        <f t="shared" si="0"/>
        <v>406358066.65000004</v>
      </c>
      <c r="G27" s="199">
        <f>+H27/D27</f>
        <v>974.57926636092418</v>
      </c>
      <c r="H27" s="155">
        <f>350748123+'May17-Exh23-HMP'!K27</f>
        <v>351048324.63953668</v>
      </c>
      <c r="I27" s="156">
        <f t="shared" ref="I27:I32" si="6">F27-H27</f>
        <v>55309742.010463357</v>
      </c>
      <c r="J27" s="157">
        <f t="shared" ref="J27:J32" si="7">J26+I27</f>
        <v>149566980.73198977</v>
      </c>
      <c r="K27" s="48"/>
      <c r="P27" s="85">
        <f>H27-'May17-Exh23-HMP'!K27</f>
        <v>350748123</v>
      </c>
      <c r="Q27" s="164">
        <f t="shared" si="5"/>
        <v>-350748123</v>
      </c>
      <c r="R27" s="91">
        <f>SUM(Q24:Q27)</f>
        <v>-1311384482</v>
      </c>
    </row>
    <row r="28" spans="1:18" ht="30" customHeight="1" x14ac:dyDescent="0.2">
      <c r="A28" s="135"/>
      <c r="B28" s="16">
        <v>19</v>
      </c>
      <c r="C28" s="59">
        <v>2014</v>
      </c>
      <c r="D28" s="18">
        <f>'OHCA_C-Report_2014-16'!L10</f>
        <v>365630</v>
      </c>
      <c r="E28" s="20">
        <v>1175.51</v>
      </c>
      <c r="F28" s="19">
        <f t="shared" si="0"/>
        <v>429801721.30000001</v>
      </c>
      <c r="G28" s="20">
        <f>+H28/D28</f>
        <v>1055.8996437318783</v>
      </c>
      <c r="H28" s="19">
        <f>('OHCA_C-Report_2014-16'!M11)+'May17-Exh23-HMP'!K28</f>
        <v>386068586.73768669</v>
      </c>
      <c r="I28" s="21">
        <f t="shared" si="6"/>
        <v>43733134.562313318</v>
      </c>
      <c r="J28" s="22">
        <f t="shared" si="7"/>
        <v>193300115.29430309</v>
      </c>
      <c r="K28" s="48"/>
      <c r="P28" s="84"/>
      <c r="Q28" s="15"/>
      <c r="R28" s="90"/>
    </row>
    <row r="29" spans="1:18" ht="30" customHeight="1" thickBot="1" x14ac:dyDescent="0.25">
      <c r="A29" s="136"/>
      <c r="B29" s="134">
        <v>20</v>
      </c>
      <c r="C29" s="139">
        <v>2015</v>
      </c>
      <c r="D29" s="93">
        <f>'OHCA_C-Report_2014-16'!X$10</f>
        <v>362810</v>
      </c>
      <c r="E29" s="94">
        <v>1224.8900000000001</v>
      </c>
      <c r="F29" s="95">
        <f t="shared" si="0"/>
        <v>444402340.90000004</v>
      </c>
      <c r="G29" s="94">
        <f>+H29/D29</f>
        <v>1089.2553285158367</v>
      </c>
      <c r="H29" s="95">
        <f>('OHCA_C-Report_2014-16'!Y$11)+'May17-Exh23-HMP'!K29</f>
        <v>395192725.73883069</v>
      </c>
      <c r="I29" s="96">
        <f t="shared" si="6"/>
        <v>49209615.16116935</v>
      </c>
      <c r="J29" s="101">
        <f t="shared" si="7"/>
        <v>242509730.45547244</v>
      </c>
      <c r="K29" s="48"/>
      <c r="P29" s="86"/>
      <c r="Q29" s="161"/>
      <c r="R29" s="90"/>
    </row>
    <row r="30" spans="1:18" ht="30" customHeight="1" x14ac:dyDescent="0.2">
      <c r="A30" s="495" t="s">
        <v>34</v>
      </c>
      <c r="B30" s="61">
        <v>21</v>
      </c>
      <c r="C30" s="62">
        <v>2016</v>
      </c>
      <c r="D30" s="63">
        <f>'OHCA_C-Report_2014-16'!AJ$10</f>
        <v>373088</v>
      </c>
      <c r="E30" s="64">
        <v>1276.3399999999999</v>
      </c>
      <c r="F30" s="65">
        <f t="shared" si="0"/>
        <v>476187137.91999996</v>
      </c>
      <c r="G30" s="128">
        <f>H30/D30</f>
        <v>1033.1165928699363</v>
      </c>
      <c r="H30" s="65">
        <f>('OHCA_C-Report_2014-16'!AK$11)+'May17-Exh23-HMP'!K30</f>
        <v>385443403.40065879</v>
      </c>
      <c r="I30" s="66">
        <f t="shared" si="6"/>
        <v>90743734.519341171</v>
      </c>
      <c r="J30" s="67">
        <f t="shared" si="7"/>
        <v>333253464.97481358</v>
      </c>
      <c r="P30" s="87"/>
      <c r="Q30" s="67"/>
      <c r="R30" s="90"/>
    </row>
    <row r="31" spans="1:18" ht="30" customHeight="1" x14ac:dyDescent="0.2">
      <c r="A31" s="496"/>
      <c r="B31" s="72">
        <v>22</v>
      </c>
      <c r="C31" s="73" t="s">
        <v>49</v>
      </c>
      <c r="D31" s="11">
        <f>D30*(1+'May17-Exh1&amp;2-Trends'!$K$12)</f>
        <v>381325.74272315425</v>
      </c>
      <c r="E31" s="46">
        <f>E30*'May17-Exh1&amp;2-Trends'!$D$28</f>
        <v>1329.9462799999999</v>
      </c>
      <c r="F31" s="13">
        <f t="shared" si="0"/>
        <v>507142753.00289601</v>
      </c>
      <c r="G31" s="20">
        <f>'May17-Exh1&amp;2-Trends'!D$28*(G30-'May17-Exh23-HMP'!K30/D30)+('May17-Exh23-HMP'!K31/D31)</f>
        <v>1076.4549611557941</v>
      </c>
      <c r="H31" s="13">
        <f>D31*G31</f>
        <v>410479987.57075733</v>
      </c>
      <c r="I31" s="13">
        <f t="shared" si="6"/>
        <v>96662765.432138681</v>
      </c>
      <c r="J31" s="78">
        <f t="shared" si="7"/>
        <v>429916230.40695226</v>
      </c>
      <c r="P31" s="88"/>
      <c r="Q31" s="78"/>
      <c r="R31" s="90"/>
    </row>
    <row r="32" spans="1:18" ht="30" hidden="1" customHeight="1" thickBot="1" x14ac:dyDescent="0.25">
      <c r="A32" s="497"/>
      <c r="B32" s="453">
        <v>23</v>
      </c>
      <c r="C32" s="70" t="s">
        <v>50</v>
      </c>
      <c r="D32" s="75">
        <f>D31*(1+'May17-Exh1&amp;2-Trends'!$K$12)</f>
        <v>389745.37391544413</v>
      </c>
      <c r="E32" s="79">
        <f>E31*'May17-Exh1&amp;2-Trends'!$D$28</f>
        <v>1385.8040237599998</v>
      </c>
      <c r="F32" s="76">
        <f t="shared" si="0"/>
        <v>540110707.41386819</v>
      </c>
      <c r="G32" s="71">
        <f>'May17-Exh1&amp;2-Trends'!D$28*(G31-'May17-Exh23-HMP'!K31/D31)+('May17-Exh23-HMP'!K32/D32)</f>
        <v>1121.6132267857436</v>
      </c>
      <c r="H32" s="76">
        <f>D32*G32</f>
        <v>437143566.46211743</v>
      </c>
      <c r="I32" s="76">
        <f t="shared" si="6"/>
        <v>102967140.95175076</v>
      </c>
      <c r="J32" s="77">
        <f t="shared" si="7"/>
        <v>532883371.35870302</v>
      </c>
      <c r="K32" t="s">
        <v>158</v>
      </c>
      <c r="P32" s="89"/>
      <c r="Q32" s="77"/>
      <c r="R32" s="90"/>
    </row>
    <row r="33" spans="1:14" ht="33" customHeight="1" thickBot="1" x14ac:dyDescent="0.25">
      <c r="A33" s="441" t="s">
        <v>154</v>
      </c>
      <c r="B33" s="454">
        <v>23</v>
      </c>
      <c r="C33" s="70" t="s">
        <v>50</v>
      </c>
      <c r="D33" s="75">
        <f>D32</f>
        <v>389745.37391544413</v>
      </c>
      <c r="E33" s="71">
        <f>'May17-Exh1&amp;2-Trends'!D27^2*G30</f>
        <v>1126.0309667662868</v>
      </c>
      <c r="F33" s="76">
        <f>D33*E33</f>
        <v>438865360.18269551</v>
      </c>
      <c r="G33" s="71">
        <f>G32</f>
        <v>1121.6132267857436</v>
      </c>
      <c r="H33" s="76">
        <f>H32</f>
        <v>437143566.46211743</v>
      </c>
      <c r="I33" s="76">
        <f>F33-H33</f>
        <v>1721793.7205780745</v>
      </c>
      <c r="J33" s="77">
        <f>J31+I33</f>
        <v>431638024.12753034</v>
      </c>
    </row>
    <row r="34" spans="1:14" ht="31.5" customHeight="1" x14ac:dyDescent="0.2"/>
    <row r="35" spans="1:14" ht="31.5" customHeight="1" x14ac:dyDescent="0.2">
      <c r="H35" s="190"/>
    </row>
    <row r="36" spans="1:14" ht="31.5" customHeight="1" x14ac:dyDescent="0.2">
      <c r="H36" s="190"/>
    </row>
    <row r="37" spans="1:14" ht="31.5" customHeight="1" x14ac:dyDescent="0.2">
      <c r="H37" s="190"/>
    </row>
    <row r="38" spans="1:14" ht="31.5" customHeight="1" x14ac:dyDescent="0.2">
      <c r="H38" s="190"/>
    </row>
    <row r="39" spans="1:14" ht="31.5" customHeight="1" x14ac:dyDescent="0.2">
      <c r="H39" s="190"/>
    </row>
    <row r="40" spans="1:14" ht="31.5" customHeight="1" x14ac:dyDescent="0.2"/>
    <row r="41" spans="1:14" ht="31.5" customHeight="1" x14ac:dyDescent="0.2"/>
    <row r="42" spans="1:14" ht="31.5" customHeight="1" x14ac:dyDescent="0.2"/>
    <row r="43" spans="1:14" s="53" customFormat="1" ht="31.5" customHeight="1" x14ac:dyDescent="0.2">
      <c r="A43"/>
      <c r="B43"/>
      <c r="C43"/>
      <c r="D43"/>
      <c r="E43"/>
      <c r="F43"/>
      <c r="G43"/>
      <c r="H43"/>
      <c r="I43"/>
      <c r="J43"/>
      <c r="L43"/>
      <c r="M43"/>
      <c r="N43"/>
    </row>
  </sheetData>
  <mergeCells count="5">
    <mergeCell ref="P7:R7"/>
    <mergeCell ref="A30:A32"/>
    <mergeCell ref="G8:H8"/>
    <mergeCell ref="E8:F8"/>
    <mergeCell ref="A10:A26"/>
  </mergeCells>
  <phoneticPr fontId="4" type="noConversion"/>
  <pageMargins left="0.41" right="0.25" top="1" bottom="1" header="0.5" footer="0.5"/>
  <pageSetup scale="61" orientation="landscape" r:id="rId1"/>
  <headerFooter alignWithMargins="0">
    <oddFooter xml:space="preserve">&amp;L&amp;8 &amp;C&amp;A </oddFooter>
  </headerFooter>
  <rowBreaks count="1" manualBreakCount="1">
    <brk id="2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3A75C4"/>
    <pageSetUpPr fitToPage="1"/>
  </sheetPr>
  <dimension ref="A2:R43"/>
  <sheetViews>
    <sheetView workbookViewId="0"/>
  </sheetViews>
  <sheetFormatPr defaultRowHeight="12.75" x14ac:dyDescent="0.2"/>
  <cols>
    <col min="3" max="3" width="13" customWidth="1"/>
    <col min="4" max="9" width="14.7109375" customWidth="1"/>
    <col min="10" max="10" width="15.7109375" customWidth="1"/>
    <col min="11" max="11" width="22.7109375" customWidth="1"/>
    <col min="12" max="14" width="15.7109375" customWidth="1"/>
    <col min="16" max="17" width="12.7109375" customWidth="1"/>
    <col min="18" max="18" width="13.7109375" bestFit="1" customWidth="1"/>
  </cols>
  <sheetData>
    <row r="2" spans="1:18" ht="18" x14ac:dyDescent="0.25">
      <c r="A2" s="37" t="s">
        <v>0</v>
      </c>
    </row>
    <row r="3" spans="1:18" ht="18.75" x14ac:dyDescent="0.3">
      <c r="A3" s="37" t="s">
        <v>10</v>
      </c>
    </row>
    <row r="4" spans="1:18" ht="18" x14ac:dyDescent="0.25">
      <c r="A4" s="37"/>
    </row>
    <row r="5" spans="1:18" ht="18" x14ac:dyDescent="0.25">
      <c r="A5" s="37" t="s">
        <v>24</v>
      </c>
    </row>
    <row r="7" spans="1:18" ht="33" customHeight="1" thickBot="1" x14ac:dyDescent="0.25">
      <c r="B7" s="1" t="s">
        <v>9</v>
      </c>
      <c r="P7" s="484" t="s">
        <v>77</v>
      </c>
      <c r="Q7" s="484"/>
      <c r="R7" s="484"/>
    </row>
    <row r="8" spans="1:18" ht="13.5" thickBot="1" x14ac:dyDescent="0.25">
      <c r="B8" s="206"/>
      <c r="C8" s="207"/>
      <c r="D8" s="207"/>
      <c r="E8" s="488" t="s">
        <v>1</v>
      </c>
      <c r="F8" s="489"/>
      <c r="G8" s="488" t="s">
        <v>2</v>
      </c>
      <c r="H8" s="489"/>
      <c r="I8" s="208"/>
      <c r="J8" s="207"/>
      <c r="P8" s="207"/>
      <c r="Q8" s="207"/>
      <c r="R8" s="207"/>
    </row>
    <row r="9" spans="1:18" ht="34.5" thickBot="1" x14ac:dyDescent="0.25">
      <c r="B9" s="209" t="s">
        <v>3</v>
      </c>
      <c r="C9" s="210" t="s">
        <v>4</v>
      </c>
      <c r="D9" s="211" t="s">
        <v>25</v>
      </c>
      <c r="E9" s="212" t="s">
        <v>5</v>
      </c>
      <c r="F9" s="211" t="s">
        <v>6</v>
      </c>
      <c r="G9" s="211" t="s">
        <v>5</v>
      </c>
      <c r="H9" s="211" t="s">
        <v>6</v>
      </c>
      <c r="I9" s="212" t="s">
        <v>7</v>
      </c>
      <c r="J9" s="211" t="s">
        <v>8</v>
      </c>
      <c r="P9" s="211" t="s">
        <v>78</v>
      </c>
      <c r="Q9" s="211" t="s">
        <v>35</v>
      </c>
      <c r="R9" s="211" t="s">
        <v>36</v>
      </c>
    </row>
    <row r="10" spans="1:18" ht="18" customHeight="1" x14ac:dyDescent="0.2">
      <c r="A10" s="498" t="s">
        <v>48</v>
      </c>
      <c r="B10" s="2">
        <v>1</v>
      </c>
      <c r="C10" s="3">
        <v>1996</v>
      </c>
      <c r="D10" s="4"/>
      <c r="E10" s="5"/>
      <c r="F10" s="6"/>
      <c r="G10" s="5"/>
      <c r="H10" s="6"/>
      <c r="I10" s="7"/>
      <c r="J10" s="8"/>
      <c r="P10" s="82"/>
      <c r="Q10" s="82"/>
      <c r="R10" s="90"/>
    </row>
    <row r="11" spans="1:18" ht="18" customHeight="1" x14ac:dyDescent="0.2">
      <c r="A11" s="499"/>
      <c r="B11" s="9">
        <v>2</v>
      </c>
      <c r="C11" s="10">
        <v>1997</v>
      </c>
      <c r="D11" s="11"/>
      <c r="E11" s="12"/>
      <c r="F11" s="13"/>
      <c r="G11" s="12"/>
      <c r="H11" s="13"/>
      <c r="I11" s="14"/>
      <c r="J11" s="15"/>
      <c r="P11" s="83"/>
      <c r="Q11" s="83"/>
      <c r="R11" s="90"/>
    </row>
    <row r="12" spans="1:18" ht="18" customHeight="1" x14ac:dyDescent="0.2">
      <c r="A12" s="499"/>
      <c r="B12" s="9">
        <v>3</v>
      </c>
      <c r="C12" s="10">
        <v>1998</v>
      </c>
      <c r="D12" s="11"/>
      <c r="E12" s="12"/>
      <c r="F12" s="13"/>
      <c r="G12" s="12"/>
      <c r="H12" s="13"/>
      <c r="I12" s="14"/>
      <c r="J12" s="15"/>
      <c r="P12" s="83"/>
      <c r="Q12" s="83"/>
      <c r="R12" s="90"/>
    </row>
    <row r="13" spans="1:18" ht="18" customHeight="1" x14ac:dyDescent="0.2">
      <c r="A13" s="499"/>
      <c r="B13" s="9">
        <v>4</v>
      </c>
      <c r="C13" s="10">
        <v>1999</v>
      </c>
      <c r="D13" s="18">
        <v>103533</v>
      </c>
      <c r="E13" s="20">
        <v>427.26</v>
      </c>
      <c r="F13" s="19">
        <f>D13*E13</f>
        <v>44235509.579999998</v>
      </c>
      <c r="G13" s="229"/>
      <c r="H13" s="230"/>
      <c r="I13" s="231"/>
      <c r="J13" s="232"/>
      <c r="P13" s="83"/>
      <c r="Q13" s="83"/>
      <c r="R13" s="90"/>
    </row>
    <row r="14" spans="1:18" ht="18" customHeight="1" x14ac:dyDescent="0.2">
      <c r="A14" s="499"/>
      <c r="B14" s="9">
        <v>5</v>
      </c>
      <c r="C14" s="10">
        <v>2000</v>
      </c>
      <c r="D14" s="18">
        <v>209188</v>
      </c>
      <c r="E14" s="20">
        <v>452.297436</v>
      </c>
      <c r="F14" s="19">
        <f t="shared" ref="F14:F32" si="0">D14*E14</f>
        <v>94615196.041968003</v>
      </c>
      <c r="G14" s="229"/>
      <c r="H14" s="230"/>
      <c r="I14" s="231"/>
      <c r="J14" s="232"/>
      <c r="P14" s="83"/>
      <c r="Q14" s="83"/>
      <c r="R14" s="91"/>
    </row>
    <row r="15" spans="1:18" ht="18" customHeight="1" x14ac:dyDescent="0.2">
      <c r="A15" s="499"/>
      <c r="B15" s="9">
        <v>6</v>
      </c>
      <c r="C15" s="10">
        <v>2001</v>
      </c>
      <c r="D15" s="18">
        <v>329747</v>
      </c>
      <c r="E15" s="20">
        <v>478.80206574959999</v>
      </c>
      <c r="F15" s="19">
        <f t="shared" si="0"/>
        <v>157883544.77473333</v>
      </c>
      <c r="G15" s="229"/>
      <c r="H15" s="230"/>
      <c r="I15" s="231"/>
      <c r="J15" s="232"/>
      <c r="P15" s="83"/>
      <c r="Q15" s="83"/>
      <c r="R15" s="90"/>
    </row>
    <row r="16" spans="1:18" ht="18" customHeight="1" x14ac:dyDescent="0.2">
      <c r="A16" s="499"/>
      <c r="B16" s="9">
        <v>7</v>
      </c>
      <c r="C16" s="10">
        <v>2002</v>
      </c>
      <c r="D16" s="18">
        <v>343627</v>
      </c>
      <c r="E16" s="20">
        <v>506.85986680252654</v>
      </c>
      <c r="F16" s="19">
        <f t="shared" si="0"/>
        <v>174170735.44975179</v>
      </c>
      <c r="G16" s="229"/>
      <c r="H16" s="230"/>
      <c r="I16" s="231"/>
      <c r="J16" s="232"/>
      <c r="P16" s="83"/>
      <c r="Q16" s="83"/>
      <c r="R16" s="90"/>
    </row>
    <row r="17" spans="1:18" ht="18" customHeight="1" x14ac:dyDescent="0.2">
      <c r="A17" s="499"/>
      <c r="B17" s="16">
        <v>8</v>
      </c>
      <c r="C17" s="17">
        <v>2003</v>
      </c>
      <c r="D17" s="18">
        <v>222348</v>
      </c>
      <c r="E17" s="20">
        <v>536.56185499715457</v>
      </c>
      <c r="F17" s="19">
        <f t="shared" si="0"/>
        <v>119303455.33490732</v>
      </c>
      <c r="G17" s="229"/>
      <c r="H17" s="230"/>
      <c r="I17" s="231"/>
      <c r="J17" s="232"/>
      <c r="P17" s="84"/>
      <c r="Q17" s="83"/>
      <c r="R17" s="91"/>
    </row>
    <row r="18" spans="1:18" ht="18" customHeight="1" x14ac:dyDescent="0.2">
      <c r="A18" s="499"/>
      <c r="B18" s="23">
        <v>9</v>
      </c>
      <c r="C18" s="24">
        <v>2004</v>
      </c>
      <c r="D18" s="25">
        <v>231151</v>
      </c>
      <c r="E18" s="26">
        <v>568.00437969998779</v>
      </c>
      <c r="F18" s="27">
        <f t="shared" si="0"/>
        <v>131294780.37203188</v>
      </c>
      <c r="G18" s="26">
        <f t="shared" ref="G18:G23" si="1">H18/D18</f>
        <v>599.09530133981684</v>
      </c>
      <c r="H18" s="27">
        <v>138481478</v>
      </c>
      <c r="I18" s="28">
        <f t="shared" ref="I18:I26" si="2">F18-H18</f>
        <v>-7186697.6279681176</v>
      </c>
      <c r="J18" s="29">
        <f t="shared" ref="J18:J26" si="3">J17+I18</f>
        <v>-7186697.6279681176</v>
      </c>
      <c r="P18" s="85">
        <f>H18</f>
        <v>138481478</v>
      </c>
      <c r="Q18" s="83">
        <f>L18-P18</f>
        <v>-138481478</v>
      </c>
      <c r="R18" s="90"/>
    </row>
    <row r="19" spans="1:18" ht="18" customHeight="1" x14ac:dyDescent="0.2">
      <c r="A19" s="499"/>
      <c r="B19" s="16">
        <v>10</v>
      </c>
      <c r="C19" s="17">
        <v>2005</v>
      </c>
      <c r="D19" s="18">
        <v>238426</v>
      </c>
      <c r="E19" s="20">
        <v>601.28943635040707</v>
      </c>
      <c r="F19" s="19">
        <f t="shared" si="0"/>
        <v>143363035.15128216</v>
      </c>
      <c r="G19" s="26">
        <f t="shared" si="1"/>
        <v>639.44760219103625</v>
      </c>
      <c r="H19" s="19">
        <v>152460934</v>
      </c>
      <c r="I19" s="21">
        <f t="shared" si="2"/>
        <v>-9097898.8487178385</v>
      </c>
      <c r="J19" s="22">
        <f t="shared" si="3"/>
        <v>-16284596.476685956</v>
      </c>
      <c r="P19" s="84">
        <f t="shared" ref="P19:P26" si="4">H19</f>
        <v>152460934</v>
      </c>
      <c r="Q19" s="83">
        <f t="shared" ref="Q19:Q27" si="5">L19-P19</f>
        <v>-152460934</v>
      </c>
      <c r="R19" s="90"/>
    </row>
    <row r="20" spans="1:18" ht="18" customHeight="1" x14ac:dyDescent="0.2">
      <c r="A20" s="499"/>
      <c r="B20" s="35">
        <v>11</v>
      </c>
      <c r="C20" s="17">
        <v>2006</v>
      </c>
      <c r="D20" s="18">
        <v>241661</v>
      </c>
      <c r="E20" s="20">
        <v>636.52499732054093</v>
      </c>
      <c r="F20" s="19">
        <f t="shared" si="0"/>
        <v>153823267.37747926</v>
      </c>
      <c r="G20" s="20">
        <f t="shared" si="1"/>
        <v>793.02926827249746</v>
      </c>
      <c r="H20" s="19">
        <v>191644246</v>
      </c>
      <c r="I20" s="21">
        <f t="shared" si="2"/>
        <v>-37820978.622520745</v>
      </c>
      <c r="J20" s="36">
        <f t="shared" si="3"/>
        <v>-54105575.099206701</v>
      </c>
      <c r="P20" s="84">
        <f t="shared" si="4"/>
        <v>191644246</v>
      </c>
      <c r="Q20" s="83">
        <f t="shared" si="5"/>
        <v>-191644246</v>
      </c>
      <c r="R20" s="91" t="s">
        <v>9</v>
      </c>
    </row>
    <row r="21" spans="1:18" ht="18" customHeight="1" x14ac:dyDescent="0.2">
      <c r="A21" s="499"/>
      <c r="B21" s="33">
        <v>12</v>
      </c>
      <c r="C21" s="52">
        <v>2007</v>
      </c>
      <c r="D21" s="25">
        <v>244220</v>
      </c>
      <c r="E21" s="26">
        <v>669.61999836213249</v>
      </c>
      <c r="F21" s="27">
        <f t="shared" si="0"/>
        <v>163534596</v>
      </c>
      <c r="G21" s="26">
        <f t="shared" si="1"/>
        <v>834.57369175333713</v>
      </c>
      <c r="H21" s="27">
        <v>203819587</v>
      </c>
      <c r="I21" s="28">
        <f t="shared" si="2"/>
        <v>-40284991</v>
      </c>
      <c r="J21" s="34">
        <f t="shared" si="3"/>
        <v>-94390566.099206701</v>
      </c>
      <c r="P21" s="85">
        <f t="shared" si="4"/>
        <v>203819587</v>
      </c>
      <c r="Q21" s="83">
        <f t="shared" si="5"/>
        <v>-203819587</v>
      </c>
      <c r="R21" s="90"/>
    </row>
    <row r="22" spans="1:18" ht="18" customHeight="1" x14ac:dyDescent="0.2">
      <c r="A22" s="499"/>
      <c r="B22" s="35">
        <v>13</v>
      </c>
      <c r="C22" s="59">
        <v>2008</v>
      </c>
      <c r="D22" s="18">
        <v>251088</v>
      </c>
      <c r="E22" s="20">
        <v>704.44023827696344</v>
      </c>
      <c r="F22" s="19">
        <f t="shared" si="0"/>
        <v>176876490.5484862</v>
      </c>
      <c r="G22" s="20">
        <f t="shared" si="1"/>
        <v>871.88633467150964</v>
      </c>
      <c r="H22" s="19">
        <v>218920196</v>
      </c>
      <c r="I22" s="21">
        <f t="shared" si="2"/>
        <v>-42043705.451513797</v>
      </c>
      <c r="J22" s="36">
        <f t="shared" si="3"/>
        <v>-136434271.55072051</v>
      </c>
      <c r="P22" s="162">
        <f t="shared" si="4"/>
        <v>218920196</v>
      </c>
      <c r="Q22" s="200">
        <f t="shared" si="5"/>
        <v>-218920196</v>
      </c>
      <c r="R22" s="90"/>
    </row>
    <row r="23" spans="1:18" ht="18" customHeight="1" x14ac:dyDescent="0.2">
      <c r="A23" s="499"/>
      <c r="B23" s="16">
        <v>14</v>
      </c>
      <c r="C23" s="59">
        <v>2009</v>
      </c>
      <c r="D23" s="18">
        <v>262857</v>
      </c>
      <c r="E23" s="20">
        <v>741.07113066736554</v>
      </c>
      <c r="F23" s="19">
        <f t="shared" si="0"/>
        <v>194795734.19383171</v>
      </c>
      <c r="G23" s="20">
        <f t="shared" si="1"/>
        <v>930.08811635223719</v>
      </c>
      <c r="H23" s="19">
        <v>244480172</v>
      </c>
      <c r="I23" s="21">
        <f t="shared" si="2"/>
        <v>-49684437.806168288</v>
      </c>
      <c r="J23" s="22">
        <f t="shared" si="3"/>
        <v>-186118709.3568888</v>
      </c>
      <c r="P23" s="84">
        <f t="shared" si="4"/>
        <v>244480172</v>
      </c>
      <c r="Q23" s="83">
        <f t="shared" si="5"/>
        <v>-244480172</v>
      </c>
      <c r="R23" s="91" t="s">
        <v>9</v>
      </c>
    </row>
    <row r="24" spans="1:18" ht="18" customHeight="1" x14ac:dyDescent="0.2">
      <c r="A24" s="499"/>
      <c r="B24" s="35">
        <v>15</v>
      </c>
      <c r="C24" s="17">
        <v>2010</v>
      </c>
      <c r="D24" s="18">
        <v>278093</v>
      </c>
      <c r="E24" s="140">
        <v>779.60682946206862</v>
      </c>
      <c r="F24" s="19">
        <f t="shared" si="0"/>
        <v>216803202.02559504</v>
      </c>
      <c r="G24" s="20">
        <f>H24/D24</f>
        <v>943.82269960049337</v>
      </c>
      <c r="H24" s="19">
        <v>262470486</v>
      </c>
      <c r="I24" s="21">
        <f t="shared" si="2"/>
        <v>-45667283.974404961</v>
      </c>
      <c r="J24" s="36">
        <f t="shared" si="3"/>
        <v>-231785993.33129376</v>
      </c>
      <c r="P24" s="84">
        <f t="shared" si="4"/>
        <v>262470486</v>
      </c>
      <c r="Q24" s="163">
        <f t="shared" si="5"/>
        <v>-262470486</v>
      </c>
      <c r="R24" s="90"/>
    </row>
    <row r="25" spans="1:18" ht="18" customHeight="1" x14ac:dyDescent="0.2">
      <c r="A25" s="499"/>
      <c r="B25" s="38">
        <v>16</v>
      </c>
      <c r="C25" s="92">
        <v>2011</v>
      </c>
      <c r="D25" s="93">
        <v>285113</v>
      </c>
      <c r="E25" s="94">
        <v>820.14638459409628</v>
      </c>
      <c r="F25" s="95">
        <f t="shared" si="0"/>
        <v>233834396.15077657</v>
      </c>
      <c r="G25" s="94">
        <f>H25/D25</f>
        <v>958.77108374574289</v>
      </c>
      <c r="H25" s="95">
        <v>273358100</v>
      </c>
      <c r="I25" s="96">
        <f t="shared" si="2"/>
        <v>-39523703.849223435</v>
      </c>
      <c r="J25" s="39">
        <f t="shared" si="3"/>
        <v>-271309697.1805172</v>
      </c>
      <c r="K25" s="48"/>
      <c r="P25" s="85">
        <f t="shared" si="4"/>
        <v>273358100</v>
      </c>
      <c r="Q25" s="83">
        <f t="shared" si="5"/>
        <v>-273358100</v>
      </c>
      <c r="R25" s="90"/>
    </row>
    <row r="26" spans="1:18" ht="18" customHeight="1" thickBot="1" x14ac:dyDescent="0.25">
      <c r="A26" s="499"/>
      <c r="B26" s="141">
        <v>17</v>
      </c>
      <c r="C26" s="142">
        <v>2012</v>
      </c>
      <c r="D26" s="143">
        <v>285622</v>
      </c>
      <c r="E26" s="144">
        <v>862.79399659298929</v>
      </c>
      <c r="F26" s="145">
        <f t="shared" si="0"/>
        <v>246432946.8948828</v>
      </c>
      <c r="G26" s="144">
        <f>+H26/D26</f>
        <v>938.52672413189464</v>
      </c>
      <c r="H26" s="145">
        <v>268063880</v>
      </c>
      <c r="I26" s="146">
        <f t="shared" si="2"/>
        <v>-21630933.105117202</v>
      </c>
      <c r="J26" s="147">
        <f t="shared" si="3"/>
        <v>-292940630.2856344</v>
      </c>
      <c r="K26" s="48"/>
      <c r="P26" s="86">
        <f t="shared" si="4"/>
        <v>268063880</v>
      </c>
      <c r="Q26" s="161">
        <f t="shared" si="5"/>
        <v>-268063880</v>
      </c>
      <c r="R26" s="90"/>
    </row>
    <row r="27" spans="1:18" ht="30" customHeight="1" x14ac:dyDescent="0.2">
      <c r="A27" s="135"/>
      <c r="B27" s="152">
        <v>18</v>
      </c>
      <c r="C27" s="153">
        <v>2013</v>
      </c>
      <c r="D27" s="154">
        <v>290965</v>
      </c>
      <c r="E27" s="128">
        <v>899.03</v>
      </c>
      <c r="F27" s="155">
        <f t="shared" si="0"/>
        <v>261586263.94999999</v>
      </c>
      <c r="G27" s="199">
        <f>+H27/D27</f>
        <v>970.21355392521082</v>
      </c>
      <c r="H27" s="155">
        <f>282055691+'May17-Exh23-HMP'!L27</f>
        <v>282298186.71784896</v>
      </c>
      <c r="I27" s="156">
        <f t="shared" ref="I27:I32" si="6">F27-H27</f>
        <v>-20711922.767848969</v>
      </c>
      <c r="J27" s="157">
        <f t="shared" ref="J27:J32" si="7">J26+I27</f>
        <v>-313652553.05348337</v>
      </c>
      <c r="K27" s="48"/>
      <c r="P27" s="160">
        <f>H27-'May17-Exh23-HMP'!L27</f>
        <v>282055691</v>
      </c>
      <c r="Q27" s="164">
        <f t="shared" si="5"/>
        <v>-282055691</v>
      </c>
      <c r="R27" s="91">
        <f>SUM(Q24:Q27)</f>
        <v>-1085948157</v>
      </c>
    </row>
    <row r="28" spans="1:18" ht="30" customHeight="1" x14ac:dyDescent="0.2">
      <c r="A28" s="135"/>
      <c r="B28" s="16">
        <v>19</v>
      </c>
      <c r="C28" s="59">
        <v>2014</v>
      </c>
      <c r="D28" s="18">
        <f>'OHCA_C-Report_2014-16'!L12</f>
        <v>291806</v>
      </c>
      <c r="E28" s="20">
        <v>936.79</v>
      </c>
      <c r="F28" s="19">
        <f t="shared" si="0"/>
        <v>273360942.74000001</v>
      </c>
      <c r="G28" s="20">
        <f>+H28/D28</f>
        <v>1011.2396082335587</v>
      </c>
      <c r="H28" s="19">
        <f>('OHCA_C-Report_2014-16'!M13)+'May17-Exh23-HMP'!L28</f>
        <v>295085785.12020183</v>
      </c>
      <c r="I28" s="21">
        <f t="shared" si="6"/>
        <v>-21724842.380201817</v>
      </c>
      <c r="J28" s="22">
        <f t="shared" si="7"/>
        <v>-335377395.43368518</v>
      </c>
      <c r="K28" s="48"/>
      <c r="P28" s="84"/>
      <c r="Q28" s="15"/>
      <c r="R28" s="90"/>
    </row>
    <row r="29" spans="1:18" ht="30" customHeight="1" thickBot="1" x14ac:dyDescent="0.25">
      <c r="A29" s="136"/>
      <c r="B29" s="134">
        <v>20</v>
      </c>
      <c r="C29" s="139">
        <v>2015</v>
      </c>
      <c r="D29" s="93">
        <f>'OHCA_C-Report_2014-16'!X$12</f>
        <v>287250</v>
      </c>
      <c r="E29" s="94">
        <v>976.14</v>
      </c>
      <c r="F29" s="95">
        <f t="shared" si="0"/>
        <v>280396215</v>
      </c>
      <c r="G29" s="94">
        <f>+H29/D29</f>
        <v>1031.1930552555443</v>
      </c>
      <c r="H29" s="95">
        <f>('OHCA_C-Report_2014-16'!Y$13)+'May17-Exh23-HMP'!L29</f>
        <v>296210205.12215513</v>
      </c>
      <c r="I29" s="96">
        <f t="shared" si="6"/>
        <v>-15813990.12215513</v>
      </c>
      <c r="J29" s="101">
        <f t="shared" si="7"/>
        <v>-351191385.55584031</v>
      </c>
      <c r="K29" s="48"/>
      <c r="P29" s="86"/>
      <c r="Q29" s="161"/>
      <c r="R29" s="90"/>
    </row>
    <row r="30" spans="1:18" ht="30" customHeight="1" x14ac:dyDescent="0.2">
      <c r="A30" s="495" t="s">
        <v>34</v>
      </c>
      <c r="B30" s="61">
        <v>21</v>
      </c>
      <c r="C30" s="62">
        <v>2016</v>
      </c>
      <c r="D30" s="63">
        <f>'OHCA_C-Report_2014-16'!AJ$12</f>
        <v>278503</v>
      </c>
      <c r="E30" s="64">
        <v>1019.09</v>
      </c>
      <c r="F30" s="65">
        <f t="shared" si="0"/>
        <v>283819622.26999998</v>
      </c>
      <c r="G30" s="128">
        <f>H30/D30</f>
        <v>1005.0555123205779</v>
      </c>
      <c r="H30" s="65">
        <f>('OHCA_C-Report_2014-16'!AK$13)+'May17-Exh23-HMP'!L30</f>
        <v>279910975.3478179</v>
      </c>
      <c r="I30" s="66">
        <f t="shared" si="6"/>
        <v>3908646.9221820831</v>
      </c>
      <c r="J30" s="67">
        <f t="shared" si="7"/>
        <v>-347282738.63365823</v>
      </c>
      <c r="P30" s="87"/>
      <c r="Q30" s="67"/>
      <c r="R30" s="90"/>
    </row>
    <row r="31" spans="1:18" ht="30" customHeight="1" x14ac:dyDescent="0.2">
      <c r="A31" s="496"/>
      <c r="B31" s="72">
        <v>22</v>
      </c>
      <c r="C31" s="73" t="s">
        <v>49</v>
      </c>
      <c r="D31" s="11">
        <f>D30*(1+'May17-Exh1&amp;2-Trends'!$K$13)</f>
        <v>278571.39207759162</v>
      </c>
      <c r="E31" s="12">
        <f>E30*'May17-Exh1&amp;2-Trends'!$D$29</f>
        <v>1061.8917800000002</v>
      </c>
      <c r="F31" s="13">
        <f t="shared" si="0"/>
        <v>295812671.39035171</v>
      </c>
      <c r="G31" s="20">
        <f>'May17-Exh1&amp;2-Trends'!D$29*(G30-'May17-Exh23-HMP'!L30/D30)+('May17-Exh23-HMP'!L31/D31)</f>
        <v>1047.2153152233625</v>
      </c>
      <c r="H31" s="13">
        <f>D31*G31</f>
        <v>291724228.16674602</v>
      </c>
      <c r="I31" s="13">
        <f t="shared" si="6"/>
        <v>4088443.2236056924</v>
      </c>
      <c r="J31" s="78">
        <f t="shared" si="7"/>
        <v>-343194295.41005254</v>
      </c>
      <c r="P31" s="88"/>
      <c r="Q31" s="78"/>
      <c r="R31" s="90"/>
    </row>
    <row r="32" spans="1:18" ht="30" hidden="1" customHeight="1" thickBot="1" x14ac:dyDescent="0.25">
      <c r="A32" s="497"/>
      <c r="B32" s="453">
        <v>23</v>
      </c>
      <c r="C32" s="70" t="s">
        <v>50</v>
      </c>
      <c r="D32" s="75">
        <f>D31*(1+'May17-Exh1&amp;2-Trends'!$K$13)</f>
        <v>278639.80095024925</v>
      </c>
      <c r="E32" s="71">
        <f>E31*'May17-Exh1&amp;2-Trends'!$D$29</f>
        <v>1106.4912347600002</v>
      </c>
      <c r="F32" s="76">
        <f t="shared" si="0"/>
        <v>308312497.40672195</v>
      </c>
      <c r="G32" s="71">
        <f>'May17-Exh1&amp;2-Trends'!D$29*(G31-'May17-Exh23-HMP'!L31/D31)+('May17-Exh23-HMP'!L32/D32)</f>
        <v>1091.1455157241498</v>
      </c>
      <c r="H32" s="76">
        <f>D32*G32</f>
        <v>304036569.30913419</v>
      </c>
      <c r="I32" s="76">
        <f t="shared" si="6"/>
        <v>4275928.0975877643</v>
      </c>
      <c r="J32" s="77">
        <f t="shared" si="7"/>
        <v>-338918367.31246477</v>
      </c>
      <c r="K32" t="s">
        <v>158</v>
      </c>
      <c r="P32" s="89"/>
      <c r="Q32" s="77"/>
      <c r="R32" s="90"/>
    </row>
    <row r="33" spans="1:10" ht="24" customHeight="1" thickBot="1" x14ac:dyDescent="0.25">
      <c r="A33" s="441" t="s">
        <v>154</v>
      </c>
      <c r="B33" s="454">
        <v>23</v>
      </c>
      <c r="C33" s="70" t="s">
        <v>50</v>
      </c>
      <c r="D33" s="75">
        <f>D32</f>
        <v>278639.80095024925</v>
      </c>
      <c r="E33" s="71">
        <f>'May17-Exh1&amp;2-Trends'!D29^2*G30</f>
        <v>1091.2530932792401</v>
      </c>
      <c r="F33" s="76">
        <f>D33*E33</f>
        <v>304066544.69767123</v>
      </c>
      <c r="G33" s="71">
        <f>G32</f>
        <v>1091.1455157241498</v>
      </c>
      <c r="H33" s="76">
        <f>H32</f>
        <v>304036569.30913419</v>
      </c>
      <c r="I33" s="76">
        <f>F33-H33</f>
        <v>29975.388537049294</v>
      </c>
      <c r="J33" s="77">
        <f>J31+I33</f>
        <v>-343164320.02151549</v>
      </c>
    </row>
    <row r="34" spans="1:10" ht="31.5" customHeight="1" x14ac:dyDescent="0.2"/>
    <row r="35" spans="1:10" ht="31.5" customHeight="1" x14ac:dyDescent="0.2">
      <c r="H35" s="190"/>
    </row>
    <row r="36" spans="1:10" ht="31.5" customHeight="1" x14ac:dyDescent="0.2">
      <c r="H36" s="190"/>
    </row>
    <row r="37" spans="1:10" ht="31.5" customHeight="1" x14ac:dyDescent="0.2">
      <c r="H37" s="190"/>
    </row>
    <row r="38" spans="1:10" ht="31.5" customHeight="1" x14ac:dyDescent="0.2">
      <c r="H38" s="190"/>
    </row>
    <row r="39" spans="1:10" ht="31.5" customHeight="1" x14ac:dyDescent="0.2">
      <c r="H39" s="190"/>
    </row>
    <row r="40" spans="1:10" ht="31.5" customHeight="1" x14ac:dyDescent="0.2"/>
    <row r="41" spans="1:10" ht="31.5" customHeight="1" x14ac:dyDescent="0.2"/>
    <row r="42" spans="1:10" ht="31.5" customHeight="1" x14ac:dyDescent="0.2"/>
    <row r="43" spans="1:10" ht="31.5" customHeight="1" x14ac:dyDescent="0.2"/>
  </sheetData>
  <mergeCells count="5">
    <mergeCell ref="P7:R7"/>
    <mergeCell ref="A30:A32"/>
    <mergeCell ref="G8:H8"/>
    <mergeCell ref="E8:F8"/>
    <mergeCell ref="A10:A26"/>
  </mergeCells>
  <phoneticPr fontId="4" type="noConversion"/>
  <pageMargins left="0.41" right="0.25" top="1" bottom="1" header="0.5" footer="0.5"/>
  <pageSetup scale="62" orientation="landscape" r:id="rId1"/>
  <headerFooter alignWithMargins="0">
    <oddFooter xml:space="preserve">&amp;L&amp;8 &amp;C&amp;A </oddFooter>
  </headerFooter>
  <rowBreaks count="1" manualBreakCount="1">
    <brk id="2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O41"/>
  <sheetViews>
    <sheetView workbookViewId="0"/>
  </sheetViews>
  <sheetFormatPr defaultRowHeight="12.75" x14ac:dyDescent="0.2"/>
  <cols>
    <col min="3" max="3" width="14.140625" customWidth="1"/>
    <col min="4" max="9" width="14.7109375" customWidth="1"/>
    <col min="10" max="10" width="15.7109375" customWidth="1"/>
    <col min="11" max="11" width="22.7109375" customWidth="1"/>
    <col min="12" max="14" width="13.85546875" customWidth="1"/>
  </cols>
  <sheetData>
    <row r="2" spans="1:10" ht="18" x14ac:dyDescent="0.25">
      <c r="A2" s="37" t="s">
        <v>0</v>
      </c>
    </row>
    <row r="3" spans="1:10" ht="18.75" x14ac:dyDescent="0.3">
      <c r="A3" s="37" t="s">
        <v>10</v>
      </c>
    </row>
    <row r="4" spans="1:10" ht="18" x14ac:dyDescent="0.25">
      <c r="A4" s="37"/>
    </row>
    <row r="5" spans="1:10" ht="18" x14ac:dyDescent="0.25">
      <c r="A5" s="37" t="s">
        <v>63</v>
      </c>
    </row>
    <row r="7" spans="1:10" ht="13.5" thickBot="1" x14ac:dyDescent="0.25">
      <c r="B7" s="1" t="s">
        <v>9</v>
      </c>
    </row>
    <row r="8" spans="1:10" ht="13.5" thickBot="1" x14ac:dyDescent="0.25">
      <c r="B8" s="206"/>
      <c r="C8" s="207"/>
      <c r="D8" s="207"/>
      <c r="E8" s="488" t="s">
        <v>1</v>
      </c>
      <c r="F8" s="489"/>
      <c r="G8" s="488" t="s">
        <v>2</v>
      </c>
      <c r="H8" s="489"/>
      <c r="I8" s="208"/>
      <c r="J8" s="207"/>
    </row>
    <row r="9" spans="1:10" ht="34.5" thickBot="1" x14ac:dyDescent="0.25">
      <c r="B9" s="209" t="s">
        <v>3</v>
      </c>
      <c r="C9" s="210" t="s">
        <v>4</v>
      </c>
      <c r="D9" s="211" t="s">
        <v>25</v>
      </c>
      <c r="E9" s="212" t="s">
        <v>5</v>
      </c>
      <c r="F9" s="211" t="s">
        <v>6</v>
      </c>
      <c r="G9" s="211" t="s">
        <v>5</v>
      </c>
      <c r="H9" s="211" t="s">
        <v>6</v>
      </c>
      <c r="I9" s="212" t="s">
        <v>7</v>
      </c>
      <c r="J9" s="211" t="s">
        <v>8</v>
      </c>
    </row>
    <row r="10" spans="1:10" ht="18" customHeight="1" x14ac:dyDescent="0.2">
      <c r="A10" s="490" t="s">
        <v>48</v>
      </c>
      <c r="B10" s="2">
        <v>1</v>
      </c>
      <c r="C10" s="3">
        <v>1996</v>
      </c>
      <c r="D10" s="4"/>
      <c r="E10" s="5"/>
      <c r="F10" s="6"/>
      <c r="G10" s="5"/>
      <c r="H10" s="6"/>
      <c r="I10" s="7"/>
      <c r="J10" s="8"/>
    </row>
    <row r="11" spans="1:10" ht="18" customHeight="1" x14ac:dyDescent="0.2">
      <c r="A11" s="491"/>
      <c r="B11" s="9">
        <v>2</v>
      </c>
      <c r="C11" s="10">
        <v>1997</v>
      </c>
      <c r="D11" s="11"/>
      <c r="E11" s="12"/>
      <c r="F11" s="13"/>
      <c r="G11" s="12"/>
      <c r="H11" s="13"/>
      <c r="I11" s="14"/>
      <c r="J11" s="15"/>
    </row>
    <row r="12" spans="1:10" ht="18" customHeight="1" x14ac:dyDescent="0.2">
      <c r="A12" s="491"/>
      <c r="B12" s="9">
        <v>3</v>
      </c>
      <c r="C12" s="10">
        <v>1998</v>
      </c>
      <c r="D12" s="11"/>
      <c r="E12" s="12"/>
      <c r="F12" s="13"/>
      <c r="G12" s="12"/>
      <c r="H12" s="13"/>
      <c r="I12" s="14"/>
      <c r="J12" s="15"/>
    </row>
    <row r="13" spans="1:10" ht="18" customHeight="1" x14ac:dyDescent="0.2">
      <c r="A13" s="491"/>
      <c r="B13" s="9">
        <v>4</v>
      </c>
      <c r="C13" s="10">
        <v>1999</v>
      </c>
      <c r="D13" s="11"/>
      <c r="E13" s="12"/>
      <c r="F13" s="13"/>
      <c r="G13" s="12"/>
      <c r="H13" s="13"/>
      <c r="I13" s="14"/>
      <c r="J13" s="15"/>
    </row>
    <row r="14" spans="1:10" ht="18" customHeight="1" x14ac:dyDescent="0.2">
      <c r="A14" s="491"/>
      <c r="B14" s="9">
        <v>5</v>
      </c>
      <c r="C14" s="10">
        <v>2000</v>
      </c>
      <c r="D14" s="11"/>
      <c r="E14" s="12"/>
      <c r="F14" s="13"/>
      <c r="G14" s="12"/>
      <c r="H14" s="13"/>
      <c r="I14" s="14"/>
      <c r="J14" s="15"/>
    </row>
    <row r="15" spans="1:10" ht="18" customHeight="1" x14ac:dyDescent="0.2">
      <c r="A15" s="491"/>
      <c r="B15" s="9">
        <v>6</v>
      </c>
      <c r="C15" s="10">
        <v>2001</v>
      </c>
      <c r="D15" s="11"/>
      <c r="E15" s="12"/>
      <c r="F15" s="13"/>
      <c r="G15" s="12"/>
      <c r="H15" s="13"/>
      <c r="I15" s="14"/>
      <c r="J15" s="15"/>
    </row>
    <row r="16" spans="1:10" ht="18" customHeight="1" x14ac:dyDescent="0.2">
      <c r="A16" s="491"/>
      <c r="B16" s="9">
        <v>7</v>
      </c>
      <c r="C16" s="10">
        <v>2002</v>
      </c>
      <c r="D16" s="11"/>
      <c r="E16" s="12"/>
      <c r="F16" s="13"/>
      <c r="G16" s="12"/>
      <c r="H16" s="13"/>
      <c r="I16" s="14"/>
      <c r="J16" s="15"/>
    </row>
    <row r="17" spans="1:15" ht="18" customHeight="1" x14ac:dyDescent="0.2">
      <c r="A17" s="491"/>
      <c r="B17" s="16">
        <v>8</v>
      </c>
      <c r="C17" s="17">
        <v>2003</v>
      </c>
      <c r="D17" s="18"/>
      <c r="E17" s="12"/>
      <c r="F17" s="19"/>
      <c r="G17" s="20"/>
      <c r="H17" s="19"/>
      <c r="I17" s="21"/>
      <c r="J17" s="22"/>
    </row>
    <row r="18" spans="1:15" ht="18" customHeight="1" x14ac:dyDescent="0.2">
      <c r="A18" s="491"/>
      <c r="B18" s="23">
        <v>9</v>
      </c>
      <c r="C18" s="24">
        <v>2004</v>
      </c>
      <c r="D18" s="25"/>
      <c r="E18" s="26"/>
      <c r="F18" s="27"/>
      <c r="G18" s="26"/>
      <c r="H18" s="27"/>
      <c r="I18" s="28"/>
      <c r="J18" s="29"/>
    </row>
    <row r="19" spans="1:15" ht="18" customHeight="1" x14ac:dyDescent="0.2">
      <c r="A19" s="491"/>
      <c r="B19" s="16">
        <v>10</v>
      </c>
      <c r="C19" s="17">
        <v>2005</v>
      </c>
      <c r="D19" s="18" t="s">
        <v>9</v>
      </c>
      <c r="E19" s="40"/>
      <c r="F19" s="41"/>
      <c r="G19" s="26" t="s">
        <v>9</v>
      </c>
      <c r="H19" s="19"/>
      <c r="I19" s="21" t="s">
        <v>9</v>
      </c>
      <c r="J19" s="22" t="s">
        <v>9</v>
      </c>
    </row>
    <row r="20" spans="1:15" ht="18" customHeight="1" x14ac:dyDescent="0.2">
      <c r="A20" s="491"/>
      <c r="B20" s="35">
        <v>11</v>
      </c>
      <c r="C20" s="17">
        <v>2006</v>
      </c>
      <c r="D20" s="18">
        <v>9744</v>
      </c>
      <c r="E20" s="40"/>
      <c r="F20" s="41"/>
      <c r="G20" s="20">
        <f t="shared" ref="G20:G25" si="0">H20/D20</f>
        <v>198.813526272578</v>
      </c>
      <c r="H20" s="19">
        <v>1937239</v>
      </c>
      <c r="I20" s="21">
        <f t="shared" ref="I20:I26" si="1">F20-H20</f>
        <v>-1937239</v>
      </c>
      <c r="J20" s="36">
        <f>I20</f>
        <v>-1937239</v>
      </c>
    </row>
    <row r="21" spans="1:15" ht="18" customHeight="1" x14ac:dyDescent="0.2">
      <c r="A21" s="491"/>
      <c r="B21" s="33">
        <v>12</v>
      </c>
      <c r="C21" s="52">
        <v>2007</v>
      </c>
      <c r="D21" s="25">
        <v>38417</v>
      </c>
      <c r="E21" s="42"/>
      <c r="F21" s="43"/>
      <c r="G21" s="26">
        <f t="shared" si="0"/>
        <v>204.54077621886145</v>
      </c>
      <c r="H21" s="27">
        <v>7857843</v>
      </c>
      <c r="I21" s="28">
        <f t="shared" si="1"/>
        <v>-7857843</v>
      </c>
      <c r="J21" s="34">
        <f t="shared" ref="J21:J26" si="2">J20+I21</f>
        <v>-9795082</v>
      </c>
      <c r="K21" s="130" t="s">
        <v>9</v>
      </c>
    </row>
    <row r="22" spans="1:15" ht="18" customHeight="1" x14ac:dyDescent="0.2">
      <c r="A22" s="491"/>
      <c r="B22" s="35">
        <v>13</v>
      </c>
      <c r="C22" s="59">
        <v>2008</v>
      </c>
      <c r="D22" s="18">
        <v>139822</v>
      </c>
      <c r="E22" s="40"/>
      <c r="F22" s="41"/>
      <c r="G22" s="20">
        <f t="shared" si="0"/>
        <v>239.37587074995352</v>
      </c>
      <c r="H22" s="19">
        <v>33470013</v>
      </c>
      <c r="I22" s="21">
        <f t="shared" si="1"/>
        <v>-33470013</v>
      </c>
      <c r="J22" s="36">
        <f t="shared" si="2"/>
        <v>-43265095</v>
      </c>
    </row>
    <row r="23" spans="1:15" ht="18" customHeight="1" x14ac:dyDescent="0.2">
      <c r="A23" s="491"/>
      <c r="B23" s="16">
        <v>14</v>
      </c>
      <c r="C23" s="59">
        <v>2009</v>
      </c>
      <c r="D23" s="18">
        <v>172594</v>
      </c>
      <c r="E23" s="40"/>
      <c r="F23" s="41"/>
      <c r="G23" s="20">
        <f t="shared" si="0"/>
        <v>437.72911427975481</v>
      </c>
      <c r="H23" s="19">
        <f>75606286-'May17-Exh12-College_All_2013'!H23</f>
        <v>75549418.75</v>
      </c>
      <c r="I23" s="21">
        <f t="shared" si="1"/>
        <v>-75549418.75</v>
      </c>
      <c r="J23" s="36">
        <f t="shared" si="2"/>
        <v>-118814513.75</v>
      </c>
      <c r="K23" s="48"/>
      <c r="O23" s="48"/>
    </row>
    <row r="24" spans="1:15" ht="18" customHeight="1" x14ac:dyDescent="0.2">
      <c r="A24" s="491"/>
      <c r="B24" s="35">
        <v>15</v>
      </c>
      <c r="C24" s="17">
        <v>2010</v>
      </c>
      <c r="D24" s="18">
        <v>392065</v>
      </c>
      <c r="E24" s="40"/>
      <c r="F24" s="41"/>
      <c r="G24" s="20">
        <f t="shared" si="0"/>
        <v>284.10127731371074</v>
      </c>
      <c r="H24" s="19">
        <f>111985335-'May17-Exh12-College_All_2013'!H24</f>
        <v>111386167.29000001</v>
      </c>
      <c r="I24" s="21">
        <f t="shared" si="1"/>
        <v>-111386167.29000001</v>
      </c>
      <c r="J24" s="36">
        <f t="shared" si="2"/>
        <v>-230200681.04000002</v>
      </c>
      <c r="K24" s="283"/>
      <c r="L24" s="297"/>
    </row>
    <row r="25" spans="1:15" ht="18" customHeight="1" x14ac:dyDescent="0.2">
      <c r="A25" s="491"/>
      <c r="B25" s="38">
        <v>16</v>
      </c>
      <c r="C25" s="92">
        <v>2011</v>
      </c>
      <c r="D25" s="93">
        <v>392772</v>
      </c>
      <c r="E25" s="97"/>
      <c r="F25" s="98"/>
      <c r="G25" s="94">
        <f t="shared" si="0"/>
        <v>313.99979670139419</v>
      </c>
      <c r="H25" s="95">
        <f>124141388.15-'May17-Exh12-College_All_2013'!H25</f>
        <v>123330328.15000001</v>
      </c>
      <c r="I25" s="96">
        <f t="shared" si="1"/>
        <v>-123330328.15000001</v>
      </c>
      <c r="J25" s="39">
        <f t="shared" si="2"/>
        <v>-353531009.19000006</v>
      </c>
      <c r="K25" s="283"/>
      <c r="L25" s="297"/>
    </row>
    <row r="26" spans="1:15" ht="18" customHeight="1" thickBot="1" x14ac:dyDescent="0.25">
      <c r="A26" s="491"/>
      <c r="B26" s="141">
        <v>17</v>
      </c>
      <c r="C26" s="142">
        <v>2012</v>
      </c>
      <c r="D26" s="143">
        <v>391031</v>
      </c>
      <c r="E26" s="150"/>
      <c r="F26" s="151"/>
      <c r="G26" s="144">
        <f>+H26/D26</f>
        <v>309.31646595794194</v>
      </c>
      <c r="H26" s="145">
        <f>122044662-'May17-Exh12-College_All_2013'!H26</f>
        <v>120952327</v>
      </c>
      <c r="I26" s="146">
        <f t="shared" si="1"/>
        <v>-120952327</v>
      </c>
      <c r="J26" s="147">
        <f t="shared" si="2"/>
        <v>-474483336.19000006</v>
      </c>
      <c r="K26" s="283"/>
      <c r="L26" s="297"/>
    </row>
    <row r="27" spans="1:15" ht="30" customHeight="1" x14ac:dyDescent="0.2">
      <c r="A27" s="137"/>
      <c r="B27" s="152">
        <v>18</v>
      </c>
      <c r="C27" s="153">
        <v>2013</v>
      </c>
      <c r="D27" s="154">
        <v>388005</v>
      </c>
      <c r="E27" s="158"/>
      <c r="F27" s="159"/>
      <c r="G27" s="128">
        <f>+H27/D27</f>
        <v>297.13875852115308</v>
      </c>
      <c r="H27" s="155">
        <f>116368686-'May17-Exh12-College_All_2013'!H27</f>
        <v>115291324</v>
      </c>
      <c r="I27" s="156">
        <f t="shared" ref="I27" si="3">F27-H27</f>
        <v>-115291324</v>
      </c>
      <c r="J27" s="298">
        <f t="shared" ref="J27" si="4">J26+I27</f>
        <v>-589774660.19000006</v>
      </c>
      <c r="K27" s="283"/>
      <c r="L27" s="297"/>
    </row>
    <row r="28" spans="1:15" ht="30" customHeight="1" x14ac:dyDescent="0.2">
      <c r="A28" s="137"/>
      <c r="B28" s="16">
        <v>19</v>
      </c>
      <c r="C28" s="59">
        <v>2014</v>
      </c>
      <c r="D28" s="243"/>
      <c r="E28" s="244"/>
      <c r="F28" s="244"/>
      <c r="G28" s="245"/>
      <c r="H28" s="246"/>
      <c r="I28" s="246"/>
      <c r="J28" s="247"/>
      <c r="K28" s="283"/>
      <c r="L28" s="297"/>
      <c r="O28" s="48"/>
    </row>
    <row r="29" spans="1:15" ht="30" customHeight="1" thickBot="1" x14ac:dyDescent="0.25">
      <c r="A29" s="138"/>
      <c r="B29" s="134">
        <v>20</v>
      </c>
      <c r="C29" s="139">
        <v>2015</v>
      </c>
      <c r="D29" s="233"/>
      <c r="E29" s="234"/>
      <c r="F29" s="235"/>
      <c r="G29" s="234"/>
      <c r="H29" s="235"/>
      <c r="I29" s="236"/>
      <c r="J29" s="299"/>
      <c r="K29" s="283"/>
      <c r="L29" s="297"/>
      <c r="O29" s="48"/>
    </row>
    <row r="30" spans="1:15" ht="30" customHeight="1" x14ac:dyDescent="0.2">
      <c r="A30" s="500" t="s">
        <v>34</v>
      </c>
      <c r="B30" s="61">
        <v>21</v>
      </c>
      <c r="C30" s="62">
        <v>2016</v>
      </c>
      <c r="D30" s="238"/>
      <c r="E30" s="239"/>
      <c r="F30" s="240"/>
      <c r="G30" s="239"/>
      <c r="H30" s="240"/>
      <c r="I30" s="241"/>
      <c r="J30" s="300"/>
      <c r="K30" s="283"/>
      <c r="L30" s="297"/>
      <c r="O30" s="48"/>
    </row>
    <row r="31" spans="1:15" ht="30" customHeight="1" x14ac:dyDescent="0.2">
      <c r="A31" s="501"/>
      <c r="B31" s="72">
        <v>22</v>
      </c>
      <c r="C31" s="10" t="s">
        <v>49</v>
      </c>
      <c r="D31" s="243"/>
      <c r="E31" s="244"/>
      <c r="F31" s="244"/>
      <c r="G31" s="245"/>
      <c r="H31" s="246"/>
      <c r="I31" s="246"/>
      <c r="J31" s="247"/>
    </row>
    <row r="32" spans="1:15" ht="30" customHeight="1" thickBot="1" x14ac:dyDescent="0.25">
      <c r="A32" s="502"/>
      <c r="B32" s="68">
        <v>23</v>
      </c>
      <c r="C32" s="70" t="s">
        <v>50</v>
      </c>
      <c r="D32" s="248"/>
      <c r="E32" s="249"/>
      <c r="F32" s="249"/>
      <c r="G32" s="250"/>
      <c r="H32" s="251"/>
      <c r="I32" s="251"/>
      <c r="J32" s="252"/>
    </row>
    <row r="33" spans="7:10" ht="3.95" customHeight="1" x14ac:dyDescent="0.2"/>
    <row r="35" spans="7:10" ht="17.100000000000001" customHeight="1" x14ac:dyDescent="0.2"/>
    <row r="36" spans="7:10" ht="17.100000000000001" customHeight="1" x14ac:dyDescent="0.2">
      <c r="H36" s="130" t="s">
        <v>9</v>
      </c>
    </row>
    <row r="37" spans="7:10" ht="17.100000000000001" customHeight="1" x14ac:dyDescent="0.2"/>
    <row r="38" spans="7:10" ht="18" customHeight="1" x14ac:dyDescent="0.2"/>
    <row r="39" spans="7:10" ht="18" customHeight="1" x14ac:dyDescent="0.2">
      <c r="G39" s="130" t="s">
        <v>9</v>
      </c>
      <c r="J39" s="129" t="s">
        <v>9</v>
      </c>
    </row>
    <row r="40" spans="7:10" ht="18" customHeight="1" x14ac:dyDescent="0.2"/>
    <row r="41" spans="7:10" ht="18" customHeight="1" x14ac:dyDescent="0.2"/>
  </sheetData>
  <mergeCells count="4">
    <mergeCell ref="A30:A32"/>
    <mergeCell ref="G8:H8"/>
    <mergeCell ref="E8:F8"/>
    <mergeCell ref="A10:A26"/>
  </mergeCells>
  <phoneticPr fontId="4" type="noConversion"/>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M38"/>
  <sheetViews>
    <sheetView workbookViewId="0"/>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3" ht="18" x14ac:dyDescent="0.25">
      <c r="A2" s="37" t="s">
        <v>0</v>
      </c>
    </row>
    <row r="3" spans="1:13" ht="18.75" x14ac:dyDescent="0.3">
      <c r="A3" s="37" t="s">
        <v>10</v>
      </c>
    </row>
    <row r="4" spans="1:13" ht="18" x14ac:dyDescent="0.25">
      <c r="A4" s="37"/>
    </row>
    <row r="5" spans="1:13" ht="18" x14ac:dyDescent="0.25">
      <c r="A5" s="37" t="s">
        <v>64</v>
      </c>
    </row>
    <row r="7" spans="1:13" ht="13.5" thickBot="1" x14ac:dyDescent="0.25">
      <c r="B7" s="1" t="s">
        <v>9</v>
      </c>
    </row>
    <row r="8" spans="1:13" ht="13.5" thickBot="1" x14ac:dyDescent="0.25">
      <c r="B8" s="206"/>
      <c r="C8" s="207"/>
      <c r="D8" s="207"/>
      <c r="E8" s="488" t="s">
        <v>1</v>
      </c>
      <c r="F8" s="489"/>
      <c r="G8" s="488" t="s">
        <v>2</v>
      </c>
      <c r="H8" s="489"/>
      <c r="I8" s="208"/>
      <c r="J8" s="207"/>
    </row>
    <row r="9" spans="1:13" ht="42" customHeight="1" thickBot="1" x14ac:dyDescent="0.25">
      <c r="B9" s="209" t="s">
        <v>3</v>
      </c>
      <c r="C9" s="210" t="s">
        <v>4</v>
      </c>
      <c r="D9" s="211" t="s">
        <v>25</v>
      </c>
      <c r="E9" s="212" t="s">
        <v>5</v>
      </c>
      <c r="F9" s="211" t="s">
        <v>6</v>
      </c>
      <c r="G9" s="211" t="s">
        <v>5</v>
      </c>
      <c r="H9" s="211" t="s">
        <v>6</v>
      </c>
      <c r="I9" s="212" t="s">
        <v>7</v>
      </c>
      <c r="J9" s="211" t="s">
        <v>8</v>
      </c>
      <c r="M9" s="281" t="s">
        <v>9</v>
      </c>
    </row>
    <row r="10" spans="1:13" ht="18" customHeight="1" x14ac:dyDescent="0.2">
      <c r="A10" s="490" t="s">
        <v>48</v>
      </c>
      <c r="B10" s="2">
        <v>1</v>
      </c>
      <c r="C10" s="3">
        <v>1996</v>
      </c>
      <c r="D10" s="4"/>
      <c r="E10" s="5"/>
      <c r="F10" s="6"/>
      <c r="G10" s="5"/>
      <c r="H10" s="6"/>
      <c r="I10" s="7"/>
      <c r="J10" s="8"/>
      <c r="M10" s="280" t="s">
        <v>9</v>
      </c>
    </row>
    <row r="11" spans="1:13" ht="18" customHeight="1" x14ac:dyDescent="0.2">
      <c r="A11" s="491"/>
      <c r="B11" s="9">
        <v>2</v>
      </c>
      <c r="C11" s="10">
        <v>1997</v>
      </c>
      <c r="D11" s="11"/>
      <c r="E11" s="12"/>
      <c r="F11" s="13"/>
      <c r="G11" s="12"/>
      <c r="H11" s="13"/>
      <c r="I11" s="14"/>
      <c r="J11" s="15"/>
    </row>
    <row r="12" spans="1:13" ht="18" customHeight="1" x14ac:dyDescent="0.2">
      <c r="A12" s="491"/>
      <c r="B12" s="9">
        <v>3</v>
      </c>
      <c r="C12" s="10">
        <v>1998</v>
      </c>
      <c r="D12" s="11"/>
      <c r="E12" s="12"/>
      <c r="F12" s="13"/>
      <c r="G12" s="12"/>
      <c r="H12" s="13"/>
      <c r="I12" s="14"/>
      <c r="J12" s="15"/>
    </row>
    <row r="13" spans="1:13" ht="18" customHeight="1" x14ac:dyDescent="0.2">
      <c r="A13" s="491"/>
      <c r="B13" s="9">
        <v>4</v>
      </c>
      <c r="C13" s="10">
        <v>1999</v>
      </c>
      <c r="D13" s="11"/>
      <c r="E13" s="12"/>
      <c r="F13" s="13"/>
      <c r="G13" s="12"/>
      <c r="H13" s="13"/>
      <c r="I13" s="14"/>
      <c r="J13" s="15"/>
    </row>
    <row r="14" spans="1:13" ht="18" customHeight="1" x14ac:dyDescent="0.2">
      <c r="A14" s="491"/>
      <c r="B14" s="9">
        <v>5</v>
      </c>
      <c r="C14" s="10">
        <v>2000</v>
      </c>
      <c r="D14" s="11"/>
      <c r="E14" s="12"/>
      <c r="F14" s="13"/>
      <c r="G14" s="12"/>
      <c r="H14" s="13"/>
      <c r="I14" s="14"/>
      <c r="J14" s="15"/>
    </row>
    <row r="15" spans="1:13" ht="18" customHeight="1" x14ac:dyDescent="0.2">
      <c r="A15" s="491"/>
      <c r="B15" s="9">
        <v>6</v>
      </c>
      <c r="C15" s="10">
        <v>2001</v>
      </c>
      <c r="D15" s="11"/>
      <c r="E15" s="12"/>
      <c r="F15" s="13"/>
      <c r="G15" s="12"/>
      <c r="H15" s="13"/>
      <c r="I15" s="14"/>
      <c r="J15" s="15"/>
    </row>
    <row r="16" spans="1:13" ht="18" customHeight="1" x14ac:dyDescent="0.2">
      <c r="A16" s="491"/>
      <c r="B16" s="9">
        <v>7</v>
      </c>
      <c r="C16" s="10">
        <v>2002</v>
      </c>
      <c r="D16" s="11"/>
      <c r="E16" s="12"/>
      <c r="F16" s="13"/>
      <c r="G16" s="12"/>
      <c r="H16" s="13"/>
      <c r="I16" s="14"/>
      <c r="J16" s="15"/>
    </row>
    <row r="17" spans="1:11" ht="18" customHeight="1" x14ac:dyDescent="0.2">
      <c r="A17" s="491"/>
      <c r="B17" s="16">
        <v>8</v>
      </c>
      <c r="C17" s="17">
        <v>2003</v>
      </c>
      <c r="D17" s="18"/>
      <c r="E17" s="12"/>
      <c r="F17" s="19"/>
      <c r="G17" s="20"/>
      <c r="H17" s="19"/>
      <c r="I17" s="21"/>
      <c r="J17" s="22"/>
    </row>
    <row r="18" spans="1:11" ht="18" customHeight="1" x14ac:dyDescent="0.2">
      <c r="A18" s="491"/>
      <c r="B18" s="23">
        <v>9</v>
      </c>
      <c r="C18" s="24">
        <v>2004</v>
      </c>
      <c r="D18" s="25"/>
      <c r="E18" s="26"/>
      <c r="F18" s="27"/>
      <c r="G18" s="26"/>
      <c r="H18" s="27"/>
      <c r="I18" s="28"/>
      <c r="J18" s="29"/>
    </row>
    <row r="19" spans="1:11" ht="18" customHeight="1" x14ac:dyDescent="0.2">
      <c r="A19" s="491"/>
      <c r="B19" s="16">
        <v>10</v>
      </c>
      <c r="C19" s="17">
        <v>2005</v>
      </c>
      <c r="D19" s="18"/>
      <c r="E19" s="40"/>
      <c r="F19" s="41"/>
      <c r="G19" s="26"/>
      <c r="H19" s="19"/>
      <c r="I19" s="21"/>
      <c r="J19" s="22"/>
    </row>
    <row r="20" spans="1:11" ht="18" customHeight="1" x14ac:dyDescent="0.2">
      <c r="A20" s="491"/>
      <c r="B20" s="35">
        <v>11</v>
      </c>
      <c r="C20" s="17">
        <v>2006</v>
      </c>
      <c r="D20" s="18"/>
      <c r="E20" s="40"/>
      <c r="F20" s="41"/>
      <c r="G20" s="20"/>
      <c r="H20" s="19"/>
      <c r="I20" s="21"/>
      <c r="J20" s="36"/>
    </row>
    <row r="21" spans="1:11" ht="18" customHeight="1" x14ac:dyDescent="0.2">
      <c r="A21" s="491"/>
      <c r="B21" s="33">
        <v>12</v>
      </c>
      <c r="C21" s="52">
        <v>2007</v>
      </c>
      <c r="D21" s="25"/>
      <c r="E21" s="42"/>
      <c r="F21" s="43"/>
      <c r="G21" s="26"/>
      <c r="H21" s="27"/>
      <c r="I21" s="28"/>
      <c r="J21" s="34"/>
    </row>
    <row r="22" spans="1:11" ht="18" customHeight="1" x14ac:dyDescent="0.2">
      <c r="A22" s="491"/>
      <c r="B22" s="35">
        <v>13</v>
      </c>
      <c r="C22" s="59">
        <v>2008</v>
      </c>
      <c r="D22" s="18"/>
      <c r="E22" s="40"/>
      <c r="F22" s="41"/>
      <c r="G22" s="20"/>
      <c r="H22" s="19"/>
      <c r="I22" s="21"/>
      <c r="J22" s="36"/>
    </row>
    <row r="23" spans="1:11" ht="18" customHeight="1" x14ac:dyDescent="0.2">
      <c r="A23" s="491"/>
      <c r="B23" s="16">
        <v>14</v>
      </c>
      <c r="C23" s="59">
        <v>2009</v>
      </c>
      <c r="D23" s="18"/>
      <c r="E23" s="40"/>
      <c r="F23" s="41"/>
      <c r="G23" s="20"/>
      <c r="H23" s="19"/>
      <c r="I23" s="21"/>
      <c r="J23" s="22"/>
      <c r="K23" s="48"/>
    </row>
    <row r="24" spans="1:11" ht="18" customHeight="1" x14ac:dyDescent="0.2">
      <c r="A24" s="491"/>
      <c r="B24" s="35">
        <v>15</v>
      </c>
      <c r="C24" s="17">
        <v>2010</v>
      </c>
      <c r="D24" s="18"/>
      <c r="E24" s="40"/>
      <c r="F24" s="41"/>
      <c r="G24" s="20"/>
      <c r="H24" s="19"/>
      <c r="I24" s="21"/>
      <c r="J24" s="36"/>
      <c r="K24" s="48"/>
    </row>
    <row r="25" spans="1:11" ht="18" customHeight="1" x14ac:dyDescent="0.2">
      <c r="A25" s="491"/>
      <c r="B25" s="38">
        <v>16</v>
      </c>
      <c r="C25" s="92">
        <v>2011</v>
      </c>
      <c r="D25" s="93"/>
      <c r="E25" s="97"/>
      <c r="F25" s="98"/>
      <c r="G25" s="94"/>
      <c r="H25" s="95"/>
      <c r="I25" s="96"/>
      <c r="J25" s="39"/>
      <c r="K25" s="48"/>
    </row>
    <row r="26" spans="1:11" ht="18" customHeight="1" thickBot="1" x14ac:dyDescent="0.25">
      <c r="A26" s="491"/>
      <c r="B26" s="141">
        <v>17</v>
      </c>
      <c r="C26" s="142">
        <v>2012</v>
      </c>
      <c r="D26" s="143"/>
      <c r="E26" s="150"/>
      <c r="F26" s="151"/>
      <c r="G26" s="144"/>
      <c r="H26" s="145"/>
      <c r="I26" s="146"/>
      <c r="J26" s="147"/>
      <c r="K26" s="48"/>
    </row>
    <row r="27" spans="1:11" ht="30" customHeight="1" x14ac:dyDescent="0.2">
      <c r="A27" s="137"/>
      <c r="B27" s="152">
        <v>18</v>
      </c>
      <c r="C27" s="153">
        <v>2013</v>
      </c>
      <c r="D27" s="154"/>
      <c r="E27" s="158"/>
      <c r="F27" s="159"/>
      <c r="G27" s="128"/>
      <c r="H27" s="155"/>
      <c r="I27" s="156"/>
      <c r="J27" s="157"/>
      <c r="K27" s="48"/>
    </row>
    <row r="28" spans="1:11" ht="30" customHeight="1" x14ac:dyDescent="0.2">
      <c r="A28" s="137"/>
      <c r="B28" s="16">
        <v>19</v>
      </c>
      <c r="C28" s="59">
        <v>2014</v>
      </c>
      <c r="D28" s="18">
        <f>'OHCA_C-Report_2014-16'!L14</f>
        <v>273146</v>
      </c>
      <c r="E28" s="40"/>
      <c r="F28" s="41"/>
      <c r="G28" s="255">
        <f>H28/D28</f>
        <v>72.496093664194234</v>
      </c>
      <c r="H28" s="266">
        <f>'OHCA_C-Report_2014-16'!M15</f>
        <v>19802018</v>
      </c>
      <c r="I28" s="21">
        <f>F28-H28</f>
        <v>-19802018</v>
      </c>
      <c r="J28" s="22">
        <f>('May17-Exh7-NDWA_All_2013'!J27*IOK_ESI_IP!$AQ$9)+I28</f>
        <v>-379039071.34876597</v>
      </c>
      <c r="K28" s="48"/>
    </row>
    <row r="29" spans="1:11" ht="30" customHeight="1" thickBot="1" x14ac:dyDescent="0.25">
      <c r="A29" s="138"/>
      <c r="B29" s="134">
        <v>20</v>
      </c>
      <c r="C29" s="139">
        <v>2015</v>
      </c>
      <c r="D29" s="93">
        <f>'OHCA_C-Report_2014-16'!X$14</f>
        <v>158543</v>
      </c>
      <c r="E29" s="97"/>
      <c r="F29" s="98"/>
      <c r="G29" s="94">
        <f>H29/D29</f>
        <v>277.93073172577789</v>
      </c>
      <c r="H29" s="95">
        <f>('OHCA_C-Report_2014-16'!Y$15)</f>
        <v>44063972</v>
      </c>
      <c r="I29" s="96">
        <f>F29-H29</f>
        <v>-44063972</v>
      </c>
      <c r="J29" s="101">
        <f>J28+I29</f>
        <v>-423103043.34876597</v>
      </c>
      <c r="K29" s="48"/>
    </row>
    <row r="30" spans="1:11" ht="30" customHeight="1" x14ac:dyDescent="0.2">
      <c r="A30" s="500" t="s">
        <v>34</v>
      </c>
      <c r="B30" s="61">
        <v>21</v>
      </c>
      <c r="C30" s="62">
        <v>2016</v>
      </c>
      <c r="D30" s="263">
        <f>'OHCA_C-Report_2014-16'!AJ$14</f>
        <v>172683</v>
      </c>
      <c r="E30" s="168"/>
      <c r="F30" s="169"/>
      <c r="G30" s="64">
        <f>H30/D30</f>
        <v>299.92151514625067</v>
      </c>
      <c r="H30" s="65">
        <f>('OHCA_C-Report_2014-16'!AK$15)</f>
        <v>51791347</v>
      </c>
      <c r="I30" s="66">
        <f>F30-H30</f>
        <v>-51791347</v>
      </c>
      <c r="J30" s="67">
        <f>J29+I30</f>
        <v>-474894390.34876597</v>
      </c>
      <c r="K30" s="48"/>
    </row>
    <row r="31" spans="1:11" ht="30" customHeight="1" x14ac:dyDescent="0.2">
      <c r="A31" s="501"/>
      <c r="B31" s="72">
        <v>22</v>
      </c>
      <c r="C31" s="10" t="s">
        <v>49</v>
      </c>
      <c r="D31" s="264">
        <f>D30*(1+IOK_ESI_IP!$AN$9)</f>
        <v>185206.03894426834</v>
      </c>
      <c r="E31" s="184"/>
      <c r="F31" s="184"/>
      <c r="G31" s="12">
        <f>G30*'May17-Exh1&amp;2-Trends'!$D$30</f>
        <v>313.11806181268571</v>
      </c>
      <c r="H31" s="13">
        <f>G31*D31</f>
        <v>57991355.950234093</v>
      </c>
      <c r="I31" s="13">
        <f>F31-H31</f>
        <v>-57991355.950234093</v>
      </c>
      <c r="J31" s="78">
        <f>J30+I31</f>
        <v>-532885746.29900008</v>
      </c>
    </row>
    <row r="32" spans="1:11" ht="30" customHeight="1" thickBot="1" x14ac:dyDescent="0.25">
      <c r="A32" s="502"/>
      <c r="B32" s="68">
        <v>23</v>
      </c>
      <c r="C32" s="70" t="s">
        <v>50</v>
      </c>
      <c r="D32" s="265">
        <f>D31*(1+IOK_ESI_IP!$AN$9)</f>
        <v>198637.25358851676</v>
      </c>
      <c r="E32" s="185"/>
      <c r="F32" s="185"/>
      <c r="G32" s="71">
        <f>G31*'May17-Exh1&amp;2-Trends'!$D$30</f>
        <v>326.89525653244391</v>
      </c>
      <c r="H32" s="76">
        <f>G32*D32</f>
        <v>64933575.968718298</v>
      </c>
      <c r="I32" s="76">
        <f>F32-H32</f>
        <v>-64933575.968718298</v>
      </c>
      <c r="J32" s="77">
        <f>J31+I32</f>
        <v>-597819322.26771843</v>
      </c>
    </row>
    <row r="33" spans="8:8" ht="17.100000000000001" customHeight="1" x14ac:dyDescent="0.2"/>
    <row r="34" spans="8:8" ht="17.100000000000001" customHeight="1" x14ac:dyDescent="0.2">
      <c r="H34" s="190"/>
    </row>
    <row r="35" spans="8:8" ht="18" customHeight="1" x14ac:dyDescent="0.2">
      <c r="H35" s="190"/>
    </row>
    <row r="36" spans="8:8" ht="18" customHeight="1" x14ac:dyDescent="0.2">
      <c r="H36" s="190"/>
    </row>
    <row r="37" spans="8:8" ht="18" customHeight="1" x14ac:dyDescent="0.2">
      <c r="H37" s="190"/>
    </row>
    <row r="38" spans="8:8" ht="18" customHeight="1" x14ac:dyDescent="0.2">
      <c r="H38" s="190"/>
    </row>
  </sheetData>
  <mergeCells count="4">
    <mergeCell ref="E8:F8"/>
    <mergeCell ref="G8:H8"/>
    <mergeCell ref="A10:A26"/>
    <mergeCell ref="A30:A32"/>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24</vt:i4>
      </vt:variant>
    </vt:vector>
  </HeadingPairs>
  <TitlesOfParts>
    <vt:vector size="54" baseType="lpstr">
      <vt:lpstr>Summary of Changes - Jul16</vt:lpstr>
      <vt:lpstr>Summary of Changes - May17</vt:lpstr>
      <vt:lpstr>May17-Exh1&amp;2-Trends</vt:lpstr>
      <vt:lpstr>May17-Exh3-TANFU</vt:lpstr>
      <vt:lpstr>May17-Exh4-TANFR</vt:lpstr>
      <vt:lpstr>May17-Exh5-ABDU</vt:lpstr>
      <vt:lpstr>May17-Exh6-ABDR</vt:lpstr>
      <vt:lpstr>May17-Exh7-NDWA_All_2013</vt:lpstr>
      <vt:lpstr>May17-Exh8-NDWA_ESI_2014</vt:lpstr>
      <vt:lpstr>May17-Exh9-WDA_All_2013</vt:lpstr>
      <vt:lpstr>May17-Exh10-WDA_ESI_2014</vt:lpstr>
      <vt:lpstr>May17-Exh11-TEFRA</vt:lpstr>
      <vt:lpstr>May17-Exh12-College_All_2013</vt:lpstr>
      <vt:lpstr>May17-Exh13-College_ESI_2014</vt:lpstr>
      <vt:lpstr>May17-Exh14-Foster_ESI</vt:lpstr>
      <vt:lpstr>May17-Exh15_NonProfit_ESI</vt:lpstr>
      <vt:lpstr>May17-Exh16-SCI</vt:lpstr>
      <vt:lpstr>May17-Exh17-NDWA_IP_2014</vt:lpstr>
      <vt:lpstr>May17-Exh18-WDA_IP_2014</vt:lpstr>
      <vt:lpstr>May17-Exh19-College_IP_2014</vt:lpstr>
      <vt:lpstr>May17-Exh20-Foster_IP</vt:lpstr>
      <vt:lpstr>May2017-Exh21-NonProfit_IP</vt:lpstr>
      <vt:lpstr>May17-Exh22-HAN</vt:lpstr>
      <vt:lpstr>May17-Exh23-HMP</vt:lpstr>
      <vt:lpstr>May17-Exh24-ALL No RB</vt:lpstr>
      <vt:lpstr>May17-Exh24-ALL RB</vt:lpstr>
      <vt:lpstr>May17-Exh24-ALL RB SavLim</vt:lpstr>
      <vt:lpstr>SUPPORTING</vt:lpstr>
      <vt:lpstr>IOK_ESI_IP</vt:lpstr>
      <vt:lpstr>OHCA_C-Report_2014-16</vt:lpstr>
      <vt:lpstr>'May17-Exh10-WDA_ESI_2014'!Print_Titles</vt:lpstr>
      <vt:lpstr>'May17-Exh11-TEFRA'!Print_Titles</vt:lpstr>
      <vt:lpstr>'May17-Exh12-College_All_2013'!Print_Titles</vt:lpstr>
      <vt:lpstr>'May17-Exh13-College_ESI_2014'!Print_Titles</vt:lpstr>
      <vt:lpstr>'May17-Exh14-Foster_ESI'!Print_Titles</vt:lpstr>
      <vt:lpstr>'May17-Exh15_NonProfit_ESI'!Print_Titles</vt:lpstr>
      <vt:lpstr>'May17-Exh16-SCI'!Print_Titles</vt:lpstr>
      <vt:lpstr>'May17-Exh17-NDWA_IP_2014'!Print_Titles</vt:lpstr>
      <vt:lpstr>'May17-Exh18-WDA_IP_2014'!Print_Titles</vt:lpstr>
      <vt:lpstr>'May17-Exh19-College_IP_2014'!Print_Titles</vt:lpstr>
      <vt:lpstr>'May17-Exh20-Foster_IP'!Print_Titles</vt:lpstr>
      <vt:lpstr>'May17-Exh22-HAN'!Print_Titles</vt:lpstr>
      <vt:lpstr>'May17-Exh23-HMP'!Print_Titles</vt:lpstr>
      <vt:lpstr>'May17-Exh24-ALL No RB'!Print_Titles</vt:lpstr>
      <vt:lpstr>'May17-Exh24-ALL RB'!Print_Titles</vt:lpstr>
      <vt:lpstr>'May17-Exh24-ALL RB SavLim'!Print_Titles</vt:lpstr>
      <vt:lpstr>'May17-Exh3-TANFU'!Print_Titles</vt:lpstr>
      <vt:lpstr>'May17-Exh4-TANFR'!Print_Titles</vt:lpstr>
      <vt:lpstr>'May17-Exh5-ABDU'!Print_Titles</vt:lpstr>
      <vt:lpstr>'May17-Exh6-ABDR'!Print_Titles</vt:lpstr>
      <vt:lpstr>'May17-Exh7-NDWA_All_2013'!Print_Titles</vt:lpstr>
      <vt:lpstr>'May17-Exh8-NDWA_ESI_2014'!Print_Titles</vt:lpstr>
      <vt:lpstr>'May17-Exh9-WDA_All_2013'!Print_Titles</vt:lpstr>
      <vt:lpstr>'May2017-Exh21-NonProfit_IP'!Print_Titles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dc:creator>
  <cp:lastModifiedBy>Sherris Harris-Ososanya</cp:lastModifiedBy>
  <cp:lastPrinted>2017-05-23T12:43:55Z</cp:lastPrinted>
  <dcterms:created xsi:type="dcterms:W3CDTF">2008-10-21T20:34:46Z</dcterms:created>
  <dcterms:modified xsi:type="dcterms:W3CDTF">2017-05-26T13:20:33Z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