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DSH\FFY24\"/>
    </mc:Choice>
  </mc:AlternateContent>
  <xr:revisionPtr revIDLastSave="0" documentId="13_ncr:1_{E548BF70-A68C-42AC-9288-07CA8C3CC7E6}" xr6:coauthVersionLast="47" xr6:coauthVersionMax="47" xr10:uidLastSave="{00000000-0000-0000-0000-000000000000}"/>
  <bookViews>
    <workbookView xWindow="-120" yWindow="-120" windowWidth="29040" windowHeight="15840" xr2:uid="{C07E3CE1-6537-492E-93A0-BAA2A5D3BDEB}"/>
  </bookViews>
  <sheets>
    <sheet name="ALLOC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'[2]Hospital Facility Data'!#REF!</definedName>
    <definedName name="_Key1" hidden="1">'[2]Hospital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[3]Hospital_Details!$A$158:$IV$158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[3]Hospital_Details!$A$159:$IV$159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[3]Hospital_Details!$A$138:$IV$138</definedName>
    <definedName name="Cost_Red_Fact">[3]Hospital_Details!$A$137:$IV$137</definedName>
    <definedName name="cost_UPL_sfy11" localSheetId="0">#REF!</definedName>
    <definedName name="cost_UPL_sfy11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[3]Hospital_Details!$A$169:$IV$169</definedName>
    <definedName name="EY_11A">[3]Hospital_Details!$A$168:$IV$168</definedName>
    <definedName name="EY_18">[3]Hospital_Details!$A$172:$IV$172</definedName>
    <definedName name="EY_27">[3]Hospital_Details!$A$170:$IV$170</definedName>
    <definedName name="EY_29">[3]Hospital_Details!$A$171:$IV$171</definedName>
    <definedName name="F_1041">[3]Hospital_Details!$A$211:$IV$211</definedName>
    <definedName name="F_166">[3]Hospital_Details!$A$367:$IV$367</definedName>
    <definedName name="F_1818H1">[3]Hospital_Details!$A$312:$IV$312</definedName>
    <definedName name="F_1818H2">[3]Hospital_Details!$A$314:$IV$314</definedName>
    <definedName name="F_1818H3">[3]Hospital_Details!$A$315:$IV$315</definedName>
    <definedName name="F_1819AH1">[3]Hospital_Details!$A$318:$IV$318</definedName>
    <definedName name="F_1819AH2">[3]Hospital_Details!$A$319:$IV$319</definedName>
    <definedName name="F_1819AH3">[3]Hospital_Details!$A$320:$IV$320</definedName>
    <definedName name="F_1819H1">[3]Hospital_Details!$A$313:$IV$313</definedName>
    <definedName name="F_1820">[3]Hospital_Details!$A$300:$IV$300</definedName>
    <definedName name="F_1821">[3]Hospital_Details!$A$289:$IV$289</definedName>
    <definedName name="F_1826">[3]Hospital_Details!$A$26:$IV$26</definedName>
    <definedName name="F_1827" localSheetId="0">[3]Hospital_Details!#REF!</definedName>
    <definedName name="F_1827">[3]Hospital_Details!#REF!</definedName>
    <definedName name="F_1827x" localSheetId="0">[3]Hospital_Details!#REF!</definedName>
    <definedName name="F_1827x">[3]Hospital_Details!#REF!</definedName>
    <definedName name="F_1828">[3]Hospital_Details!$A$23:$IV$23</definedName>
    <definedName name="F_1833">[3]Hospital_Details!$A$22:$IV$22</definedName>
    <definedName name="F_1838">[3]Hospital_Details!$A$24:$IV$24</definedName>
    <definedName name="F_1838A">[3]Hospital_Details!$A$25:$IV$25</definedName>
    <definedName name="F_1854">[3]Hospital_Details!$A$64:$IV$64</definedName>
    <definedName name="F_1861">[3]Hospital_Details!$A$70:$IV$70</definedName>
    <definedName name="F_1861A">[3]Hospital_Details!$A$71:$IV$71</definedName>
    <definedName name="F_1875">[3]Hospital_Details!$A$65:$IV$65</definedName>
    <definedName name="F_1882">[3]Hospital_Details!$A$72:$IV$72</definedName>
    <definedName name="F_1882A">[3]Hospital_Details!$A$73:$IV$73</definedName>
    <definedName name="F_1896">[3]Hospital_Details!$A$66:$IV$66</definedName>
    <definedName name="F_1903">[3]Hospital_Details!$A$74:$IV$74</definedName>
    <definedName name="F_1903A">[3]Hospital_Details!$A$75:$IV$75</definedName>
    <definedName name="F_1912">[3]Hospital_Details!$A$61:$IV$61</definedName>
    <definedName name="F_1915">[3]Hospital_Details!$A$88:$IV$88</definedName>
    <definedName name="F_1917">[3]Hospital_Details!$A$62:$IV$62</definedName>
    <definedName name="F_1920">[3]Hospital_Details!$A$89:$IV$89</definedName>
    <definedName name="F_1922">[3]Hospital_Details!$A$63:$IV$63</definedName>
    <definedName name="F_1925">[3]Hospital_Details!$A$90:$IV$90</definedName>
    <definedName name="F_1946">[3]Hospital_Details!$A$187:$IV$187</definedName>
    <definedName name="F_1946x">[3]Hospital_Details!$A$188:$IV$188</definedName>
    <definedName name="F_1950">[3]Hospital_Details!$A$189:$IV$189</definedName>
    <definedName name="F_1950A">[3]Hospital_Details!$A$190:$IV$190</definedName>
    <definedName name="F_1962">[3]Hospital_Details!$A$204:$IV$204</definedName>
    <definedName name="F_1962x">[3]Hospital_Details!$A$205:$IV$205</definedName>
    <definedName name="F_1966">[3]Hospital_Details!$A$206:$IV$206</definedName>
    <definedName name="F_1966A">[3]Hospital_Details!$A$207:$IV$207</definedName>
    <definedName name="F_949">[3]Hospital_Details!$A$38:$IV$38</definedName>
    <definedName name="F_995">[3]Hospital_Details!$A$194:$IV$194</definedName>
    <definedName name="FORMULA_A">[3]Hospital_Details!$A$163:$IV$163</definedName>
    <definedName name="FORMULA_B">[3]Hospital_Details!$A$164:$IV$164</definedName>
    <definedName name="FORMULA_C">[3]Hospital_Details!$A$165:$IV$165</definedName>
    <definedName name="FORMULA_D">[3]Hospital_Details!$A$174:$IV$174</definedName>
    <definedName name="FORMULA_T">[3]Hospital_Details!$A$28:$IV$28</definedName>
    <definedName name="GME_COST">[3]Hospital_Details!$A$161:$IV$161</definedName>
    <definedName name="GME_GL">[3]Hospital_Details!$A$179:$IV$179</definedName>
    <definedName name="GME_MGN">[3]Hospital_Details!$A$181:$IV$181</definedName>
    <definedName name="GME_REV">[3]Hospital_Details!$A$153:$IV$153</definedName>
    <definedName name="H_109">[3]Hospital_Details!$A$220:$IV$220</definedName>
    <definedName name="H_110">[3]Hospital_Details!$A$221:$IV$221</definedName>
    <definedName name="H_111">[3]Hospital_Details!$A$222:$IV$222</definedName>
    <definedName name="H_133">[3]Hospital_Details!$A$167:$IV$167</definedName>
    <definedName name="H_134">[3]Hospital_Details!$A$175:$IV$175</definedName>
    <definedName name="H_135">[3]Hospital_Details!$A$176:$IV$176</definedName>
    <definedName name="H_136">[3]Hospital_Details!$A$155:$IV$155</definedName>
    <definedName name="H_137">[3]Hospital_Details!$A$156:$IV$156</definedName>
    <definedName name="H_170">[3]Hospital_Details!$A$247:$IV$247</definedName>
    <definedName name="H_171">[3]Hospital_Details!$A$248:$IV$248</definedName>
    <definedName name="H_172">[3]Hospital_Details!$A$249:$IV$249</definedName>
    <definedName name="H_173">[3]Hospital_Details!$A$239:$IV$239</definedName>
    <definedName name="H_174">[3]Hospital_Details!$A$240:$IV$240</definedName>
    <definedName name="H_180">[3]Hospital_Details!$A$369:$IV$369</definedName>
    <definedName name="H_183">[3]Hospital_Details!$A$118:$IV$118</definedName>
    <definedName name="H_187">[3]Hospital_Details!$A$177:$IV$177</definedName>
    <definedName name="H_190">[3]Hospital_Details!$A$241:$IV$241</definedName>
    <definedName name="H_219">[3]Hospital_Details!$A$258:$IV$258</definedName>
    <definedName name="H_236">[3]Hospital_Details!$A$328:$IV$328</definedName>
    <definedName name="H_236_A" localSheetId="0">[3]Hospital_Details!#REF!</definedName>
    <definedName name="H_236_A">[3]Hospital_Details!#REF!</definedName>
    <definedName name="H_237">[3]Hospital_Details!$A$242:$IV$242</definedName>
    <definedName name="H_238">[3]Hospital_Details!$A$243:$IV$243</definedName>
    <definedName name="H_33">[3]Hospital_Details!$A$134:$IV$134</definedName>
    <definedName name="H_331">[3]Hospital_Details!$A$115:$IV$115</definedName>
    <definedName name="H_332">[3]Hospital_Details!$A$123:$IV$123</definedName>
    <definedName name="H_333">[3]Hospital_Details!$A$130:$IV$130</definedName>
    <definedName name="H_336">[3]Hospital_Details!$A$67:$IV$67</definedName>
    <definedName name="H_337">[3]Hospital_Details!$A$68:$IV$68</definedName>
    <definedName name="H_338">[3]Hospital_Details!$A$69:$IV$69</definedName>
    <definedName name="H_36">[3]Hospital_Details!$A$135:$IV$135</definedName>
    <definedName name="H_47">[3]Hospital_Details!$A$226:$IV$226</definedName>
    <definedName name="H_48">[3]Hospital_Details!$A$227:$IV$227</definedName>
    <definedName name="H_51">[3]Hospital_Details!$A$111:$IV$111</definedName>
    <definedName name="H_52">[3]Hospital_Details!$A$112:$IV$112</definedName>
    <definedName name="H_53">[3]Hospital_Details!$A$113:$IV$113</definedName>
    <definedName name="H_532">[3]Hospital_Details!$A$259:$IV$259</definedName>
    <definedName name="H_553">[3]Hospital_Details!$A$116:$IV$116</definedName>
    <definedName name="H_554">[3]Hospital_Details!$A$124:$IV$124</definedName>
    <definedName name="H_555">[3]Hospital_Details!$A$131:$IV$131</definedName>
    <definedName name="H_556">[3]Hospital_Details!$A$117:$IV$117</definedName>
    <definedName name="H_557">[3]Hospital_Details!$A$125:$IV$125</definedName>
    <definedName name="H_558">[3]Hospital_Details!$A$132:$IV$132</definedName>
    <definedName name="H_559">[3]Hospital_Details!$A$76:$IV$76</definedName>
    <definedName name="H_56">[3]Hospital_Details!$A$114:$IV$114</definedName>
    <definedName name="H_560">[3]Hospital_Details!$A$79:$IV$79</definedName>
    <definedName name="H_561">[3]Hospital_Details!$A$82:$IV$82</definedName>
    <definedName name="H_562">[3]Hospital_Details!$A$85:$IV$85</definedName>
    <definedName name="H_563">[3]Hospital_Details!$A$77:$IV$77</definedName>
    <definedName name="H_564">[3]Hospital_Details!$A$80:$IV$80</definedName>
    <definedName name="H_565">[3]Hospital_Details!$A$83:$IV$83</definedName>
    <definedName name="H_566">[3]Hospital_Details!$A$86:$IV$86</definedName>
    <definedName name="H_567">[3]Hospital_Details!$A$78:$IV$78</definedName>
    <definedName name="H_568">[3]Hospital_Details!$A$81:$IV$81</definedName>
    <definedName name="H_569">[3]Hospital_Details!$A$84:$IV$84</definedName>
    <definedName name="H_57">[3]Hospital_Details!$A$119:$IV$119</definedName>
    <definedName name="H_570">[3]Hospital_Details!$A$87:$IV$87</definedName>
    <definedName name="H_58">[3]Hospital_Details!$A$120:$IV$120</definedName>
    <definedName name="H_580">[3]Hospital_Details!$A$133:$IV$133</definedName>
    <definedName name="H_581">[3]Hospital_Details!$A$157:$IV$157</definedName>
    <definedName name="H_59">[3]Hospital_Details!$A$121:$IV$121</definedName>
    <definedName name="H_60">[3]Hospital_Details!$A$122:$IV$122</definedName>
    <definedName name="H_61">[3]Hospital_Details!$A$126:$IV$126</definedName>
    <definedName name="H_62">[3]Hospital_Details!$A$127:$IV$127</definedName>
    <definedName name="H_626">[3]Hospital_Details!$A$32:$IV$32</definedName>
    <definedName name="H_627" localSheetId="0">[3]Hospital_Details!#REF!</definedName>
    <definedName name="H_627">[3]Hospital_Details!#REF!</definedName>
    <definedName name="H_628" localSheetId="0">[3]Hospital_Details!#REF!</definedName>
    <definedName name="H_628">[3]Hospital_Details!#REF!</definedName>
    <definedName name="H_63">[3]Hospital_Details!$A$128:$IV$128</definedName>
    <definedName name="H_64">[3]Hospital_Details!$A$129:$IV$129</definedName>
    <definedName name="H_65">[3]Hospital_Details!$A$39:$IV$39</definedName>
    <definedName name="H_66">[3]Hospital_Details!$A$40:$IV$40</definedName>
    <definedName name="H_67">[3]Hospital_Details!$A$41:$IV$41</definedName>
    <definedName name="H_68">[3]Hospital_Details!$A$42:$IV$42</definedName>
    <definedName name="H_805" localSheetId="0">[3]Hospital_Details!#REF!</definedName>
    <definedName name="H_805">[3]Hospital_Details!#REF!</definedName>
    <definedName name="H_806" localSheetId="0">[3]Hospital_Details!#REF!</definedName>
    <definedName name="H_806">[3]Hospital_Details!#REF!</definedName>
    <definedName name="H_83">[3]Hospital_Details!$A$368:$IV$368</definedName>
    <definedName name="H_93" localSheetId="0">[3]Hospital_Details!#REF!</definedName>
    <definedName name="H_93">[3]Hospital_Details!#REF!</definedName>
    <definedName name="HHA_COST">[3]Hospital_Details!$A$245:$IV$245</definedName>
    <definedName name="HHA_GL">[3]Hospital_Details!$A$251:$IV$251</definedName>
    <definedName name="HHA_REV">[3]Hospital_Details!$A$234:$IV$234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[3]Hospital_Details!$B$302</definedName>
    <definedName name="IME_FFS">[3]Hospital_Details!$A$301:$IV$301</definedName>
    <definedName name="INLIER_SIM_MC_PMTS">[3]Hospital_Details!$A$306:$IV$306</definedName>
    <definedName name="INP_COST">[3]Hospital_Details!$A$35:$IV$35</definedName>
    <definedName name="INP_GL">[3]Hospital_Details!$A$50:$IV$50</definedName>
    <definedName name="INP_GL_NODSH">[3]Hospital_Details!$A$291:$IV$291</definedName>
    <definedName name="INP_GL_NODSH_IME2.7">[3]Hospital_Details!$A$331:$IV$331</definedName>
    <definedName name="INP_GL_NODSH_IME3.2">[3]Hospital_Details!$A$331:$IV$331</definedName>
    <definedName name="INP_REV">[3]Hospital_Details!$A$19:$IV$19</definedName>
    <definedName name="INP_REV_NODSH">[3]Hospital_Details!$A$286:$IV$286</definedName>
    <definedName name="INP_REV_NODSH_IME2.7">[3]Hospital_Details!$A$296:$IV$296</definedName>
    <definedName name="INP_REV_NODSH_IME3.2">[3]Hospital_Details!$A$296:$IV$296</definedName>
    <definedName name="IRB">[3]Hospital_Details!$C$329</definedName>
    <definedName name="MCpct_103">[3]Hospital_Details!$A$323:$IV$323</definedName>
    <definedName name="MCpct_104">[3]Hospital_Details!$A$324:$IV$324</definedName>
    <definedName name="MCpct_105">[3]Hospital_Details!$A$325:$IV$325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[3]Hospital_Details!$A$109:$IV$109</definedName>
    <definedName name="OUT_GL">[3]Hospital_Details!$A$148:$IV$148</definedName>
    <definedName name="OUT_REV">[3]Hospital_Details!$A$55:$IV$55</definedName>
    <definedName name="PaymentDataSet" localSheetId="0">#REF!</definedName>
    <definedName name="PaymentDataSet">#REF!</definedName>
    <definedName name="Print_Area_1">#REF!</definedName>
    <definedName name="Print_Area_MI">'[4]table 2.5'!$B$4:$T$154</definedName>
    <definedName name="_xlnm.Print_Titles" localSheetId="0">ALLOCATIONS!$1:$12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[3]Hospital_Details!$A$310:$IV$310</definedName>
    <definedName name="SNF_COST">[3]Hospital_Details!$A$224:$IV$224</definedName>
    <definedName name="SNF_GL">[3]Hospital_Details!$A$229:$IV$229</definedName>
    <definedName name="SNF_REV">[3]Hospital_Details!$A$218:$IV$218</definedName>
    <definedName name="SUB_I_COST">[3]Hospital_Details!$A$192:$IV$192</definedName>
    <definedName name="SUB_I_GL">[3]Hospital_Details!$A$196:$IV$196</definedName>
    <definedName name="SUB_I_REV">[3]Hospital_Details!$A$184:$IV$184</definedName>
    <definedName name="SUB_II_COST">[3]Hospital_Details!$A$209:$IV$209</definedName>
    <definedName name="SUB_II_GL">[3]Hospital_Details!$A$213:$IV$213</definedName>
    <definedName name="SUB_II_REV">[3]Hospital_Details!$A$201:$IV$201</definedName>
    <definedName name="SWING_COST">[3]Hospital_Details!$A$261:$IV$261</definedName>
    <definedName name="SWING_GL">[3]Hospital_Details!$A$281:$IV$281</definedName>
    <definedName name="SWING_MGN">[3]Hospital_Details!$A$283:$IV$283</definedName>
    <definedName name="SWING_REV">[3]Hospital_Details!$A$256:$IV$256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[3]Hospital_Details!$A$14:$IV$14</definedName>
    <definedName name="TOT_GL">[3]Hospital_Details!$A$15:$IV$15</definedName>
    <definedName name="TOT_REV">[3]Hospital_Details!$A$13:$IV$13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2" i="1" l="1"/>
  <c r="T81" i="1"/>
  <c r="N81" i="1"/>
  <c r="T80" i="1"/>
  <c r="N80" i="1"/>
  <c r="T79" i="1"/>
  <c r="N79" i="1"/>
  <c r="T78" i="1"/>
  <c r="N78" i="1"/>
  <c r="T77" i="1"/>
  <c r="N77" i="1"/>
  <c r="H82" i="1"/>
  <c r="T69" i="1"/>
  <c r="N69" i="1"/>
  <c r="T68" i="1"/>
  <c r="N68" i="1"/>
  <c r="T67" i="1"/>
  <c r="R67" i="1"/>
  <c r="N67" i="1"/>
  <c r="T66" i="1"/>
  <c r="N66" i="1"/>
  <c r="T65" i="1"/>
  <c r="N65" i="1"/>
  <c r="T64" i="1"/>
  <c r="N64" i="1"/>
  <c r="T63" i="1"/>
  <c r="N63" i="1"/>
  <c r="T62" i="1"/>
  <c r="N62" i="1"/>
  <c r="T61" i="1"/>
  <c r="N61" i="1"/>
  <c r="T60" i="1"/>
  <c r="N60" i="1"/>
  <c r="T59" i="1"/>
  <c r="N59" i="1"/>
  <c r="T58" i="1"/>
  <c r="N58" i="1"/>
  <c r="T57" i="1"/>
  <c r="N57" i="1"/>
  <c r="T56" i="1"/>
  <c r="N56" i="1"/>
  <c r="T55" i="1"/>
  <c r="N55" i="1"/>
  <c r="T54" i="1"/>
  <c r="N54" i="1"/>
  <c r="T53" i="1"/>
  <c r="N53" i="1"/>
  <c r="T52" i="1"/>
  <c r="N52" i="1"/>
  <c r="T51" i="1"/>
  <c r="N51" i="1"/>
  <c r="T50" i="1"/>
  <c r="N50" i="1"/>
  <c r="B70" i="1"/>
  <c r="T49" i="1"/>
  <c r="N49" i="1"/>
  <c r="T48" i="1"/>
  <c r="N48" i="1"/>
  <c r="B72" i="1"/>
  <c r="T47" i="1"/>
  <c r="N47" i="1"/>
  <c r="T46" i="1"/>
  <c r="N46" i="1"/>
  <c r="T45" i="1"/>
  <c r="N45" i="1"/>
  <c r="H70" i="1"/>
  <c r="T37" i="1"/>
  <c r="N37" i="1"/>
  <c r="T36" i="1"/>
  <c r="N36" i="1"/>
  <c r="T35" i="1"/>
  <c r="N35" i="1"/>
  <c r="T34" i="1"/>
  <c r="N34" i="1"/>
  <c r="T33" i="1"/>
  <c r="N33" i="1"/>
  <c r="T32" i="1"/>
  <c r="N32" i="1"/>
  <c r="B40" i="1"/>
  <c r="T31" i="1"/>
  <c r="R31" i="1"/>
  <c r="N31" i="1"/>
  <c r="T30" i="1"/>
  <c r="N30" i="1"/>
  <c r="T29" i="1"/>
  <c r="N29" i="1"/>
  <c r="H38" i="1"/>
  <c r="B26" i="1"/>
  <c r="G25" i="1"/>
  <c r="T21" i="1"/>
  <c r="N21" i="1"/>
  <c r="T20" i="1"/>
  <c r="N20" i="1"/>
  <c r="T19" i="1"/>
  <c r="R19" i="1"/>
  <c r="N19" i="1"/>
  <c r="T18" i="1"/>
  <c r="N18" i="1"/>
  <c r="B22" i="1"/>
  <c r="T17" i="1"/>
  <c r="N17" i="1"/>
  <c r="T16" i="1"/>
  <c r="N16" i="1"/>
  <c r="B24" i="1"/>
  <c r="T15" i="1"/>
  <c r="N15" i="1"/>
  <c r="T14" i="1"/>
  <c r="N14" i="1"/>
  <c r="H22" i="1"/>
  <c r="C6" i="1"/>
  <c r="B6" i="1"/>
  <c r="C4" i="1"/>
  <c r="B3" i="1"/>
  <c r="B9" i="1" l="1"/>
  <c r="B23" i="1" s="1"/>
  <c r="B25" i="1" s="1"/>
  <c r="N22" i="1"/>
  <c r="P18" i="1" s="1"/>
  <c r="P17" i="1"/>
  <c r="B10" i="1"/>
  <c r="B39" i="1" s="1"/>
  <c r="N70" i="1"/>
  <c r="O54" i="1" s="1"/>
  <c r="P47" i="1"/>
  <c r="N82" i="1"/>
  <c r="O79" i="1" s="1"/>
  <c r="Q79" i="1" s="1"/>
  <c r="R79" i="1" s="1"/>
  <c r="B38" i="1"/>
  <c r="B8" i="1" s="1"/>
  <c r="O65" i="1"/>
  <c r="N38" i="1"/>
  <c r="P34" i="1" s="1"/>
  <c r="O30" i="1"/>
  <c r="P32" i="1" l="1"/>
  <c r="O80" i="1"/>
  <c r="Q80" i="1" s="1"/>
  <c r="R80" i="1" s="1"/>
  <c r="O77" i="1"/>
  <c r="O78" i="1"/>
  <c r="Q78" i="1" s="1"/>
  <c r="R78" i="1" s="1"/>
  <c r="O32" i="1"/>
  <c r="P33" i="1"/>
  <c r="O37" i="1"/>
  <c r="O36" i="1"/>
  <c r="O29" i="1"/>
  <c r="P37" i="1"/>
  <c r="P36" i="1"/>
  <c r="P30" i="1"/>
  <c r="O20" i="1"/>
  <c r="P20" i="1"/>
  <c r="P14" i="1"/>
  <c r="O16" i="1"/>
  <c r="P16" i="1"/>
  <c r="O15" i="1"/>
  <c r="O18" i="1"/>
  <c r="O17" i="1"/>
  <c r="P15" i="1"/>
  <c r="O21" i="1"/>
  <c r="O14" i="1"/>
  <c r="O19" i="1"/>
  <c r="P21" i="1"/>
  <c r="P66" i="1"/>
  <c r="P46" i="1"/>
  <c r="O68" i="1"/>
  <c r="P68" i="1"/>
  <c r="O62" i="1"/>
  <c r="O81" i="1"/>
  <c r="Q81" i="1" s="1"/>
  <c r="R81" i="1" s="1"/>
  <c r="P29" i="1"/>
  <c r="P52" i="1"/>
  <c r="O52" i="1"/>
  <c r="P60" i="1"/>
  <c r="P51" i="1"/>
  <c r="O60" i="1"/>
  <c r="O45" i="1"/>
  <c r="P45" i="1"/>
  <c r="P58" i="1"/>
  <c r="P62" i="1"/>
  <c r="P54" i="1"/>
  <c r="B71" i="1"/>
  <c r="B73" i="1" s="1"/>
  <c r="Q54" i="1" s="1"/>
  <c r="R54" i="1" s="1"/>
  <c r="P50" i="1"/>
  <c r="O64" i="1"/>
  <c r="Q77" i="1"/>
  <c r="O35" i="1"/>
  <c r="O59" i="1"/>
  <c r="O50" i="1"/>
  <c r="Q18" i="1"/>
  <c r="R18" i="1" s="1"/>
  <c r="P59" i="1"/>
  <c r="O48" i="1"/>
  <c r="P35" i="1"/>
  <c r="O69" i="1"/>
  <c r="O34" i="1"/>
  <c r="P56" i="1"/>
  <c r="B41" i="1"/>
  <c r="O56" i="1"/>
  <c r="O46" i="1"/>
  <c r="P69" i="1"/>
  <c r="O33" i="1"/>
  <c r="O63" i="1"/>
  <c r="P61" i="1"/>
  <c r="Q17" i="1"/>
  <c r="R17" i="1" s="1"/>
  <c r="O47" i="1"/>
  <c r="O31" i="1"/>
  <c r="P49" i="1"/>
  <c r="P63" i="1"/>
  <c r="O58" i="1"/>
  <c r="P55" i="1"/>
  <c r="O49" i="1"/>
  <c r="O53" i="1"/>
  <c r="O51" i="1"/>
  <c r="O57" i="1"/>
  <c r="O55" i="1"/>
  <c r="P53" i="1"/>
  <c r="P48" i="1"/>
  <c r="P57" i="1"/>
  <c r="P64" i="1"/>
  <c r="O61" i="1"/>
  <c r="P65" i="1"/>
  <c r="O66" i="1"/>
  <c r="O67" i="1"/>
  <c r="Q20" i="1" l="1"/>
  <c r="R20" i="1" s="1"/>
  <c r="Q32" i="1"/>
  <c r="R32" i="1" s="1"/>
  <c r="Q21" i="1"/>
  <c r="R21" i="1" s="1"/>
  <c r="Q16" i="1"/>
  <c r="R16" i="1" s="1"/>
  <c r="Q15" i="1"/>
  <c r="R15" i="1" s="1"/>
  <c r="Q14" i="1"/>
  <c r="P22" i="1"/>
  <c r="O38" i="1"/>
  <c r="O22" i="1"/>
  <c r="Q62" i="1"/>
  <c r="R62" i="1" s="1"/>
  <c r="Q22" i="1"/>
  <c r="Q23" i="1" s="1"/>
  <c r="R14" i="1"/>
  <c r="Q34" i="1"/>
  <c r="R34" i="1" s="1"/>
  <c r="Q69" i="1"/>
  <c r="R69" i="1" s="1"/>
  <c r="P70" i="1"/>
  <c r="Q63" i="1"/>
  <c r="R63" i="1" s="1"/>
  <c r="Q48" i="1"/>
  <c r="R48" i="1" s="1"/>
  <c r="Q45" i="1"/>
  <c r="O70" i="1"/>
  <c r="Q29" i="1"/>
  <c r="Q61" i="1"/>
  <c r="R61" i="1" s="1"/>
  <c r="Q65" i="1"/>
  <c r="R65" i="1" s="1"/>
  <c r="Q30" i="1"/>
  <c r="R30" i="1" s="1"/>
  <c r="Q55" i="1"/>
  <c r="R55" i="1" s="1"/>
  <c r="Q33" i="1"/>
  <c r="R33" i="1" s="1"/>
  <c r="Q37" i="1"/>
  <c r="R37" i="1" s="1"/>
  <c r="Q68" i="1"/>
  <c r="R68" i="1" s="1"/>
  <c r="Q64" i="1"/>
  <c r="R64" i="1" s="1"/>
  <c r="Q66" i="1"/>
  <c r="R66" i="1" s="1"/>
  <c r="Q57" i="1"/>
  <c r="R57" i="1" s="1"/>
  <c r="Q60" i="1"/>
  <c r="R60" i="1" s="1"/>
  <c r="Q36" i="1"/>
  <c r="R36" i="1" s="1"/>
  <c r="Q51" i="1"/>
  <c r="R51" i="1" s="1"/>
  <c r="Q50" i="1"/>
  <c r="R50" i="1" s="1"/>
  <c r="Q52" i="1"/>
  <c r="R52" i="1" s="1"/>
  <c r="Q46" i="1"/>
  <c r="R46" i="1" s="1"/>
  <c r="R77" i="1"/>
  <c r="Q82" i="1"/>
  <c r="Q47" i="1"/>
  <c r="R47" i="1" s="1"/>
  <c r="Q53" i="1"/>
  <c r="R53" i="1" s="1"/>
  <c r="Q59" i="1"/>
  <c r="R59" i="1" s="1"/>
  <c r="Q49" i="1"/>
  <c r="R49" i="1" s="1"/>
  <c r="Q35" i="1"/>
  <c r="R35" i="1" s="1"/>
  <c r="Q58" i="1"/>
  <c r="R58" i="1" s="1"/>
  <c r="Q56" i="1"/>
  <c r="R56" i="1" s="1"/>
  <c r="O82" i="1"/>
  <c r="P38" i="1"/>
  <c r="Q38" i="1" l="1"/>
  <c r="Q39" i="1" s="1"/>
  <c r="R29" i="1"/>
  <c r="R45" i="1"/>
  <c r="Q70" i="1"/>
  <c r="Q71" i="1" s="1"/>
</calcChain>
</file>

<file path=xl/sharedStrings.xml><?xml version="1.0" encoding="utf-8"?>
<sst xmlns="http://schemas.openxmlformats.org/spreadsheetml/2006/main" count="190" uniqueCount="180">
  <si>
    <t>Federal Fiscal Year 2024 DSH</t>
  </si>
  <si>
    <t>Private &amp; Community Hospitals</t>
  </si>
  <si>
    <t>IMD (DMH Pays State Share)</t>
  </si>
  <si>
    <t>DSH Allocation</t>
  </si>
  <si>
    <t xml:space="preserve">OHCA State Share @ 32.10% </t>
  </si>
  <si>
    <t xml:space="preserve">DMH State Share @ 32.10% </t>
  </si>
  <si>
    <t xml:space="preserve">OU State Share @ 32.10% </t>
  </si>
  <si>
    <t xml:space="preserve">Federal Share @ 67.91% 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</si>
  <si>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</si>
  <si>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</si>
  <si>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</si>
  <si>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</si>
  <si>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</si>
  <si>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</si>
  <si>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</si>
  <si>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</si>
  <si>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</si>
  <si>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</si>
  <si>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</si>
  <si>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</si>
  <si>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</si>
  <si>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</si>
  <si>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</si>
  <si>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</si>
  <si>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</si>
  <si>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</si>
  <si>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</si>
  <si>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</si>
  <si>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</si>
  <si>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</si>
  <si>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</si>
  <si>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</si>
  <si>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 OKLAHOMA CITY HOSPITAL CORPORATION</t>
  </si>
  <si>
    <t>100700200A</t>
  </si>
  <si>
    <t>MERCY HOSPITAL OKLAHOMA CITY</t>
  </si>
  <si>
    <t>100699390A</t>
  </si>
  <si>
    <t>NORMAN REGIONAL HOSPITAL</t>
  </si>
  <si>
    <t>100700690A</t>
  </si>
  <si>
    <t>SAINT FRANCIS HOSPITAL</t>
  </si>
  <si>
    <t>100699570A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</si>
  <si>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</si>
  <si>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</si>
  <si>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</si>
  <si>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</si>
  <si>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</si>
  <si>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</si>
  <si>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</si>
  <si>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</si>
  <si>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</si>
  <si>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</si>
  <si>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</si>
  <si>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</si>
  <si>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</si>
  <si>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PONCA CITY</t>
  </si>
  <si>
    <t>100699420A</t>
  </si>
  <si>
    <t>DUNCAN REGIONAL HOSPITAL</t>
  </si>
  <si>
    <t>100700120A</t>
  </si>
  <si>
    <t>INTEGRIS BASS MEM BAP</t>
  </si>
  <si>
    <t>100699500A</t>
  </si>
  <si>
    <t>JANE PHILLIPS EP HSP</t>
  </si>
  <si>
    <t>100699490A</t>
  </si>
  <si>
    <t>MERCY HOSPITAL ADA, INC.</t>
  </si>
  <si>
    <t>200509290A</t>
  </si>
  <si>
    <t>MERCY HOSPITAL ARDMORE INC</t>
  </si>
  <si>
    <t>100262320C</t>
  </si>
  <si>
    <t>ST MARY'S REGIONAL MEDICAL CENTER</t>
  </si>
  <si>
    <t>100690020A</t>
  </si>
  <si>
    <t>STILLWATER MEDICAL CENTER</t>
  </si>
  <si>
    <t>100699950A</t>
  </si>
  <si>
    <t>Subtotal Beds for Hospitals &gt;= 100 &lt; 300 Beds</t>
  </si>
  <si>
    <t>Percent of Total Medicaid Days for Private &amp; Community Hospitals with &lt; 300 Beds</t>
  </si>
  <si>
    <t>Group = Beds &lt; 100</t>
  </si>
  <si>
    <t>AHS CLAREMORE REGIONAL HOSPITAL, LLC</t>
  </si>
  <si>
    <t>200435950A</t>
  </si>
  <si>
    <t>AHS HENRYETTA HOSPITAL, LLC</t>
  </si>
  <si>
    <t>200045700C</t>
  </si>
  <si>
    <t>ALLIANCEHEALTH WOODWARD</t>
  </si>
  <si>
    <t>200019120A</t>
  </si>
  <si>
    <t>BAILEY MEDICAL CENTER LLC</t>
  </si>
  <si>
    <t>200102450A</t>
  </si>
  <si>
    <t>BLACKWELL REGIONAL HOSPITAL</t>
  </si>
  <si>
    <t>200668710A</t>
  </si>
  <si>
    <t>CHOCTAW MEMORIAL HOSPITAL</t>
  </si>
  <si>
    <t>100700720A</t>
  </si>
  <si>
    <t>DRUMRIGHT COMMUNITY HOSPITAL LLC</t>
  </si>
  <si>
    <t>200910710B</t>
  </si>
  <si>
    <t>HASKELL REGIONAL HOSPITAL INC.</t>
  </si>
  <si>
    <t>200925590A</t>
  </si>
  <si>
    <t>HILLCREST HOSPITAL CUSHING</t>
  </si>
  <si>
    <t>200044190A</t>
  </si>
  <si>
    <t>HILLCREST HOSPITAL PRYOR</t>
  </si>
  <si>
    <t>200735850A</t>
  </si>
  <si>
    <t>INTEGRIS CANADIAN VALLEY HOSPITAL</t>
  </si>
  <si>
    <t>100700610A</t>
  </si>
  <si>
    <t>INTEGRIS GROVE HOSPITAL</t>
  </si>
  <si>
    <t>100699700A</t>
  </si>
  <si>
    <t>INTEGRIS HEALTH EDMOND, INC.</t>
  </si>
  <si>
    <t>200405550A</t>
  </si>
  <si>
    <t>INTEGRIS MIAMI HOSPITAL</t>
  </si>
  <si>
    <t>100699440A</t>
  </si>
  <si>
    <t>LAKESIDE WOMEN'S CENTER OF OKLAHOMA CITY, LLC</t>
  </si>
  <si>
    <t>100745350B</t>
  </si>
  <si>
    <t>MEMORIAL HOSPITAL OF TEXAS COUNTY</t>
  </si>
  <si>
    <t>100699630A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</si>
  <si>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</si>
  <si>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</si>
  <si>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</si>
  <si>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</si>
  <si>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</si>
  <si>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</si>
  <si>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</si>
  <si>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</si>
  <si>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</si>
  <si>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</si>
  <si>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</si>
  <si>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</si>
  <si>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SEQUOYAH COUNTY CITY OF SALLISAW HOSPITAL AUTHORIT</t>
  </si>
  <si>
    <t>100700190A</t>
  </si>
  <si>
    <t>ST JOHN OWASSO</t>
  </si>
  <si>
    <t>200106410A</t>
  </si>
  <si>
    <t>STILLWATER MEDICAL - PERRY</t>
  </si>
  <si>
    <t>200417790W</t>
  </si>
  <si>
    <t>Subtotal Beds for Hospitals &lt; 100 Beds</t>
  </si>
  <si>
    <t>IMD</t>
  </si>
  <si>
    <t>CARL ALBERT COMM MHC</t>
  </si>
  <si>
    <t>100700640C</t>
  </si>
  <si>
    <t>GRIFFIN MEMORIAL HOSPITAL</t>
  </si>
  <si>
    <t>100690030B</t>
  </si>
  <si>
    <t>JIM TALIAFERRO MHC</t>
  </si>
  <si>
    <t>100700660B</t>
  </si>
  <si>
    <t>NORTHWEST CENTER FOR BEHAVIORAL HEALTH</t>
  </si>
  <si>
    <t>100704080B</t>
  </si>
  <si>
    <t>TULSA CENTER FOR BEHAVIORAL HEALTH</t>
  </si>
  <si>
    <t>100707460F</t>
  </si>
  <si>
    <t>37-0001, 37-T001</t>
  </si>
  <si>
    <t>37-0028</t>
  </si>
  <si>
    <t>37-0106</t>
  </si>
  <si>
    <t>37-0013</t>
  </si>
  <si>
    <t>37-0008</t>
  </si>
  <si>
    <t>37-0091 &amp; 37-T091</t>
  </si>
  <si>
    <t>37-0037</t>
  </si>
  <si>
    <t>37-0114</t>
  </si>
  <si>
    <t>37-0202</t>
  </si>
  <si>
    <t>37-0006</t>
  </si>
  <si>
    <t>37-0023</t>
  </si>
  <si>
    <t>37-0016</t>
  </si>
  <si>
    <t>37-0020</t>
  </si>
  <si>
    <t>37-0047</t>
  </si>
  <si>
    <t>37-0026</t>
  </si>
  <si>
    <t>37-0049</t>
  </si>
  <si>
    <t>37-0039</t>
  </si>
  <si>
    <t>37-0183</t>
  </si>
  <si>
    <t>37-0002</t>
  </si>
  <si>
    <t>37-0228</t>
  </si>
  <si>
    <t>37-0030</t>
  </si>
  <si>
    <t>37-0100</t>
  </si>
  <si>
    <t>37-1331</t>
  </si>
  <si>
    <t>37-1335</t>
  </si>
  <si>
    <t>37-0099</t>
  </si>
  <si>
    <t>37-0015</t>
  </si>
  <si>
    <t>37-0211</t>
  </si>
  <si>
    <t>37-0113</t>
  </si>
  <si>
    <t>37-0236</t>
  </si>
  <si>
    <t>37-0004</t>
  </si>
  <si>
    <t>37-0199</t>
  </si>
  <si>
    <t>37-1340</t>
  </si>
  <si>
    <t>37-1306</t>
  </si>
  <si>
    <t>37-1310</t>
  </si>
  <si>
    <t>37-1313</t>
  </si>
  <si>
    <t>37-1317</t>
  </si>
  <si>
    <t>37-1304</t>
  </si>
  <si>
    <t>37-1302</t>
  </si>
  <si>
    <t>37-0112</t>
  </si>
  <si>
    <t>37-0227</t>
  </si>
  <si>
    <t>37-0139</t>
  </si>
  <si>
    <t>37-4006</t>
  </si>
  <si>
    <t>37-4000</t>
  </si>
  <si>
    <t>37-4008</t>
  </si>
  <si>
    <t>37-4001</t>
  </si>
  <si>
    <t>37-4026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</si>
</sst>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  <numFmt numFmtId="167" formatCode="_(&quot;$&quot;* #,##0_);_(&quot;$&quot;* \(#,##0\);_(&quot;$&quot;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0" applyFont="1"/>
    <xf numFmtId="165" fontId="4" fillId="0" borderId="0" xfId="1" applyNumberFormat="1" applyFont="1"/>
    <xf numFmtId="0" fontId="3" fillId="0" borderId="4" xfId="1" applyNumberFormat="1" applyFont="1" applyFill="1" applyBorder="1" applyAlignment="1">
      <alignment horizontal="right"/>
    </xf>
    <xf numFmtId="44" fontId="5" fillId="0" borderId="5" xfId="2" applyFont="1" applyFill="1" applyBorder="1"/>
    <xf numFmtId="44" fontId="4" fillId="0" borderId="0" xfId="0" applyNumberFormat="1" applyFont="1"/>
    <xf numFmtId="0" fontId="3" fillId="0" borderId="6" xfId="1" applyNumberFormat="1" applyFont="1" applyFill="1" applyBorder="1" applyAlignment="1">
      <alignment horizontal="right"/>
    </xf>
    <xf numFmtId="44" fontId="5" fillId="2" borderId="5" xfId="2" applyFont="1" applyFill="1" applyBorder="1"/>
    <xf numFmtId="44" fontId="4" fillId="0" borderId="0" xfId="2" applyFont="1"/>
    <xf numFmtId="44" fontId="5" fillId="2" borderId="7" xfId="2" applyFont="1" applyFill="1" applyBorder="1"/>
    <xf numFmtId="166" fontId="4" fillId="0" borderId="0" xfId="0" applyNumberFormat="1" applyFont="1"/>
    <xf numFmtId="0" fontId="3" fillId="0" borderId="8" xfId="1" applyNumberFormat="1" applyFont="1" applyFill="1" applyBorder="1" applyAlignment="1">
      <alignment horizontal="right"/>
    </xf>
    <xf numFmtId="44" fontId="5" fillId="0" borderId="9" xfId="2" applyFont="1" applyBorder="1"/>
    <xf numFmtId="167" fontId="4" fillId="0" borderId="0" xfId="2" applyNumberFormat="1" applyFont="1"/>
    <xf numFmtId="43" fontId="4" fillId="0" borderId="0" xfId="0" applyNumberFormat="1" applyFont="1"/>
    <xf numFmtId="0" fontId="3" fillId="0" borderId="0" xfId="1" applyNumberFormat="1" applyFont="1" applyFill="1" applyBorder="1" applyAlignment="1">
      <alignment horizontal="left"/>
    </xf>
    <xf numFmtId="164" fontId="5" fillId="0" borderId="0" xfId="1" applyNumberFormat="1" applyFont="1"/>
    <xf numFmtId="0" fontId="6" fillId="0" borderId="0" xfId="0" applyFont="1"/>
    <xf numFmtId="165" fontId="6" fillId="0" borderId="0" xfId="1" applyNumberFormat="1" applyFont="1"/>
    <xf numFmtId="44" fontId="6" fillId="0" borderId="0" xfId="0" applyNumberFormat="1" applyFont="1"/>
    <xf numFmtId="164" fontId="6" fillId="0" borderId="0" xfId="1" applyNumberFormat="1" applyFont="1"/>
    <xf numFmtId="0" fontId="3" fillId="3" borderId="5" xfId="0" applyFont="1" applyFill="1" applyBorder="1" applyAlignment="1">
      <alignment wrapText="1"/>
    </xf>
    <xf numFmtId="164" fontId="3" fillId="3" borderId="5" xfId="1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164" fontId="3" fillId="3" borderId="5" xfId="1" applyNumberFormat="1" applyFont="1" applyFill="1" applyBorder="1" applyAlignment="1">
      <alignment horizontal="left" wrapText="1"/>
    </xf>
    <xf numFmtId="164" fontId="3" fillId="3" borderId="5" xfId="1" applyNumberFormat="1" applyFont="1" applyFill="1" applyBorder="1" applyAlignment="1">
      <alignment wrapText="1"/>
    </xf>
    <xf numFmtId="9" fontId="3" fillId="3" borderId="5" xfId="3" applyFont="1" applyFill="1" applyBorder="1" applyAlignment="1">
      <alignment wrapText="1"/>
    </xf>
    <xf numFmtId="165" fontId="3" fillId="3" borderId="5" xfId="1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5" xfId="0" applyFont="1" applyFill="1" applyBorder="1"/>
    <xf numFmtId="164" fontId="9" fillId="2" borderId="5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5" xfId="0" quotePrefix="1" applyFont="1" applyFill="1" applyBorder="1"/>
    <xf numFmtId="0" fontId="9" fillId="0" borderId="0" xfId="0" applyFont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164" fontId="10" fillId="0" borderId="5" xfId="1" applyNumberFormat="1" applyFont="1" applyFill="1" applyBorder="1" applyAlignment="1">
      <alignment horizontal="right" vertical="center"/>
    </xf>
    <xf numFmtId="10" fontId="4" fillId="0" borderId="5" xfId="3" applyNumberFormat="1" applyFont="1" applyFill="1" applyBorder="1" applyAlignment="1">
      <alignment horizontal="right"/>
    </xf>
    <xf numFmtId="44" fontId="10" fillId="0" borderId="5" xfId="2" applyFont="1" applyFill="1" applyBorder="1" applyAlignment="1">
      <alignment horizontal="right" vertical="center"/>
    </xf>
    <xf numFmtId="165" fontId="10" fillId="0" borderId="5" xfId="1" applyNumberFormat="1" applyFont="1" applyFill="1" applyBorder="1" applyAlignment="1">
      <alignment horizontal="right" vertical="center"/>
    </xf>
    <xf numFmtId="44" fontId="4" fillId="0" borderId="5" xfId="2" applyFont="1" applyFill="1" applyBorder="1" applyAlignment="1">
      <alignment horizontal="right"/>
    </xf>
    <xf numFmtId="10" fontId="6" fillId="0" borderId="5" xfId="3" applyNumberFormat="1" applyFont="1" applyBorder="1"/>
    <xf numFmtId="44" fontId="6" fillId="0" borderId="5" xfId="2" applyFont="1" applyBorder="1"/>
    <xf numFmtId="0" fontId="6" fillId="0" borderId="5" xfId="0" applyFont="1" applyBorder="1"/>
    <xf numFmtId="0" fontId="5" fillId="0" borderId="0" xfId="0" applyFont="1"/>
    <xf numFmtId="165" fontId="5" fillId="0" borderId="0" xfId="1" applyNumberFormat="1" applyFont="1"/>
    <xf numFmtId="44" fontId="5" fillId="0" borderId="0" xfId="2" applyFont="1"/>
    <xf numFmtId="10" fontId="5" fillId="0" borderId="0" xfId="3" applyNumberFormat="1" applyFont="1"/>
    <xf numFmtId="44" fontId="5" fillId="0" borderId="0" xfId="1" applyNumberFormat="1" applyFont="1"/>
    <xf numFmtId="164" fontId="6" fillId="0" borderId="0" xfId="0" applyNumberFormat="1" applyFont="1"/>
    <xf numFmtId="164" fontId="5" fillId="0" borderId="0" xfId="1" applyNumberFormat="1" applyFont="1" applyFill="1"/>
    <xf numFmtId="164" fontId="8" fillId="0" borderId="0" xfId="1" applyNumberFormat="1" applyFont="1" applyFill="1"/>
    <xf numFmtId="43" fontId="6" fillId="0" borderId="0" xfId="0" applyNumberFormat="1" applyFont="1"/>
    <xf numFmtId="164" fontId="9" fillId="2" borderId="5" xfId="1" applyNumberFormat="1" applyFont="1" applyFill="1" applyBorder="1"/>
    <xf numFmtId="165" fontId="9" fillId="2" borderId="5" xfId="1" applyNumberFormat="1" applyFont="1" applyFill="1" applyBorder="1"/>
    <xf numFmtId="43" fontId="4" fillId="0" borderId="5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 vertical="center"/>
    </xf>
    <xf numFmtId="10" fontId="6" fillId="0" borderId="5" xfId="3" applyNumberFormat="1" applyFont="1" applyFill="1" applyBorder="1"/>
    <xf numFmtId="164" fontId="8" fillId="0" borderId="0" xfId="1" applyNumberFormat="1" applyFont="1"/>
    <xf numFmtId="49" fontId="11" fillId="0" borderId="10" xfId="0" applyNumberFormat="1" applyFont="1" applyBorder="1" applyAlignment="1">
      <alignment horizontal="left" vertical="center"/>
    </xf>
    <xf numFmtId="10" fontId="5" fillId="0" borderId="0" xfId="2" applyNumberFormat="1" applyFont="1"/>
    <xf numFmtId="164" fontId="5" fillId="0" borderId="0" xfId="0" applyNumberFormat="1" applyFont="1"/>
    <xf numFmtId="10" fontId="5" fillId="0" borderId="0" xfId="0" applyNumberFormat="1" applyFont="1"/>
    <xf numFmtId="44" fontId="5" fillId="0" borderId="0" xfId="0" applyNumberFormat="1" applyFont="1"/>
    <xf numFmtId="164" fontId="4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FINANCIAL%20MANAGEMENT\DSH\FFY24\2024%20DSH%20Data%20v1.xlsx" TargetMode="External"/><Relationship Id="rId1" Type="http://schemas.openxmlformats.org/officeDocument/2006/relationships/externalLinkPath" Target="2024%20DSH%20Data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2024 DSH DATA"/>
      <sheetName val="Sheet1"/>
      <sheetName val="COMBO"/>
      <sheetName val="ALLOCATIONS"/>
      <sheetName val="Cost UPL SFY23 Combine"/>
      <sheetName val="Hosp Payments"/>
      <sheetName val="Exhibit 3 - SHOPP Allocation"/>
      <sheetName val="Exhibit 2 - Level 1 Trauma"/>
    </sheetNames>
    <sheetDataSet>
      <sheetData sheetId="0"/>
      <sheetData sheetId="1"/>
      <sheetData sheetId="2"/>
      <sheetData sheetId="3">
        <row r="3">
          <cell r="B3" t="str">
            <v>100699570A</v>
          </cell>
        </row>
        <row r="4">
          <cell r="B4" t="str">
            <v>100806400C</v>
          </cell>
        </row>
        <row r="5">
          <cell r="B5" t="str">
            <v>100699540A</v>
          </cell>
        </row>
        <row r="6">
          <cell r="B6" t="str">
            <v>100699400A</v>
          </cell>
        </row>
        <row r="7">
          <cell r="B7" t="str">
            <v>200044210A</v>
          </cell>
        </row>
        <row r="8">
          <cell r="B8" t="str">
            <v>100699390A</v>
          </cell>
        </row>
        <row r="9">
          <cell r="B9" t="str">
            <v>100700690A</v>
          </cell>
        </row>
        <row r="10">
          <cell r="B10" t="str">
            <v>100700200A</v>
          </cell>
        </row>
        <row r="11">
          <cell r="B11" t="str">
            <v>100690020A</v>
          </cell>
        </row>
        <row r="12">
          <cell r="B12" t="str">
            <v>100262320C</v>
          </cell>
        </row>
        <row r="13">
          <cell r="B13" t="str">
            <v>100699500A</v>
          </cell>
        </row>
        <row r="14">
          <cell r="B14" t="str">
            <v>200439230A</v>
          </cell>
        </row>
        <row r="15">
          <cell r="B15" t="str">
            <v>100699420A</v>
          </cell>
        </row>
        <row r="16">
          <cell r="B16" t="str">
            <v>200509290A</v>
          </cell>
        </row>
        <row r="17">
          <cell r="B17" t="str">
            <v>100699490A</v>
          </cell>
        </row>
        <row r="18">
          <cell r="B18" t="str">
            <v>100699950A</v>
          </cell>
        </row>
        <row r="19">
          <cell r="B19" t="str">
            <v>100700120A</v>
          </cell>
        </row>
        <row r="20">
          <cell r="B20" t="str">
            <v>200044190A</v>
          </cell>
        </row>
        <row r="21">
          <cell r="B21" t="str">
            <v>100699440A</v>
          </cell>
        </row>
        <row r="22">
          <cell r="B22" t="str">
            <v>200405550A</v>
          </cell>
        </row>
        <row r="23">
          <cell r="B23" t="str">
            <v>200019120A</v>
          </cell>
        </row>
        <row r="24">
          <cell r="B24" t="str">
            <v>100700610A</v>
          </cell>
        </row>
        <row r="25">
          <cell r="B25" t="str">
            <v>200102450A</v>
          </cell>
        </row>
        <row r="26">
          <cell r="B26" t="str">
            <v>100699700A</v>
          </cell>
        </row>
        <row r="27">
          <cell r="B27" t="str">
            <v>200106410A</v>
          </cell>
        </row>
        <row r="28">
          <cell r="B28" t="str">
            <v>200435950A</v>
          </cell>
        </row>
        <row r="29">
          <cell r="B29" t="str">
            <v>200735850A</v>
          </cell>
        </row>
        <row r="30">
          <cell r="B30" t="str">
            <v>100700190A</v>
          </cell>
        </row>
        <row r="31">
          <cell r="B31" t="str">
            <v>100700720A</v>
          </cell>
        </row>
        <row r="32">
          <cell r="B32" t="str">
            <v>200045700C</v>
          </cell>
        </row>
        <row r="33">
          <cell r="B33" t="str">
            <v>200417790W</v>
          </cell>
        </row>
        <row r="34">
          <cell r="B34" t="str">
            <v>200668710A</v>
          </cell>
        </row>
        <row r="35">
          <cell r="B35" t="str">
            <v>200925590A</v>
          </cell>
        </row>
        <row r="36">
          <cell r="B36" t="str">
            <v>100699630A</v>
          </cell>
        </row>
        <row r="37">
          <cell r="B37" t="str">
            <v>100699960A</v>
          </cell>
        </row>
        <row r="38">
          <cell r="B38" t="str">
            <v>200521810B</v>
          </cell>
        </row>
        <row r="39">
          <cell r="B39" t="str">
            <v>200425410C</v>
          </cell>
        </row>
        <row r="40">
          <cell r="B40" t="str">
            <v>200318440B</v>
          </cell>
        </row>
        <row r="41">
          <cell r="B41" t="str">
            <v>200490030A</v>
          </cell>
        </row>
        <row r="42">
          <cell r="B42" t="str">
            <v>100745350B</v>
          </cell>
        </row>
        <row r="43">
          <cell r="B43" t="str">
            <v>200226190A</v>
          </cell>
        </row>
        <row r="44">
          <cell r="B44" t="str">
            <v>200910710B</v>
          </cell>
        </row>
        <row r="53">
          <cell r="B53" t="str">
            <v>100700640C</v>
          </cell>
        </row>
        <row r="54">
          <cell r="B54" t="str">
            <v>100690030B</v>
          </cell>
        </row>
        <row r="55">
          <cell r="B55" t="str">
            <v>100700660B</v>
          </cell>
        </row>
        <row r="56">
          <cell r="B56" t="str">
            <v>100704080B</v>
          </cell>
        </row>
        <row r="57">
          <cell r="B57" t="str">
            <v>100707460F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0C40-C4B5-479B-A43E-64E845B0C9C2}">
  <sheetPr>
    <pageSetUpPr fitToPage="1"/>
  </sheetPr>
  <dimension ref="A1:T85"/>
  <sheetViews>
    <sheetView tabSelected="1" zoomScaleNormal="100" workbookViewId="0">
      <pane xSplit="4" ySplit="12" topLeftCell="G13" activePane="bottomRight" state="frozen"/>
      <selection pane="topRight" activeCell="E1" sqref="E1"/>
      <selection pane="bottomLeft" activeCell="A12" sqref="A12"/>
      <selection pane="bottomRight" activeCell="A90" sqref="A90"/>
    </sheetView>
  </sheetViews>
  <sheetFormatPr defaultColWidth="9" defaultRowHeight="12" x14ac:dyDescent="0.2"/>
  <cols>
    <col min="1" max="1" width="59" style="4" bestFit="1" customWidth="1"/>
    <col min="2" max="2" width="13.25" style="70" bestFit="1" customWidth="1"/>
    <col min="3" max="3" width="12.25" style="4" bestFit="1" customWidth="1"/>
    <col min="4" max="4" width="13.25" style="4" bestFit="1" customWidth="1"/>
    <col min="5" max="5" width="25.625" style="4" hidden="1" customWidth="1"/>
    <col min="6" max="6" width="17.5" style="4" hidden="1" customWidth="1"/>
    <col min="7" max="7" width="15.25" style="4" bestFit="1" customWidth="1"/>
    <col min="8" max="8" width="10.125" style="4" bestFit="1" customWidth="1"/>
    <col min="9" max="9" width="8.25" style="4" bestFit="1" customWidth="1"/>
    <col min="10" max="10" width="7.75" style="4" bestFit="1" customWidth="1"/>
    <col min="11" max="11" width="13.25" style="4" bestFit="1" customWidth="1"/>
    <col min="12" max="12" width="6" style="5" bestFit="1" customWidth="1"/>
    <col min="13" max="13" width="11.75" style="4" bestFit="1" customWidth="1"/>
    <col min="14" max="14" width="15.375" style="4" bestFit="1" customWidth="1"/>
    <col min="15" max="16" width="10" style="4" customWidth="1"/>
    <col min="17" max="17" width="13.25" style="4" bestFit="1" customWidth="1"/>
    <col min="18" max="18" width="7" style="4" bestFit="1" customWidth="1"/>
    <col min="19" max="19" width="9" style="4"/>
    <col min="20" max="20" width="10.5" style="4" bestFit="1" customWidth="1"/>
    <col min="21" max="16384" width="9" style="4"/>
  </cols>
  <sheetData>
    <row r="1" spans="1:20" ht="42.75" customHeight="1" thickBot="1" x14ac:dyDescent="0.25">
      <c r="A1" s="1" t="s">
        <v>0</v>
      </c>
      <c r="B1" s="2" t="s">
        <v>1</v>
      </c>
      <c r="C1" s="3" t="s">
        <v>2</v>
      </c>
      <c r="G1" s="5"/>
      <c r="L1" s="4"/>
    </row>
    <row r="2" spans="1:20" ht="12.75" x14ac:dyDescent="0.2">
      <c r="A2" s="6" t="s">
        <v>3</v>
      </c>
      <c r="B2" s="7">
        <v>40701863</v>
      </c>
      <c r="C2" s="7">
        <v>3273248</v>
      </c>
      <c r="D2" s="8"/>
      <c r="G2" s="5"/>
      <c r="L2" s="4"/>
    </row>
    <row r="3" spans="1:20" ht="12.75" x14ac:dyDescent="0.2">
      <c r="A3" s="9" t="s">
        <v>4</v>
      </c>
      <c r="B3" s="7">
        <f>B2*((30.97%+32.47%+32.47%+32.47%)/4)</f>
        <v>13063262.929849999</v>
      </c>
      <c r="C3" s="10">
        <v>0</v>
      </c>
      <c r="D3" s="11"/>
      <c r="G3" s="5"/>
      <c r="L3" s="4"/>
    </row>
    <row r="4" spans="1:20" ht="12.75" x14ac:dyDescent="0.2">
      <c r="A4" s="9" t="s">
        <v>5</v>
      </c>
      <c r="B4" s="10">
        <v>0</v>
      </c>
      <c r="C4" s="7">
        <f>C2*((30.97%+32.47%+32.47%+32.47%)/4)</f>
        <v>1050548.9456</v>
      </c>
      <c r="D4" s="8"/>
      <c r="G4" s="5"/>
      <c r="L4" s="4"/>
    </row>
    <row r="5" spans="1:20" ht="12.75" hidden="1" x14ac:dyDescent="0.2">
      <c r="A5" s="9" t="s">
        <v>6</v>
      </c>
      <c r="B5" s="12"/>
      <c r="C5" s="12"/>
      <c r="F5" s="13"/>
      <c r="G5" s="5"/>
      <c r="L5" s="4"/>
    </row>
    <row r="6" spans="1:20" ht="13.5" thickBot="1" x14ac:dyDescent="0.25">
      <c r="A6" s="14" t="s">
        <v>7</v>
      </c>
      <c r="B6" s="15">
        <f>B2*((0.6903+0.6753+0.6753+0.6753)/4)</f>
        <v>27638600.070150003</v>
      </c>
      <c r="C6" s="15">
        <f>C2*((0.6903+0.6753+0.6753+0.6753)/4)</f>
        <v>2222699.0544000003</v>
      </c>
      <c r="D6" s="16"/>
      <c r="F6" s="13"/>
      <c r="G6" s="5"/>
      <c r="L6" s="4"/>
    </row>
    <row r="7" spans="1:20" x14ac:dyDescent="0.2">
      <c r="B7" s="8"/>
      <c r="C7" s="8"/>
      <c r="D7" s="8"/>
      <c r="E7" s="17"/>
    </row>
    <row r="8" spans="1:20" s="20" customFormat="1" ht="12.75" x14ac:dyDescent="0.2">
      <c r="A8" s="18" t="s">
        <v>8</v>
      </c>
      <c r="B8" s="19">
        <f>B22+B38+B70</f>
        <v>7803</v>
      </c>
      <c r="L8" s="21"/>
    </row>
    <row r="9" spans="1:20" s="20" customFormat="1" ht="12.75" x14ac:dyDescent="0.2">
      <c r="A9" s="18" t="s">
        <v>9</v>
      </c>
      <c r="B9" s="19">
        <f>H22+H38+H70</f>
        <v>397978</v>
      </c>
      <c r="D9" s="22"/>
      <c r="L9" s="21"/>
    </row>
    <row r="10" spans="1:20" s="20" customFormat="1" ht="12.75" x14ac:dyDescent="0.2">
      <c r="A10" s="18" t="s">
        <v>10</v>
      </c>
      <c r="B10" s="19">
        <f>H38+H70</f>
        <v>66902</v>
      </c>
      <c r="L10" s="21"/>
    </row>
    <row r="11" spans="1:20" s="20" customFormat="1" ht="12.75" x14ac:dyDescent="0.2">
      <c r="B11" s="23"/>
      <c r="L11" s="21"/>
    </row>
    <row r="12" spans="1:20" s="31" customFormat="1" ht="39.6" customHeight="1" x14ac:dyDescent="0.2">
      <c r="A12" s="24" t="s">
        <v>11</v>
      </c>
      <c r="B12" s="25" t="s">
        <v>12</v>
      </c>
      <c r="C12" s="26" t="s">
        <v>13</v>
      </c>
      <c r="D12" s="24" t="s">
        <v>14</v>
      </c>
      <c r="E12" s="24" t="s">
        <v>15</v>
      </c>
      <c r="F12" s="24" t="s">
        <v>15</v>
      </c>
      <c r="G12" s="24" t="s">
        <v>16</v>
      </c>
      <c r="H12" s="27" t="s">
        <v>17</v>
      </c>
      <c r="I12" s="28" t="s">
        <v>18</v>
      </c>
      <c r="J12" s="29" t="s">
        <v>19</v>
      </c>
      <c r="K12" s="28" t="s">
        <v>20</v>
      </c>
      <c r="L12" s="30" t="s">
        <v>21</v>
      </c>
      <c r="M12" s="25" t="s">
        <v>22</v>
      </c>
      <c r="N12" s="26" t="s">
        <v>23</v>
      </c>
      <c r="O12" s="26" t="s">
        <v>24</v>
      </c>
      <c r="P12" s="26"/>
      <c r="Q12" s="25" t="s">
        <v>25</v>
      </c>
      <c r="R12" s="25" t="s">
        <v>26</v>
      </c>
    </row>
    <row r="13" spans="1:20" s="39" customFormat="1" ht="12.75" x14ac:dyDescent="0.2">
      <c r="A13" s="32" t="s">
        <v>27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4"/>
      <c r="N13" s="36"/>
      <c r="O13" s="34"/>
      <c r="P13" s="34"/>
      <c r="Q13" s="37"/>
      <c r="R13" s="38"/>
    </row>
    <row r="14" spans="1:20" s="20" customFormat="1" ht="12.75" x14ac:dyDescent="0.2">
      <c r="A14" s="40" t="s">
        <v>28</v>
      </c>
      <c r="B14" s="41">
        <v>656</v>
      </c>
      <c r="C14" s="41">
        <v>2</v>
      </c>
      <c r="D14" s="40" t="s">
        <v>29</v>
      </c>
      <c r="E14" s="41"/>
      <c r="F14" s="41"/>
      <c r="G14" s="41" t="s">
        <v>134</v>
      </c>
      <c r="H14" s="42">
        <v>35333</v>
      </c>
      <c r="I14" s="42">
        <v>121116</v>
      </c>
      <c r="J14" s="43">
        <v>0.45702467056375706</v>
      </c>
      <c r="K14" s="44">
        <v>1754499215.1400013</v>
      </c>
      <c r="L14" s="45">
        <v>0.13700000000000001</v>
      </c>
      <c r="M14" s="44">
        <v>44328606.496944547</v>
      </c>
      <c r="N14" s="46">
        <f t="shared" ref="N14:N21" si="0">L14*K14</f>
        <v>240366392.47418019</v>
      </c>
      <c r="O14" s="47">
        <f t="shared" ref="O14:O21" si="1">N14/$N$22</f>
        <v>0.17728973548704111</v>
      </c>
      <c r="P14" s="47">
        <f>N14/($N$22-$N$19)</f>
        <v>0.22342514291856963</v>
      </c>
      <c r="Q14" s="48">
        <f>ROUND(O14*($B$25),0)+ROUND(P14*($B$26),0)</f>
        <v>5582894</v>
      </c>
      <c r="R14" s="49">
        <f t="shared" ref="R14:R21" si="2">+IF(Q14&gt;M14,1,0)</f>
        <v>0</v>
      </c>
      <c r="T14" s="20" t="str">
        <f>VLOOKUP(D14,[1]COMBO!$B$3:$B$57,1,FALSE)</f>
        <v>200044210A</v>
      </c>
    </row>
    <row r="15" spans="1:20" s="20" customFormat="1" ht="12.75" x14ac:dyDescent="0.2">
      <c r="A15" s="40" t="s">
        <v>30</v>
      </c>
      <c r="B15" s="41">
        <v>892</v>
      </c>
      <c r="C15" s="41">
        <v>2</v>
      </c>
      <c r="D15" s="40" t="s">
        <v>31</v>
      </c>
      <c r="E15" s="41"/>
      <c r="F15" s="41"/>
      <c r="G15" s="41" t="s">
        <v>135</v>
      </c>
      <c r="H15" s="42">
        <v>65659</v>
      </c>
      <c r="I15" s="42">
        <v>182028</v>
      </c>
      <c r="J15" s="43">
        <v>0.42522029577867143</v>
      </c>
      <c r="K15" s="44">
        <v>1429030503</v>
      </c>
      <c r="L15" s="45">
        <v>0.1588</v>
      </c>
      <c r="M15" s="44">
        <v>58137756.156589165</v>
      </c>
      <c r="N15" s="46">
        <f t="shared" si="0"/>
        <v>226930043.87639999</v>
      </c>
      <c r="O15" s="47">
        <f t="shared" si="1"/>
        <v>0.16737933718097173</v>
      </c>
      <c r="P15" s="47">
        <f>N15/($N$22-$N$19)</f>
        <v>0.21093580081520036</v>
      </c>
      <c r="Q15" s="48">
        <f>ROUND(O15*($B$25),0)+ROUND(P15*($B$26),0)</f>
        <v>5270813</v>
      </c>
      <c r="R15" s="49">
        <f t="shared" si="2"/>
        <v>0</v>
      </c>
      <c r="T15" s="20" t="str">
        <f>VLOOKUP(D15,[1]COMBO!$B$3:$B$57,1,FALSE)</f>
        <v>100806400C</v>
      </c>
    </row>
    <row r="16" spans="1:20" s="20" customFormat="1" ht="12.75" x14ac:dyDescent="0.2">
      <c r="A16" s="40" t="s">
        <v>32</v>
      </c>
      <c r="B16" s="41">
        <v>334</v>
      </c>
      <c r="C16" s="41">
        <v>2</v>
      </c>
      <c r="D16" s="40" t="s">
        <v>33</v>
      </c>
      <c r="E16" s="41"/>
      <c r="F16" s="41"/>
      <c r="G16" s="41" t="s">
        <v>136</v>
      </c>
      <c r="H16" s="42">
        <v>18671</v>
      </c>
      <c r="I16" s="42">
        <v>72090</v>
      </c>
      <c r="J16" s="43">
        <v>0.36727701484255793</v>
      </c>
      <c r="K16" s="44">
        <v>667715519</v>
      </c>
      <c r="L16" s="45">
        <v>0.14760000000000001</v>
      </c>
      <c r="M16" s="44">
        <v>21036155.884720452</v>
      </c>
      <c r="N16" s="46">
        <f t="shared" si="0"/>
        <v>98554810.604400009</v>
      </c>
      <c r="O16" s="47">
        <f t="shared" si="1"/>
        <v>7.2692176818797208E-2</v>
      </c>
      <c r="P16" s="47">
        <f>N16/($N$22-$N$19)</f>
        <v>9.1608574800930001E-2</v>
      </c>
      <c r="Q16" s="48">
        <f>ROUND(O16*($B$25),0)+ROUND(P16*($B$26),0)</f>
        <v>2289093</v>
      </c>
      <c r="R16" s="49">
        <f t="shared" si="2"/>
        <v>0</v>
      </c>
      <c r="T16" s="20" t="str">
        <f>VLOOKUP(D16,[1]COMBO!$B$3:$B$57,1,FALSE)</f>
        <v>100700200A</v>
      </c>
    </row>
    <row r="17" spans="1:20" s="20" customFormat="1" ht="12.75" x14ac:dyDescent="0.2">
      <c r="A17" s="40" t="s">
        <v>34</v>
      </c>
      <c r="B17" s="41">
        <v>423</v>
      </c>
      <c r="C17" s="41">
        <v>2</v>
      </c>
      <c r="D17" s="40" t="s">
        <v>35</v>
      </c>
      <c r="E17" s="41"/>
      <c r="F17" s="41"/>
      <c r="G17" s="41" t="s">
        <v>137</v>
      </c>
      <c r="H17" s="42">
        <v>18592</v>
      </c>
      <c r="I17" s="42">
        <v>94004</v>
      </c>
      <c r="J17" s="43">
        <v>0.27557337985617636</v>
      </c>
      <c r="K17" s="44">
        <v>470204961</v>
      </c>
      <c r="L17" s="45">
        <v>0.20549999999999999</v>
      </c>
      <c r="M17" s="44">
        <v>23374491.015859134</v>
      </c>
      <c r="N17" s="46">
        <f t="shared" si="0"/>
        <v>96627119.485499993</v>
      </c>
      <c r="O17" s="47">
        <f t="shared" si="1"/>
        <v>7.127034806373439E-2</v>
      </c>
      <c r="P17" s="47">
        <f>N17/($N$22-$N$19)</f>
        <v>8.9816749166282017E-2</v>
      </c>
      <c r="Q17" s="48">
        <f>ROUND(O17*($B$25),0)+ROUND(P17*($B$26),0)</f>
        <v>2244319</v>
      </c>
      <c r="R17" s="49">
        <f t="shared" si="2"/>
        <v>0</v>
      </c>
      <c r="T17" s="20" t="str">
        <f>VLOOKUP(D17,[1]COMBO!$B$3:$B$57,1,FALSE)</f>
        <v>100699390A</v>
      </c>
    </row>
    <row r="18" spans="1:20" s="20" customFormat="1" ht="12.75" x14ac:dyDescent="0.2">
      <c r="A18" s="40" t="s">
        <v>36</v>
      </c>
      <c r="B18" s="41">
        <v>387</v>
      </c>
      <c r="C18" s="41">
        <v>2</v>
      </c>
      <c r="D18" s="40" t="s">
        <v>37</v>
      </c>
      <c r="E18" s="41"/>
      <c r="F18" s="41"/>
      <c r="G18" s="41" t="s">
        <v>138</v>
      </c>
      <c r="H18" s="42">
        <v>22808</v>
      </c>
      <c r="I18" s="42">
        <v>77546</v>
      </c>
      <c r="J18" s="43">
        <v>0.34290614602945346</v>
      </c>
      <c r="K18" s="44">
        <v>584793308</v>
      </c>
      <c r="L18" s="45">
        <v>0.15440000000000001</v>
      </c>
      <c r="M18" s="44">
        <v>7001416.3540783152</v>
      </c>
      <c r="N18" s="46">
        <f t="shared" si="0"/>
        <v>90292086.755199999</v>
      </c>
      <c r="O18" s="47">
        <f t="shared" si="1"/>
        <v>6.6597746933868537E-2</v>
      </c>
      <c r="P18" s="47">
        <f>N18/($N$22-$N$19)</f>
        <v>8.3928215504850412E-2</v>
      </c>
      <c r="Q18" s="48">
        <f>ROUND(O18*($B$25),0)+ROUND(P18*($B$26),0)</f>
        <v>2097178</v>
      </c>
      <c r="R18" s="49">
        <f t="shared" si="2"/>
        <v>0</v>
      </c>
      <c r="T18" s="20" t="str">
        <f>VLOOKUP(D18,[1]COMBO!$B$3:$B$57,1,FALSE)</f>
        <v>100700690A</v>
      </c>
    </row>
    <row r="19" spans="1:20" s="20" customFormat="1" ht="12.75" x14ac:dyDescent="0.2">
      <c r="A19" s="40" t="s">
        <v>38</v>
      </c>
      <c r="B19" s="41">
        <v>1088</v>
      </c>
      <c r="C19" s="41">
        <v>2</v>
      </c>
      <c r="D19" s="40" t="s">
        <v>39</v>
      </c>
      <c r="E19" s="41"/>
      <c r="F19" s="41"/>
      <c r="G19" s="41" t="s">
        <v>139</v>
      </c>
      <c r="H19" s="42">
        <v>71959</v>
      </c>
      <c r="I19" s="42">
        <v>260671</v>
      </c>
      <c r="J19" s="43">
        <v>0.36545684023155628</v>
      </c>
      <c r="K19" s="44">
        <v>1344012164</v>
      </c>
      <c r="L19" s="45">
        <v>0.20830000000000001</v>
      </c>
      <c r="M19" s="44">
        <v>1468452.8993322253</v>
      </c>
      <c r="N19" s="46">
        <f t="shared" si="0"/>
        <v>279957733.76120001</v>
      </c>
      <c r="O19" s="47">
        <f t="shared" si="1"/>
        <v>0.20649156504441943</v>
      </c>
      <c r="P19" s="47">
        <v>0</v>
      </c>
      <c r="Q19" s="48">
        <v>1468452</v>
      </c>
      <c r="R19" s="49">
        <f t="shared" si="2"/>
        <v>0</v>
      </c>
      <c r="T19" s="20" t="str">
        <f>VLOOKUP(D19,[1]COMBO!$B$3:$B$57,1,FALSE)</f>
        <v>100699570A</v>
      </c>
    </row>
    <row r="20" spans="1:20" s="20" customFormat="1" ht="12.75" x14ac:dyDescent="0.2">
      <c r="A20" s="40" t="s">
        <v>40</v>
      </c>
      <c r="B20" s="41">
        <v>781</v>
      </c>
      <c r="C20" s="41">
        <v>2</v>
      </c>
      <c r="D20" s="40" t="s">
        <v>41</v>
      </c>
      <c r="E20" s="41"/>
      <c r="F20" s="41"/>
      <c r="G20" s="41" t="s">
        <v>140</v>
      </c>
      <c r="H20" s="42">
        <v>67719</v>
      </c>
      <c r="I20" s="42">
        <v>151967</v>
      </c>
      <c r="J20" s="43">
        <v>0.49788440911513682</v>
      </c>
      <c r="K20" s="44">
        <v>1026716504</v>
      </c>
      <c r="L20" s="45">
        <v>0.17910000000000001</v>
      </c>
      <c r="M20" s="44">
        <v>22759981.950842462</v>
      </c>
      <c r="N20" s="46">
        <f t="shared" si="0"/>
        <v>183884925.8664</v>
      </c>
      <c r="O20" s="47">
        <f t="shared" si="1"/>
        <v>0.13563006679650594</v>
      </c>
      <c r="P20" s="47">
        <f>N20/($N$22-$N$19)</f>
        <v>0.17092454323324024</v>
      </c>
      <c r="Q20" s="48">
        <f>ROUND(O20*($B$25),0)+ROUND(P20*($B$26),0)</f>
        <v>4271021</v>
      </c>
      <c r="R20" s="49">
        <f t="shared" si="2"/>
        <v>0</v>
      </c>
      <c r="T20" s="20" t="str">
        <f>VLOOKUP(D20,[1]COMBO!$B$3:$B$57,1,FALSE)</f>
        <v>100699540A</v>
      </c>
    </row>
    <row r="21" spans="1:20" s="20" customFormat="1" ht="12.75" x14ac:dyDescent="0.2">
      <c r="A21" s="40" t="s">
        <v>42</v>
      </c>
      <c r="B21" s="41">
        <v>677</v>
      </c>
      <c r="C21" s="41">
        <v>2</v>
      </c>
      <c r="D21" s="40" t="s">
        <v>43</v>
      </c>
      <c r="E21" s="41"/>
      <c r="F21" s="41"/>
      <c r="G21" s="41" t="s">
        <v>141</v>
      </c>
      <c r="H21" s="42">
        <v>30335</v>
      </c>
      <c r="I21" s="42">
        <v>144305</v>
      </c>
      <c r="J21" s="43">
        <v>0.29596341083122552</v>
      </c>
      <c r="K21" s="44">
        <v>570134336.07999992</v>
      </c>
      <c r="L21" s="45">
        <v>0.24410000000000001</v>
      </c>
      <c r="M21" s="44">
        <v>21249508.922140852</v>
      </c>
      <c r="N21" s="46">
        <f t="shared" si="0"/>
        <v>139169791.43712798</v>
      </c>
      <c r="O21" s="47">
        <f t="shared" si="1"/>
        <v>0.1026490236746615</v>
      </c>
      <c r="P21" s="47">
        <f>N21/($N$22-$N$19)</f>
        <v>0.12936097356092707</v>
      </c>
      <c r="Q21" s="48">
        <f>ROUND(O21*($B$25),0)+ROUND(P21*($B$26),0)</f>
        <v>3232441</v>
      </c>
      <c r="R21" s="49">
        <f t="shared" si="2"/>
        <v>0</v>
      </c>
      <c r="T21" s="20" t="str">
        <f>VLOOKUP(D21,[1]COMBO!$B$3:$B$57,1,FALSE)</f>
        <v>100699400A</v>
      </c>
    </row>
    <row r="22" spans="1:20" s="50" customFormat="1" ht="12.75" x14ac:dyDescent="0.2">
      <c r="A22" s="18" t="s">
        <v>44</v>
      </c>
      <c r="B22" s="19">
        <f>SUM(B14:B21)</f>
        <v>5238</v>
      </c>
      <c r="H22" s="19">
        <f>SUM(H14:H21)</f>
        <v>331076</v>
      </c>
      <c r="I22" s="19"/>
      <c r="K22" s="19"/>
      <c r="L22" s="51"/>
      <c r="M22" s="19"/>
      <c r="N22" s="52">
        <f>SUM(N14:N21)</f>
        <v>1355782904.2604084</v>
      </c>
      <c r="O22" s="53">
        <f>SUM(O14:O21)</f>
        <v>0.99999999999999978</v>
      </c>
      <c r="P22" s="53">
        <f>SUM(P14:P21)</f>
        <v>0.99999999999999978</v>
      </c>
      <c r="Q22" s="54">
        <f>SUM(Q14:Q21)</f>
        <v>26456211</v>
      </c>
    </row>
    <row r="23" spans="1:20" s="20" customFormat="1" ht="12.75" x14ac:dyDescent="0.2">
      <c r="A23" s="18" t="s">
        <v>45</v>
      </c>
      <c r="B23" s="53">
        <f>IF(H22/B9&gt;65%,65%,H22/B9)</f>
        <v>0.65</v>
      </c>
      <c r="L23" s="21"/>
      <c r="Q23" s="22">
        <f>Q22-B25</f>
        <v>0</v>
      </c>
    </row>
    <row r="24" spans="1:20" s="20" customFormat="1" ht="12.75" x14ac:dyDescent="0.2">
      <c r="A24" s="18" t="s">
        <v>46</v>
      </c>
      <c r="B24" s="19">
        <f>COUNT(B14:B21)</f>
        <v>8</v>
      </c>
      <c r="L24" s="21"/>
      <c r="Q24" s="55" t="s">
        <v>47</v>
      </c>
    </row>
    <row r="25" spans="1:20" s="20" customFormat="1" ht="12.75" x14ac:dyDescent="0.2">
      <c r="A25" s="18" t="s">
        <v>48</v>
      </c>
      <c r="B25" s="56">
        <f>ROUND(B23*B2,0)</f>
        <v>26456211</v>
      </c>
      <c r="G25" s="57">
        <f>5018838+990095+195321+38532+7601</f>
        <v>6250387</v>
      </c>
      <c r="L25" s="21"/>
      <c r="M25" s="58"/>
    </row>
    <row r="26" spans="1:20" s="20" customFormat="1" ht="12.75" x14ac:dyDescent="0.2">
      <c r="A26" s="18" t="s">
        <v>49</v>
      </c>
      <c r="B26" s="57">
        <f>3994531.65</f>
        <v>3994531.65</v>
      </c>
      <c r="L26" s="21"/>
    </row>
    <row r="27" spans="1:20" s="20" customFormat="1" ht="12.75" x14ac:dyDescent="0.2">
      <c r="B27" s="23"/>
      <c r="L27" s="21"/>
    </row>
    <row r="28" spans="1:20" s="39" customFormat="1" ht="12.75" x14ac:dyDescent="0.2">
      <c r="A28" s="32" t="s">
        <v>50</v>
      </c>
      <c r="B28" s="59"/>
      <c r="C28" s="37"/>
      <c r="D28" s="37"/>
      <c r="E28" s="37"/>
      <c r="F28" s="37"/>
      <c r="G28" s="37"/>
      <c r="H28" s="37"/>
      <c r="I28" s="37"/>
      <c r="J28" s="37"/>
      <c r="K28" s="37"/>
      <c r="L28" s="60"/>
      <c r="M28" s="37"/>
      <c r="N28" s="37"/>
      <c r="O28" s="37"/>
      <c r="P28" s="37"/>
      <c r="Q28" s="37"/>
      <c r="R28" s="37"/>
    </row>
    <row r="29" spans="1:20" s="20" customFormat="1" ht="12.75" x14ac:dyDescent="0.2">
      <c r="A29" s="40" t="s">
        <v>51</v>
      </c>
      <c r="B29" s="41">
        <v>180</v>
      </c>
      <c r="C29" s="41">
        <v>2</v>
      </c>
      <c r="D29" s="40" t="s">
        <v>52</v>
      </c>
      <c r="E29" s="41"/>
      <c r="F29" s="41"/>
      <c r="G29" s="41" t="s">
        <v>142</v>
      </c>
      <c r="H29" s="42">
        <v>9333</v>
      </c>
      <c r="I29" s="42">
        <v>46548</v>
      </c>
      <c r="J29" s="43">
        <v>0.35507433187247572</v>
      </c>
      <c r="K29" s="44">
        <v>449597638.93998718</v>
      </c>
      <c r="L29" s="45">
        <v>0.1608</v>
      </c>
      <c r="M29" s="44">
        <v>12798381.338102546</v>
      </c>
      <c r="N29" s="61">
        <f t="shared" ref="N29:N37" si="3">L29*K29</f>
        <v>72295300.341549933</v>
      </c>
      <c r="O29" s="47">
        <f t="shared" ref="O29:O37" si="4">N29/$N$38</f>
        <v>0.21496200938228477</v>
      </c>
      <c r="P29" s="47">
        <f>N29/($N$38-$N$31)</f>
        <v>0.23511708086048017</v>
      </c>
      <c r="Q29" s="48">
        <f>ROUND(O29*($B$41),0)+ROUND(P29*($B$42),0)</f>
        <v>2276361</v>
      </c>
      <c r="R29" s="49">
        <f t="shared" ref="R29:R37" si="5">+IF(Q29&gt;M29,1,0)</f>
        <v>0</v>
      </c>
      <c r="T29" s="20" t="str">
        <f>VLOOKUP(D29,[1]COMBO!$B$3:$B$57,1,FALSE)</f>
        <v>200439230A</v>
      </c>
    </row>
    <row r="30" spans="1:20" s="20" customFormat="1" ht="12.75" x14ac:dyDescent="0.2">
      <c r="A30" s="40" t="s">
        <v>53</v>
      </c>
      <c r="B30" s="41">
        <v>153</v>
      </c>
      <c r="C30" s="41">
        <v>2</v>
      </c>
      <c r="D30" s="40" t="s">
        <v>54</v>
      </c>
      <c r="E30" s="41"/>
      <c r="F30" s="41"/>
      <c r="G30" s="41" t="s">
        <v>143</v>
      </c>
      <c r="H30" s="42">
        <v>2057</v>
      </c>
      <c r="I30" s="42">
        <v>8999</v>
      </c>
      <c r="J30" s="43">
        <v>0.31536837426380709</v>
      </c>
      <c r="K30" s="44">
        <v>127409536</v>
      </c>
      <c r="L30" s="45">
        <v>0.13689999999999999</v>
      </c>
      <c r="M30" s="44">
        <v>2675995.8775569852</v>
      </c>
      <c r="N30" s="61">
        <f t="shared" si="3"/>
        <v>17442365.478399999</v>
      </c>
      <c r="O30" s="47">
        <f t="shared" si="4"/>
        <v>5.1862927657859929E-2</v>
      </c>
      <c r="P30" s="47">
        <f>N30/($N$38-$N$31)</f>
        <v>5.6725652085382834E-2</v>
      </c>
      <c r="Q30" s="48">
        <f t="shared" ref="Q30:Q37" si="6">ROUND(O30*($B$41),0)+ROUND(P30*($B$42),0)</f>
        <v>549207</v>
      </c>
      <c r="R30" s="49">
        <f t="shared" si="5"/>
        <v>0</v>
      </c>
      <c r="T30" s="20" t="str">
        <f>VLOOKUP(D30,[1]COMBO!$B$3:$B$57,1,FALSE)</f>
        <v>100699420A</v>
      </c>
    </row>
    <row r="31" spans="1:20" s="20" customFormat="1" ht="12.75" x14ac:dyDescent="0.2">
      <c r="A31" s="62" t="s">
        <v>55</v>
      </c>
      <c r="B31" s="41">
        <v>110</v>
      </c>
      <c r="C31" s="41">
        <v>2</v>
      </c>
      <c r="D31" s="40" t="s">
        <v>56</v>
      </c>
      <c r="E31" s="41"/>
      <c r="F31" s="41"/>
      <c r="G31" s="41" t="s">
        <v>144</v>
      </c>
      <c r="H31" s="42">
        <v>3524</v>
      </c>
      <c r="I31" s="42">
        <v>20457</v>
      </c>
      <c r="J31" s="43">
        <v>0.30229261377523586</v>
      </c>
      <c r="K31" s="44">
        <v>155084761</v>
      </c>
      <c r="L31" s="45">
        <v>0.18590000000000001</v>
      </c>
      <c r="M31" s="44">
        <v>22609.99242304638</v>
      </c>
      <c r="N31" s="61">
        <f t="shared" si="3"/>
        <v>28830257.069900002</v>
      </c>
      <c r="O31" s="47">
        <f t="shared" si="4"/>
        <v>8.5723552727143423E-2</v>
      </c>
      <c r="P31" s="47">
        <v>0</v>
      </c>
      <c r="Q31" s="48">
        <v>22609</v>
      </c>
      <c r="R31" s="49">
        <f t="shared" si="5"/>
        <v>0</v>
      </c>
      <c r="T31" s="20" t="str">
        <f>VLOOKUP(D31,[1]COMBO!$B$3:$B$57,1,FALSE)</f>
        <v>100700120A</v>
      </c>
    </row>
    <row r="32" spans="1:20" s="20" customFormat="1" ht="12.75" x14ac:dyDescent="0.2">
      <c r="A32" s="40" t="s">
        <v>57</v>
      </c>
      <c r="B32" s="41">
        <v>183</v>
      </c>
      <c r="C32" s="41">
        <v>2</v>
      </c>
      <c r="D32" s="40" t="s">
        <v>58</v>
      </c>
      <c r="E32" s="41"/>
      <c r="F32" s="41"/>
      <c r="G32" s="41" t="s">
        <v>145</v>
      </c>
      <c r="H32" s="42">
        <v>11426</v>
      </c>
      <c r="I32" s="42">
        <v>22305</v>
      </c>
      <c r="J32" s="43">
        <v>0.54772472539789285</v>
      </c>
      <c r="K32" s="44">
        <v>154300393.24000001</v>
      </c>
      <c r="L32" s="45">
        <v>0.1658</v>
      </c>
      <c r="M32" s="44">
        <v>5395020.1297874823</v>
      </c>
      <c r="N32" s="61">
        <f t="shared" si="3"/>
        <v>25583005.199192002</v>
      </c>
      <c r="O32" s="47">
        <f t="shared" si="4"/>
        <v>7.6068211594317453E-2</v>
      </c>
      <c r="P32" s="47">
        <f t="shared" ref="P32:P37" si="7">N32/($N$38-$N$31)</f>
        <v>8.3200449734013165E-2</v>
      </c>
      <c r="Q32" s="48">
        <f t="shared" si="6"/>
        <v>805531</v>
      </c>
      <c r="R32" s="49">
        <f t="shared" si="5"/>
        <v>0</v>
      </c>
      <c r="T32" s="20" t="str">
        <f>VLOOKUP(D32,[1]COMBO!$B$3:$B$57,1,FALSE)</f>
        <v>100699500A</v>
      </c>
    </row>
    <row r="33" spans="1:20" s="20" customFormat="1" ht="12.75" x14ac:dyDescent="0.2">
      <c r="A33" s="40" t="s">
        <v>59</v>
      </c>
      <c r="B33" s="41">
        <v>133</v>
      </c>
      <c r="C33" s="41">
        <v>2</v>
      </c>
      <c r="D33" s="40" t="s">
        <v>60</v>
      </c>
      <c r="E33" s="41"/>
      <c r="F33" s="41"/>
      <c r="G33" s="41"/>
      <c r="H33" s="42">
        <v>3072</v>
      </c>
      <c r="I33" s="42">
        <v>23396</v>
      </c>
      <c r="J33" s="43">
        <v>0.24350316293383484</v>
      </c>
      <c r="K33" s="44">
        <v>115722433</v>
      </c>
      <c r="L33" s="45">
        <v>0.24260000000000001</v>
      </c>
      <c r="M33" s="44">
        <v>2792525.2830525897</v>
      </c>
      <c r="N33" s="61">
        <f t="shared" si="3"/>
        <v>28074262.2458</v>
      </c>
      <c r="O33" s="63">
        <f t="shared" si="4"/>
        <v>8.3475686466081028E-2</v>
      </c>
      <c r="P33" s="47">
        <f t="shared" si="7"/>
        <v>9.1302457495296863E-2</v>
      </c>
      <c r="Q33" s="48">
        <f t="shared" si="6"/>
        <v>883974</v>
      </c>
      <c r="R33" s="49">
        <f t="shared" si="5"/>
        <v>0</v>
      </c>
      <c r="T33" s="20" t="str">
        <f>VLOOKUP(D33,[1]COMBO!$B$3:$B$57,1,FALSE)</f>
        <v>100699490A</v>
      </c>
    </row>
    <row r="34" spans="1:20" s="20" customFormat="1" ht="12.75" x14ac:dyDescent="0.2">
      <c r="A34" s="40" t="s">
        <v>61</v>
      </c>
      <c r="B34" s="41">
        <v>144</v>
      </c>
      <c r="C34" s="41">
        <v>2</v>
      </c>
      <c r="D34" s="40" t="s">
        <v>62</v>
      </c>
      <c r="E34" s="41"/>
      <c r="F34" s="41"/>
      <c r="G34" s="41" t="s">
        <v>146</v>
      </c>
      <c r="H34" s="42">
        <v>3262</v>
      </c>
      <c r="I34" s="42">
        <v>18388</v>
      </c>
      <c r="J34" s="43">
        <v>0.3466934957581031</v>
      </c>
      <c r="K34" s="44">
        <v>122835856</v>
      </c>
      <c r="L34" s="45">
        <v>0.2591</v>
      </c>
      <c r="M34" s="44">
        <v>5639726.1512414161</v>
      </c>
      <c r="N34" s="61">
        <f t="shared" si="3"/>
        <v>31826770.2896</v>
      </c>
      <c r="O34" s="47">
        <f t="shared" si="4"/>
        <v>9.4633350456790444E-2</v>
      </c>
      <c r="P34" s="47">
        <f t="shared" si="7"/>
        <v>0.10350627618054353</v>
      </c>
      <c r="Q34" s="48">
        <f t="shared" si="6"/>
        <v>1002129</v>
      </c>
      <c r="R34" s="49">
        <f t="shared" si="5"/>
        <v>0</v>
      </c>
      <c r="T34" s="20" t="str">
        <f>VLOOKUP(D34,[1]COMBO!$B$3:$B$57,1,FALSE)</f>
        <v>200509290A</v>
      </c>
    </row>
    <row r="35" spans="1:20" s="20" customFormat="1" ht="12.75" x14ac:dyDescent="0.2">
      <c r="A35" s="40" t="s">
        <v>63</v>
      </c>
      <c r="B35" s="41">
        <v>190</v>
      </c>
      <c r="C35" s="41">
        <v>2</v>
      </c>
      <c r="D35" s="40" t="s">
        <v>64</v>
      </c>
      <c r="E35" s="41"/>
      <c r="F35" s="41"/>
      <c r="G35" s="41" t="s">
        <v>147</v>
      </c>
      <c r="H35" s="42">
        <v>4907</v>
      </c>
      <c r="I35" s="42">
        <v>30034</v>
      </c>
      <c r="J35" s="43">
        <v>0.32017047346340816</v>
      </c>
      <c r="K35" s="44">
        <v>222282932</v>
      </c>
      <c r="L35" s="45">
        <v>0.22020000000000001</v>
      </c>
      <c r="M35" s="44">
        <v>9645859.0292554107</v>
      </c>
      <c r="N35" s="61">
        <f t="shared" si="3"/>
        <v>48946701.626400001</v>
      </c>
      <c r="O35" s="47">
        <f t="shared" si="4"/>
        <v>0.14553755616945704</v>
      </c>
      <c r="P35" s="47">
        <f t="shared" si="7"/>
        <v>0.15918331550984691</v>
      </c>
      <c r="Q35" s="48">
        <f t="shared" si="6"/>
        <v>1541184</v>
      </c>
      <c r="R35" s="49">
        <f t="shared" si="5"/>
        <v>0</v>
      </c>
      <c r="T35" s="20" t="str">
        <f>VLOOKUP(D35,[1]COMBO!$B$3:$B$57,1,FALSE)</f>
        <v>100262320C</v>
      </c>
    </row>
    <row r="36" spans="1:20" s="20" customFormat="1" ht="12.75" x14ac:dyDescent="0.2">
      <c r="A36" s="40" t="s">
        <v>65</v>
      </c>
      <c r="B36" s="41">
        <v>229</v>
      </c>
      <c r="C36" s="41">
        <v>2</v>
      </c>
      <c r="D36" s="40" t="s">
        <v>66</v>
      </c>
      <c r="E36" s="41"/>
      <c r="F36" s="41"/>
      <c r="G36" s="41" t="s">
        <v>148</v>
      </c>
      <c r="H36" s="42">
        <v>4080</v>
      </c>
      <c r="I36" s="42">
        <v>19233</v>
      </c>
      <c r="J36" s="43">
        <v>0.29366193521551498</v>
      </c>
      <c r="K36" s="44">
        <v>156029723</v>
      </c>
      <c r="L36" s="45">
        <v>0.14560000000000001</v>
      </c>
      <c r="M36" s="44">
        <v>5338384.9325866383</v>
      </c>
      <c r="N36" s="61">
        <f t="shared" si="3"/>
        <v>22717927.6688</v>
      </c>
      <c r="O36" s="47">
        <f t="shared" si="4"/>
        <v>6.7549223222190369E-2</v>
      </c>
      <c r="P36" s="47">
        <f t="shared" si="7"/>
        <v>7.3882711759314282E-2</v>
      </c>
      <c r="Q36" s="48">
        <f t="shared" si="6"/>
        <v>715320</v>
      </c>
      <c r="R36" s="49">
        <f t="shared" si="5"/>
        <v>0</v>
      </c>
      <c r="T36" s="20" t="str">
        <f>VLOOKUP(D36,[1]COMBO!$B$3:$B$57,1,FALSE)</f>
        <v>100690020A</v>
      </c>
    </row>
    <row r="37" spans="1:20" s="20" customFormat="1" ht="12.75" x14ac:dyDescent="0.2">
      <c r="A37" s="40" t="s">
        <v>67</v>
      </c>
      <c r="B37" s="41">
        <v>117</v>
      </c>
      <c r="C37" s="41">
        <v>2</v>
      </c>
      <c r="D37" s="40" t="s">
        <v>68</v>
      </c>
      <c r="E37" s="41"/>
      <c r="F37" s="41"/>
      <c r="G37" s="41" t="s">
        <v>149</v>
      </c>
      <c r="H37" s="42">
        <v>3914</v>
      </c>
      <c r="I37" s="42">
        <v>19506</v>
      </c>
      <c r="J37" s="43">
        <v>0.32359274069517074</v>
      </c>
      <c r="K37" s="44">
        <v>268260506</v>
      </c>
      <c r="L37" s="45">
        <v>0.22589999999999999</v>
      </c>
      <c r="M37" s="44">
        <v>10112122.649881169</v>
      </c>
      <c r="N37" s="61">
        <f t="shared" si="3"/>
        <v>60600048.305399999</v>
      </c>
      <c r="O37" s="47">
        <f t="shared" si="4"/>
        <v>0.18018748232387558</v>
      </c>
      <c r="P37" s="47">
        <f t="shared" si="7"/>
        <v>0.19708205637512222</v>
      </c>
      <c r="Q37" s="48">
        <f t="shared" si="6"/>
        <v>1908112</v>
      </c>
      <c r="R37" s="49">
        <f t="shared" si="5"/>
        <v>0</v>
      </c>
      <c r="T37" s="20" t="str">
        <f>VLOOKUP(D37,[1]COMBO!$B$3:$B$57,1,FALSE)</f>
        <v>100699950A</v>
      </c>
    </row>
    <row r="38" spans="1:20" s="50" customFormat="1" ht="12.75" x14ac:dyDescent="0.2">
      <c r="A38" s="18" t="s">
        <v>69</v>
      </c>
      <c r="B38" s="19">
        <f>SUM(B29:B37)</f>
        <v>1439</v>
      </c>
      <c r="H38" s="19">
        <f>SUM(H29:H37)</f>
        <v>45575</v>
      </c>
      <c r="I38" s="19"/>
      <c r="J38" s="19"/>
      <c r="K38" s="19"/>
      <c r="L38" s="51"/>
      <c r="N38" s="52">
        <f>SUM(N29:N37)</f>
        <v>336316638.22504193</v>
      </c>
      <c r="O38" s="53">
        <f>SUM(O29:O37)</f>
        <v>1</v>
      </c>
      <c r="P38" s="53">
        <f>SUM(P29:P37)</f>
        <v>0.99999999999999989</v>
      </c>
      <c r="Q38" s="52">
        <f>SUM(Q29:Q37)</f>
        <v>9704427</v>
      </c>
    </row>
    <row r="39" spans="1:20" s="20" customFormat="1" ht="12.75" x14ac:dyDescent="0.2">
      <c r="A39" s="18" t="s">
        <v>70</v>
      </c>
      <c r="B39" s="53">
        <f>H38/B10</f>
        <v>0.68122029236794113</v>
      </c>
      <c r="L39" s="21"/>
      <c r="Q39" s="55">
        <f>Q38-B41</f>
        <v>0</v>
      </c>
    </row>
    <row r="40" spans="1:20" s="20" customFormat="1" ht="12.75" x14ac:dyDescent="0.2">
      <c r="A40" s="18" t="s">
        <v>46</v>
      </c>
      <c r="B40" s="19">
        <f>COUNT(B29:B37)</f>
        <v>9</v>
      </c>
      <c r="L40" s="21"/>
      <c r="Q40" s="55"/>
    </row>
    <row r="41" spans="1:20" s="20" customFormat="1" ht="12.75" x14ac:dyDescent="0.2">
      <c r="A41" s="18" t="s">
        <v>48</v>
      </c>
      <c r="B41" s="56">
        <f>ROUND((B2-B25)*B39,0)</f>
        <v>9704427</v>
      </c>
      <c r="L41" s="21"/>
    </row>
    <row r="42" spans="1:20" s="20" customFormat="1" ht="12.75" x14ac:dyDescent="0.2">
      <c r="A42" s="18" t="s">
        <v>49</v>
      </c>
      <c r="B42" s="64">
        <v>809289.5</v>
      </c>
      <c r="L42" s="21"/>
    </row>
    <row r="43" spans="1:20" s="20" customFormat="1" ht="12.75" x14ac:dyDescent="0.2">
      <c r="B43" s="23"/>
      <c r="L43" s="21"/>
    </row>
    <row r="44" spans="1:20" s="39" customFormat="1" ht="12.75" x14ac:dyDescent="0.2">
      <c r="A44" s="32" t="s">
        <v>71</v>
      </c>
      <c r="B44" s="59"/>
      <c r="C44" s="37"/>
      <c r="D44" s="37"/>
      <c r="E44" s="37"/>
      <c r="F44" s="37"/>
      <c r="G44" s="37"/>
      <c r="H44" s="37"/>
      <c r="I44" s="37"/>
      <c r="J44" s="37"/>
      <c r="K44" s="37"/>
      <c r="L44" s="60"/>
      <c r="M44" s="37"/>
      <c r="N44" s="37"/>
      <c r="O44" s="37"/>
      <c r="P44" s="37"/>
      <c r="Q44" s="37"/>
      <c r="R44" s="37"/>
    </row>
    <row r="45" spans="1:20" s="20" customFormat="1" ht="12.75" x14ac:dyDescent="0.2">
      <c r="A45" s="40" t="s">
        <v>72</v>
      </c>
      <c r="B45" s="41">
        <v>49</v>
      </c>
      <c r="C45" s="41">
        <v>2</v>
      </c>
      <c r="D45" s="40" t="s">
        <v>73</v>
      </c>
      <c r="E45" s="41"/>
      <c r="F45" s="41"/>
      <c r="G45" s="41" t="s">
        <v>150</v>
      </c>
      <c r="H45" s="42">
        <v>2118</v>
      </c>
      <c r="I45" s="42">
        <v>8087</v>
      </c>
      <c r="J45" s="43">
        <v>0.4220353654012613</v>
      </c>
      <c r="K45" s="44">
        <v>199721709.56000757</v>
      </c>
      <c r="L45" s="45">
        <v>0.1263</v>
      </c>
      <c r="M45" s="44">
        <v>4688195.1311311107</v>
      </c>
      <c r="N45" s="61">
        <f t="shared" ref="N45:N69" si="8">L45*K45</f>
        <v>25224851.917428955</v>
      </c>
      <c r="O45" s="47">
        <f t="shared" ref="O45:O69" si="9">N45/$N$70</f>
        <v>0.11319923009675716</v>
      </c>
      <c r="P45" s="47">
        <f>N45/($N$70-$N$67)</f>
        <v>0.11645334882295373</v>
      </c>
      <c r="Q45" s="48">
        <f>ROUND(O45*($B$73),0)+ROUND(P45*($B$74),0)</f>
        <v>517504</v>
      </c>
      <c r="R45" s="49">
        <f t="shared" ref="R45:R69" si="10">+IF(Q45&gt;M45,1,0)</f>
        <v>0</v>
      </c>
      <c r="T45" s="20" t="str">
        <f>VLOOKUP(D45,[1]COMBO!$B$3:$B$57,1,FALSE)</f>
        <v>200435950A</v>
      </c>
    </row>
    <row r="46" spans="1:20" s="20" customFormat="1" ht="12.75" x14ac:dyDescent="0.2">
      <c r="A46" s="40" t="s">
        <v>74</v>
      </c>
      <c r="B46" s="41">
        <v>30</v>
      </c>
      <c r="C46" s="41">
        <v>0</v>
      </c>
      <c r="D46" s="40" t="s">
        <v>75</v>
      </c>
      <c r="E46" s="41"/>
      <c r="F46" s="41"/>
      <c r="G46" s="41" t="s">
        <v>151</v>
      </c>
      <c r="H46" s="42">
        <v>566</v>
      </c>
      <c r="I46" s="42">
        <v>1391</v>
      </c>
      <c r="J46" s="43">
        <v>0.5434938892882818</v>
      </c>
      <c r="K46" s="44">
        <v>52527660.299999826</v>
      </c>
      <c r="L46" s="45">
        <v>0.1663</v>
      </c>
      <c r="M46" s="44">
        <v>1813337.8498948892</v>
      </c>
      <c r="N46" s="61">
        <f t="shared" si="8"/>
        <v>8735349.9078899715</v>
      </c>
      <c r="O46" s="47">
        <f t="shared" si="9"/>
        <v>3.920082018462491E-2</v>
      </c>
      <c r="P46" s="47">
        <f t="shared" ref="P46:P69" si="11">N46/($N$70-$N$67)</f>
        <v>4.0327719395299902E-2</v>
      </c>
      <c r="Q46" s="48">
        <f t="shared" ref="Q46:Q69" si="12">ROUND(O46*($B$73),0)+ROUND(P46*($B$74),0)</f>
        <v>179212</v>
      </c>
      <c r="R46" s="49">
        <f t="shared" si="10"/>
        <v>0</v>
      </c>
      <c r="T46" s="20" t="str">
        <f>VLOOKUP(D46,[1]COMBO!$B$3:$B$57,1,FALSE)</f>
        <v>200045700C</v>
      </c>
    </row>
    <row r="47" spans="1:20" s="20" customFormat="1" ht="12.75" x14ac:dyDescent="0.2">
      <c r="A47" s="40" t="s">
        <v>76</v>
      </c>
      <c r="B47" s="41">
        <v>87</v>
      </c>
      <c r="C47" s="41">
        <v>2</v>
      </c>
      <c r="D47" s="40" t="s">
        <v>77</v>
      </c>
      <c r="E47" s="41"/>
      <c r="F47" s="41"/>
      <c r="G47" s="41" t="s">
        <v>152</v>
      </c>
      <c r="H47" s="42">
        <v>1217</v>
      </c>
      <c r="I47" s="42">
        <v>4620</v>
      </c>
      <c r="J47" s="43">
        <v>0.3261904761904762</v>
      </c>
      <c r="K47" s="44">
        <v>76723140</v>
      </c>
      <c r="L47" s="45">
        <v>0.13239999999999999</v>
      </c>
      <c r="M47" s="44">
        <v>616006.74513953738</v>
      </c>
      <c r="N47" s="61">
        <f t="shared" si="8"/>
        <v>10158143.736</v>
      </c>
      <c r="O47" s="47">
        <f t="shared" si="9"/>
        <v>4.5585760181723174E-2</v>
      </c>
      <c r="P47" s="47">
        <f t="shared" si="11"/>
        <v>4.6896206160273173E-2</v>
      </c>
      <c r="Q47" s="48">
        <f t="shared" si="12"/>
        <v>208401</v>
      </c>
      <c r="R47" s="49">
        <f t="shared" si="10"/>
        <v>0</v>
      </c>
      <c r="T47" s="20" t="str">
        <f>VLOOKUP(D47,[1]COMBO!$B$3:$B$57,1,FALSE)</f>
        <v>200019120A</v>
      </c>
    </row>
    <row r="48" spans="1:20" s="20" customFormat="1" ht="12.75" x14ac:dyDescent="0.2">
      <c r="A48" s="40" t="s">
        <v>78</v>
      </c>
      <c r="B48" s="41">
        <v>73</v>
      </c>
      <c r="C48" s="41">
        <v>2</v>
      </c>
      <c r="D48" s="40" t="s">
        <v>79</v>
      </c>
      <c r="E48" s="41"/>
      <c r="F48" s="41"/>
      <c r="G48" s="41" t="s">
        <v>153</v>
      </c>
      <c r="H48" s="42">
        <v>614</v>
      </c>
      <c r="I48" s="42">
        <v>3065</v>
      </c>
      <c r="J48" s="43">
        <v>0.28384991843393148</v>
      </c>
      <c r="K48" s="44">
        <v>115723212.04000142</v>
      </c>
      <c r="L48" s="45">
        <v>0.13</v>
      </c>
      <c r="M48" s="44">
        <v>5144738.7500144783</v>
      </c>
      <c r="N48" s="61">
        <f t="shared" si="8"/>
        <v>15044017.565200185</v>
      </c>
      <c r="O48" s="47">
        <f t="shared" si="9"/>
        <v>6.7511643339562874E-2</v>
      </c>
      <c r="P48" s="47">
        <f t="shared" si="11"/>
        <v>6.9452388896222531E-2</v>
      </c>
      <c r="Q48" s="48">
        <f t="shared" si="12"/>
        <v>308638</v>
      </c>
      <c r="R48" s="49">
        <f t="shared" si="10"/>
        <v>0</v>
      </c>
      <c r="T48" s="20" t="str">
        <f>VLOOKUP(D48,[1]COMBO!$B$3:$B$57,1,FALSE)</f>
        <v>200102450A</v>
      </c>
    </row>
    <row r="49" spans="1:20" s="20" customFormat="1" ht="12.75" x14ac:dyDescent="0.2">
      <c r="A49" s="40" t="s">
        <v>80</v>
      </c>
      <c r="B49" s="41">
        <v>25</v>
      </c>
      <c r="C49" s="41">
        <v>2</v>
      </c>
      <c r="D49" s="40" t="s">
        <v>81</v>
      </c>
      <c r="E49" s="41"/>
      <c r="F49" s="41"/>
      <c r="G49" s="41" t="s">
        <v>154</v>
      </c>
      <c r="H49" s="42">
        <v>152</v>
      </c>
      <c r="I49" s="42">
        <v>1263</v>
      </c>
      <c r="J49" s="43">
        <v>0.37371338083927158</v>
      </c>
      <c r="K49" s="44">
        <v>24880099</v>
      </c>
      <c r="L49" s="45">
        <v>0.192</v>
      </c>
      <c r="M49" s="44">
        <v>984044.6681856513</v>
      </c>
      <c r="N49" s="61">
        <f t="shared" si="8"/>
        <v>4776979.0080000004</v>
      </c>
      <c r="O49" s="47">
        <f t="shared" si="9"/>
        <v>2.1437205961171282E-2</v>
      </c>
      <c r="P49" s="47">
        <f t="shared" si="11"/>
        <v>2.2053457620267843E-2</v>
      </c>
      <c r="Q49" s="48">
        <f t="shared" si="12"/>
        <v>98003</v>
      </c>
      <c r="R49" s="49">
        <f t="shared" si="10"/>
        <v>0</v>
      </c>
      <c r="T49" s="20" t="str">
        <f>VLOOKUP(D49,[1]COMBO!$B$3:$B$57,1,FALSE)</f>
        <v>200668710A</v>
      </c>
    </row>
    <row r="50" spans="1:20" s="20" customFormat="1" ht="12.75" x14ac:dyDescent="0.2">
      <c r="A50" s="40" t="s">
        <v>82</v>
      </c>
      <c r="B50" s="41">
        <v>34</v>
      </c>
      <c r="C50" s="41">
        <v>2</v>
      </c>
      <c r="D50" s="40" t="s">
        <v>83</v>
      </c>
      <c r="E50" s="41"/>
      <c r="F50" s="41"/>
      <c r="G50" s="41" t="s">
        <v>155</v>
      </c>
      <c r="H50" s="42">
        <v>429</v>
      </c>
      <c r="I50" s="42">
        <v>3134</v>
      </c>
      <c r="J50" s="43">
        <v>0.16751754945756223</v>
      </c>
      <c r="K50" s="44">
        <v>15443038</v>
      </c>
      <c r="L50" s="45">
        <v>0.25629999999999997</v>
      </c>
      <c r="M50" s="44">
        <v>735009.22283711843</v>
      </c>
      <c r="N50" s="61">
        <f t="shared" si="8"/>
        <v>3958050.6393999998</v>
      </c>
      <c r="O50" s="47">
        <f t="shared" si="9"/>
        <v>1.7762177020134703E-2</v>
      </c>
      <c r="P50" s="47">
        <f t="shared" si="11"/>
        <v>1.8272783256677423E-2</v>
      </c>
      <c r="Q50" s="48">
        <f t="shared" si="12"/>
        <v>81202</v>
      </c>
      <c r="R50" s="49">
        <f t="shared" si="10"/>
        <v>0</v>
      </c>
      <c r="T50" s="20" t="str">
        <f>VLOOKUP(D50,[1]COMBO!$B$3:$B$57,1,FALSE)</f>
        <v>100700720A</v>
      </c>
    </row>
    <row r="51" spans="1:20" s="20" customFormat="1" ht="12.75" x14ac:dyDescent="0.2">
      <c r="A51" s="40" t="s">
        <v>84</v>
      </c>
      <c r="B51" s="41">
        <v>15</v>
      </c>
      <c r="C51" s="41">
        <v>0</v>
      </c>
      <c r="D51" s="40" t="s">
        <v>85</v>
      </c>
      <c r="E51" s="41"/>
      <c r="F51" s="41"/>
      <c r="G51" s="41" t="s">
        <v>156</v>
      </c>
      <c r="H51" s="42">
        <v>269</v>
      </c>
      <c r="I51" s="42">
        <v>1696</v>
      </c>
      <c r="J51" s="43">
        <v>0.24823113207547171</v>
      </c>
      <c r="K51" s="44">
        <v>13980121</v>
      </c>
      <c r="L51" s="45">
        <v>0.5403</v>
      </c>
      <c r="M51" s="44">
        <v>780804.24018628569</v>
      </c>
      <c r="N51" s="61">
        <f t="shared" si="8"/>
        <v>7553459.3762999997</v>
      </c>
      <c r="O51" s="47">
        <f t="shared" si="9"/>
        <v>3.3896959584270261E-2</v>
      </c>
      <c r="P51" s="47">
        <f t="shared" si="11"/>
        <v>3.4871389629863497E-2</v>
      </c>
      <c r="Q51" s="48">
        <f t="shared" si="12"/>
        <v>154965</v>
      </c>
      <c r="R51" s="49">
        <f t="shared" si="10"/>
        <v>0</v>
      </c>
      <c r="T51" s="20" t="str">
        <f>VLOOKUP(D51,[1]COMBO!$B$3:$B$57,1,FALSE)</f>
        <v>200910710B</v>
      </c>
    </row>
    <row r="52" spans="1:20" s="20" customFormat="1" ht="12.75" x14ac:dyDescent="0.2">
      <c r="A52" s="40" t="s">
        <v>86</v>
      </c>
      <c r="B52" s="41">
        <v>25</v>
      </c>
      <c r="C52" s="41">
        <v>2</v>
      </c>
      <c r="D52" s="40" t="s">
        <v>87</v>
      </c>
      <c r="E52" s="41"/>
      <c r="F52" s="41"/>
      <c r="G52" s="41" t="s">
        <v>157</v>
      </c>
      <c r="H52" s="42">
        <v>58</v>
      </c>
      <c r="I52" s="42">
        <v>438</v>
      </c>
      <c r="J52" s="43">
        <v>0.13242009132420091</v>
      </c>
      <c r="K52" s="44">
        <v>10776190</v>
      </c>
      <c r="L52" s="45">
        <v>0.65620000000000001</v>
      </c>
      <c r="M52" s="44">
        <v>1689607.723028691</v>
      </c>
      <c r="N52" s="61">
        <f t="shared" si="8"/>
        <v>7071335.8780000005</v>
      </c>
      <c r="O52" s="47">
        <f t="shared" si="9"/>
        <v>3.1733378644419184E-2</v>
      </c>
      <c r="P52" s="47">
        <f t="shared" si="11"/>
        <v>3.2645612602229902E-2</v>
      </c>
      <c r="Q52" s="48">
        <f t="shared" si="12"/>
        <v>145073</v>
      </c>
      <c r="R52" s="49">
        <f t="shared" si="10"/>
        <v>0</v>
      </c>
      <c r="T52" s="20" t="str">
        <f>VLOOKUP(D52,[1]COMBO!$B$3:$B$57,1,FALSE)</f>
        <v>200925590A</v>
      </c>
    </row>
    <row r="53" spans="1:20" s="20" customFormat="1" ht="12.75" x14ac:dyDescent="0.2">
      <c r="A53" s="40" t="s">
        <v>88</v>
      </c>
      <c r="B53" s="41">
        <v>99</v>
      </c>
      <c r="C53" s="41">
        <v>2</v>
      </c>
      <c r="D53" s="40" t="s">
        <v>89</v>
      </c>
      <c r="E53" s="41"/>
      <c r="F53" s="41"/>
      <c r="G53" s="41" t="s">
        <v>158</v>
      </c>
      <c r="H53" s="42">
        <v>719</v>
      </c>
      <c r="I53" s="42">
        <v>1753</v>
      </c>
      <c r="J53" s="43">
        <v>0.6297775242441529</v>
      </c>
      <c r="K53" s="44">
        <v>42699161.350000188</v>
      </c>
      <c r="L53" s="45">
        <v>0.20169999999999999</v>
      </c>
      <c r="M53" s="44">
        <v>2614935.5603107139</v>
      </c>
      <c r="N53" s="61">
        <f t="shared" si="8"/>
        <v>8612420.8442950379</v>
      </c>
      <c r="O53" s="47">
        <f t="shared" si="9"/>
        <v>3.8649162819062853E-2</v>
      </c>
      <c r="P53" s="47">
        <f t="shared" si="11"/>
        <v>3.976020363068173E-2</v>
      </c>
      <c r="Q53" s="48">
        <f t="shared" si="12"/>
        <v>176690</v>
      </c>
      <c r="R53" s="49">
        <f t="shared" si="10"/>
        <v>0</v>
      </c>
      <c r="T53" s="20" t="str">
        <f>VLOOKUP(D53,[1]COMBO!$B$3:$B$57,1,FALSE)</f>
        <v>200044190A</v>
      </c>
    </row>
    <row r="54" spans="1:20" s="20" customFormat="1" ht="12.75" x14ac:dyDescent="0.2">
      <c r="A54" s="40" t="s">
        <v>90</v>
      </c>
      <c r="B54" s="41">
        <v>48</v>
      </c>
      <c r="C54" s="41">
        <v>0</v>
      </c>
      <c r="D54" s="40" t="s">
        <v>91</v>
      </c>
      <c r="E54" s="41"/>
      <c r="F54" s="41"/>
      <c r="G54" s="41" t="s">
        <v>159</v>
      </c>
      <c r="H54" s="42">
        <v>318</v>
      </c>
      <c r="I54" s="42">
        <v>1674</v>
      </c>
      <c r="J54" s="43">
        <v>0.38530465949820786</v>
      </c>
      <c r="K54" s="44">
        <v>71363489.000000089</v>
      </c>
      <c r="L54" s="45">
        <v>0.14449999999999999</v>
      </c>
      <c r="M54" s="44">
        <v>1431298.7749283961</v>
      </c>
      <c r="N54" s="61">
        <f t="shared" si="8"/>
        <v>10312024.160500012</v>
      </c>
      <c r="O54" s="47">
        <f t="shared" si="9"/>
        <v>4.6276315101029877E-2</v>
      </c>
      <c r="P54" s="47">
        <f t="shared" si="11"/>
        <v>4.7606612342635836E-2</v>
      </c>
      <c r="Q54" s="48">
        <f t="shared" si="12"/>
        <v>211558</v>
      </c>
      <c r="R54" s="49">
        <f t="shared" si="10"/>
        <v>0</v>
      </c>
      <c r="T54" s="20" t="str">
        <f>VLOOKUP(D54,[1]COMBO!$B$3:$B$57,1,FALSE)</f>
        <v>200735850A</v>
      </c>
    </row>
    <row r="55" spans="1:20" s="20" customFormat="1" ht="12.75" x14ac:dyDescent="0.2">
      <c r="A55" s="40" t="s">
        <v>92</v>
      </c>
      <c r="B55" s="41">
        <v>75</v>
      </c>
      <c r="C55" s="41">
        <v>2</v>
      </c>
      <c r="D55" s="40" t="s">
        <v>93</v>
      </c>
      <c r="E55" s="41"/>
      <c r="F55" s="41"/>
      <c r="G55" s="41" t="s">
        <v>160</v>
      </c>
      <c r="H55" s="42">
        <v>4452</v>
      </c>
      <c r="I55" s="42">
        <v>17711</v>
      </c>
      <c r="J55" s="43">
        <v>0.30354017277398226</v>
      </c>
      <c r="K55" s="44">
        <v>143264993</v>
      </c>
      <c r="L55" s="45">
        <v>0.13769999999999999</v>
      </c>
      <c r="M55" s="44">
        <v>946790.68145363219</v>
      </c>
      <c r="N55" s="61">
        <f t="shared" si="8"/>
        <v>19727589.5361</v>
      </c>
      <c r="O55" s="47">
        <f t="shared" si="9"/>
        <v>8.8529675197354996E-2</v>
      </c>
      <c r="P55" s="47">
        <f t="shared" si="11"/>
        <v>9.1074622487522697E-2</v>
      </c>
      <c r="Q55" s="48">
        <f t="shared" si="12"/>
        <v>404724</v>
      </c>
      <c r="R55" s="49">
        <f t="shared" si="10"/>
        <v>0</v>
      </c>
      <c r="T55" s="20" t="str">
        <f>VLOOKUP(D55,[1]COMBO!$B$3:$B$57,1,FALSE)</f>
        <v>100700610A</v>
      </c>
    </row>
    <row r="56" spans="1:20" s="20" customFormat="1" ht="12.75" x14ac:dyDescent="0.2">
      <c r="A56" s="40" t="s">
        <v>94</v>
      </c>
      <c r="B56" s="41">
        <v>58</v>
      </c>
      <c r="C56" s="41">
        <v>2</v>
      </c>
      <c r="D56" s="40" t="s">
        <v>95</v>
      </c>
      <c r="E56" s="41"/>
      <c r="F56" s="41"/>
      <c r="G56" s="41" t="s">
        <v>161</v>
      </c>
      <c r="H56" s="42">
        <v>1543</v>
      </c>
      <c r="I56" s="42">
        <v>6282</v>
      </c>
      <c r="J56" s="43">
        <v>0.3347659980897803</v>
      </c>
      <c r="K56" s="44">
        <v>75809053.270000041</v>
      </c>
      <c r="L56" s="45">
        <v>0.1867</v>
      </c>
      <c r="M56" s="44">
        <v>1724036.7193223238</v>
      </c>
      <c r="N56" s="61">
        <f t="shared" si="8"/>
        <v>14153550.245509008</v>
      </c>
      <c r="O56" s="47">
        <f t="shared" si="9"/>
        <v>6.3515575677983577E-2</v>
      </c>
      <c r="P56" s="47">
        <f t="shared" si="11"/>
        <v>6.534144696741033E-2</v>
      </c>
      <c r="Q56" s="48">
        <f t="shared" si="12"/>
        <v>290370</v>
      </c>
      <c r="R56" s="49">
        <f t="shared" si="10"/>
        <v>0</v>
      </c>
      <c r="T56" s="20" t="str">
        <f>VLOOKUP(D56,[1]COMBO!$B$3:$B$57,1,FALSE)</f>
        <v>100699700A</v>
      </c>
    </row>
    <row r="57" spans="1:20" s="20" customFormat="1" ht="12.75" x14ac:dyDescent="0.2">
      <c r="A57" s="40" t="s">
        <v>96</v>
      </c>
      <c r="B57" s="41">
        <v>95</v>
      </c>
      <c r="C57" s="41">
        <v>2</v>
      </c>
      <c r="D57" s="40" t="s">
        <v>97</v>
      </c>
      <c r="E57" s="41"/>
      <c r="F57" s="41"/>
      <c r="G57" s="41" t="s">
        <v>162</v>
      </c>
      <c r="H57" s="42">
        <v>3669</v>
      </c>
      <c r="I57" s="42">
        <v>21821</v>
      </c>
      <c r="J57" s="43">
        <v>0.20897300765317814</v>
      </c>
      <c r="K57" s="44">
        <v>117814763</v>
      </c>
      <c r="L57" s="45">
        <v>0.1527</v>
      </c>
      <c r="M57" s="44">
        <v>5030673.3759445436</v>
      </c>
      <c r="N57" s="61">
        <f t="shared" si="8"/>
        <v>17990314.3101</v>
      </c>
      <c r="O57" s="47">
        <f t="shared" si="9"/>
        <v>8.0733466177254062E-2</v>
      </c>
      <c r="P57" s="47">
        <f t="shared" si="11"/>
        <v>8.3054297192567531E-2</v>
      </c>
      <c r="Q57" s="48">
        <f t="shared" si="12"/>
        <v>369083</v>
      </c>
      <c r="R57" s="49">
        <f t="shared" si="10"/>
        <v>0</v>
      </c>
      <c r="T57" s="20" t="str">
        <f>VLOOKUP(D57,[1]COMBO!$B$3:$B$57,1,FALSE)</f>
        <v>200405550A</v>
      </c>
    </row>
    <row r="58" spans="1:20" s="20" customFormat="1" ht="12.75" x14ac:dyDescent="0.2">
      <c r="A58" s="40" t="s">
        <v>98</v>
      </c>
      <c r="B58" s="41">
        <v>97</v>
      </c>
      <c r="C58" s="41">
        <v>2</v>
      </c>
      <c r="D58" s="40" t="s">
        <v>99</v>
      </c>
      <c r="E58" s="41"/>
      <c r="F58" s="41"/>
      <c r="G58" s="41" t="s">
        <v>163</v>
      </c>
      <c r="H58" s="42">
        <v>1647</v>
      </c>
      <c r="I58" s="42">
        <v>5454</v>
      </c>
      <c r="J58" s="43">
        <v>0.42574257425742573</v>
      </c>
      <c r="K58" s="44">
        <v>76952130.579999998</v>
      </c>
      <c r="L58" s="45">
        <v>0.22459999999999999</v>
      </c>
      <c r="M58" s="44">
        <v>4277121.1425195206</v>
      </c>
      <c r="N58" s="61">
        <f t="shared" si="8"/>
        <v>17283448.528267998</v>
      </c>
      <c r="O58" s="47">
        <f t="shared" si="9"/>
        <v>7.7561330120834326E-2</v>
      </c>
      <c r="P58" s="47">
        <f t="shared" si="11"/>
        <v>7.9790972288534476E-2</v>
      </c>
      <c r="Q58" s="48">
        <f t="shared" si="12"/>
        <v>354581</v>
      </c>
      <c r="R58" s="49">
        <f t="shared" si="10"/>
        <v>0</v>
      </c>
      <c r="T58" s="20" t="str">
        <f>VLOOKUP(D58,[1]COMBO!$B$3:$B$57,1,FALSE)</f>
        <v>100699440A</v>
      </c>
    </row>
    <row r="59" spans="1:20" s="20" customFormat="1" ht="12.75" x14ac:dyDescent="0.2">
      <c r="A59" s="40" t="s">
        <v>100</v>
      </c>
      <c r="B59" s="41">
        <v>23</v>
      </c>
      <c r="C59" s="41">
        <v>2</v>
      </c>
      <c r="D59" s="40" t="s">
        <v>101</v>
      </c>
      <c r="E59" s="41"/>
      <c r="F59" s="41"/>
      <c r="G59" s="41" t="s">
        <v>164</v>
      </c>
      <c r="H59" s="42">
        <v>1517</v>
      </c>
      <c r="I59" s="42">
        <v>6205</v>
      </c>
      <c r="J59" s="43">
        <v>0.2444802578565673</v>
      </c>
      <c r="K59" s="44">
        <v>15525446.84</v>
      </c>
      <c r="L59" s="45">
        <v>0.1726</v>
      </c>
      <c r="M59" s="44">
        <v>1368158.0542399397</v>
      </c>
      <c r="N59" s="61">
        <f t="shared" si="8"/>
        <v>2679692.1245840001</v>
      </c>
      <c r="O59" s="47">
        <f t="shared" si="9"/>
        <v>1.2025405992162119E-2</v>
      </c>
      <c r="P59" s="47">
        <f t="shared" si="11"/>
        <v>1.2371098262292959E-2</v>
      </c>
      <c r="Q59" s="48">
        <f t="shared" si="12"/>
        <v>54976</v>
      </c>
      <c r="R59" s="49">
        <f t="shared" si="10"/>
        <v>0</v>
      </c>
      <c r="T59" s="20" t="str">
        <f>VLOOKUP(D59,[1]COMBO!$B$3:$B$57,1,FALSE)</f>
        <v>100745350B</v>
      </c>
    </row>
    <row r="60" spans="1:20" s="20" customFormat="1" ht="12.75" x14ac:dyDescent="0.2">
      <c r="A60" s="40" t="s">
        <v>102</v>
      </c>
      <c r="B60" s="41">
        <v>25</v>
      </c>
      <c r="C60" s="41">
        <v>2</v>
      </c>
      <c r="D60" s="40" t="s">
        <v>103</v>
      </c>
      <c r="E60" s="41"/>
      <c r="F60" s="41"/>
      <c r="G60" s="41" t="s">
        <v>165</v>
      </c>
      <c r="H60" s="42">
        <v>148</v>
      </c>
      <c r="I60" s="42">
        <v>1363</v>
      </c>
      <c r="J60" s="43">
        <v>0.16067498165810712</v>
      </c>
      <c r="K60" s="44">
        <v>8647118</v>
      </c>
      <c r="L60" s="45">
        <v>0.41439999999999999</v>
      </c>
      <c r="M60" s="44">
        <v>2043961.5620389255</v>
      </c>
      <c r="N60" s="61">
        <f t="shared" si="8"/>
        <v>3583365.6992000001</v>
      </c>
      <c r="O60" s="47">
        <f t="shared" si="9"/>
        <v>1.6080738140004599E-2</v>
      </c>
      <c r="P60" s="47">
        <f t="shared" si="11"/>
        <v>1.6543008343324218E-2</v>
      </c>
      <c r="Q60" s="48">
        <f t="shared" si="12"/>
        <v>73515</v>
      </c>
      <c r="R60" s="49">
        <f t="shared" si="10"/>
        <v>0</v>
      </c>
      <c r="T60" s="20" t="str">
        <f>VLOOKUP(D60,[1]COMBO!$B$3:$B$57,1,FALSE)</f>
        <v>100699630A</v>
      </c>
    </row>
    <row r="61" spans="1:20" s="20" customFormat="1" ht="12.75" x14ac:dyDescent="0.2">
      <c r="A61" s="40" t="s">
        <v>104</v>
      </c>
      <c r="B61" s="41">
        <v>25</v>
      </c>
      <c r="C61" s="41">
        <v>2</v>
      </c>
      <c r="D61" s="40" t="s">
        <v>105</v>
      </c>
      <c r="E61" s="41"/>
      <c r="F61" s="41"/>
      <c r="G61" s="41" t="s">
        <v>166</v>
      </c>
      <c r="H61" s="42">
        <v>40</v>
      </c>
      <c r="I61" s="42">
        <v>380</v>
      </c>
      <c r="J61" s="43">
        <v>0.32105263157894737</v>
      </c>
      <c r="K61" s="44">
        <v>9147709</v>
      </c>
      <c r="L61" s="45">
        <v>0.55410000000000004</v>
      </c>
      <c r="M61" s="44">
        <v>1649300.4739792659</v>
      </c>
      <c r="N61" s="61">
        <f t="shared" si="8"/>
        <v>5068745.5569000002</v>
      </c>
      <c r="O61" s="47">
        <f t="shared" si="9"/>
        <v>2.2746539661586289E-2</v>
      </c>
      <c r="P61" s="47">
        <f t="shared" si="11"/>
        <v>2.3400430510540582E-2</v>
      </c>
      <c r="Q61" s="48">
        <f t="shared" si="12"/>
        <v>103989</v>
      </c>
      <c r="R61" s="49">
        <f t="shared" si="10"/>
        <v>0</v>
      </c>
      <c r="T61" s="20" t="str">
        <f>VLOOKUP(D61,[1]COMBO!$B$3:$B$57,1,FALSE)</f>
        <v>100699960A</v>
      </c>
    </row>
    <row r="62" spans="1:20" s="20" customFormat="1" ht="12.75" x14ac:dyDescent="0.2">
      <c r="A62" s="40" t="s">
        <v>106</v>
      </c>
      <c r="B62" s="41">
        <v>22</v>
      </c>
      <c r="C62" s="41">
        <v>2</v>
      </c>
      <c r="D62" s="40" t="s">
        <v>107</v>
      </c>
      <c r="E62" s="41"/>
      <c r="F62" s="41"/>
      <c r="G62" s="41" t="s">
        <v>167</v>
      </c>
      <c r="H62" s="42">
        <v>20</v>
      </c>
      <c r="I62" s="42">
        <v>375</v>
      </c>
      <c r="J62" s="43">
        <v>0.26400000000000001</v>
      </c>
      <c r="K62" s="44">
        <v>6073530</v>
      </c>
      <c r="L62" s="45">
        <v>0.53500000000000003</v>
      </c>
      <c r="M62" s="44">
        <v>1172811.8513714545</v>
      </c>
      <c r="N62" s="61">
        <f t="shared" si="8"/>
        <v>3249338.5500000003</v>
      </c>
      <c r="O62" s="47">
        <f t="shared" si="9"/>
        <v>1.4581755460358859E-2</v>
      </c>
      <c r="P62" s="47">
        <f t="shared" si="11"/>
        <v>1.5000934667353591E-2</v>
      </c>
      <c r="Q62" s="48">
        <f t="shared" si="12"/>
        <v>66662</v>
      </c>
      <c r="R62" s="49">
        <f t="shared" si="10"/>
        <v>0</v>
      </c>
      <c r="T62" s="20" t="str">
        <f>VLOOKUP(D62,[1]COMBO!$B$3:$B$57,1,FALSE)</f>
        <v>200226190A</v>
      </c>
    </row>
    <row r="63" spans="1:20" s="20" customFormat="1" ht="12.75" x14ac:dyDescent="0.2">
      <c r="A63" s="65" t="s">
        <v>108</v>
      </c>
      <c r="B63" s="41">
        <v>25</v>
      </c>
      <c r="C63" s="41">
        <v>2</v>
      </c>
      <c r="D63" s="65" t="s">
        <v>109</v>
      </c>
      <c r="E63" s="41"/>
      <c r="F63" s="41"/>
      <c r="G63" s="41" t="s">
        <v>168</v>
      </c>
      <c r="H63" s="42">
        <v>41</v>
      </c>
      <c r="I63" s="42">
        <v>614</v>
      </c>
      <c r="J63" s="43">
        <v>0.15146579804560262</v>
      </c>
      <c r="K63" s="44">
        <v>7835279</v>
      </c>
      <c r="L63" s="45">
        <v>0.45929999999999999</v>
      </c>
      <c r="M63" s="44">
        <v>695328.16871033516</v>
      </c>
      <c r="N63" s="61">
        <f t="shared" si="8"/>
        <v>3598743.6447000001</v>
      </c>
      <c r="O63" s="63">
        <f t="shared" si="9"/>
        <v>1.6149748320788537E-2</v>
      </c>
      <c r="P63" s="47">
        <f t="shared" si="11"/>
        <v>1.661400234786204E-2</v>
      </c>
      <c r="Q63" s="48">
        <f t="shared" si="12"/>
        <v>73831</v>
      </c>
      <c r="R63" s="49">
        <f t="shared" si="10"/>
        <v>0</v>
      </c>
      <c r="T63" s="20" t="str">
        <f>VLOOKUP(D63,[1]COMBO!$B$3:$B$57,1,FALSE)</f>
        <v>200521810B</v>
      </c>
    </row>
    <row r="64" spans="1:20" s="20" customFormat="1" ht="12.75" x14ac:dyDescent="0.2">
      <c r="A64" s="40" t="s">
        <v>110</v>
      </c>
      <c r="B64" s="41">
        <v>25</v>
      </c>
      <c r="C64" s="41">
        <v>2</v>
      </c>
      <c r="D64" s="40" t="s">
        <v>111</v>
      </c>
      <c r="E64" s="41"/>
      <c r="F64" s="41"/>
      <c r="G64" s="41" t="s">
        <v>169</v>
      </c>
      <c r="H64" s="42">
        <v>144</v>
      </c>
      <c r="I64" s="42">
        <v>1079</v>
      </c>
      <c r="J64" s="43">
        <v>0.30769230769230771</v>
      </c>
      <c r="K64" s="44">
        <v>17732910</v>
      </c>
      <c r="L64" s="45">
        <v>0.3392</v>
      </c>
      <c r="M64" s="44">
        <v>138193.49684474524</v>
      </c>
      <c r="N64" s="61">
        <f t="shared" si="8"/>
        <v>6015003.0719999997</v>
      </c>
      <c r="O64" s="47">
        <f t="shared" si="9"/>
        <v>2.6992971812435887E-2</v>
      </c>
      <c r="P64" s="47">
        <f t="shared" si="11"/>
        <v>2.776893411337613E-2</v>
      </c>
      <c r="Q64" s="48">
        <f t="shared" si="12"/>
        <v>123402</v>
      </c>
      <c r="R64" s="49">
        <f t="shared" si="10"/>
        <v>0</v>
      </c>
      <c r="T64" s="20" t="str">
        <f>VLOOKUP(D64,[1]COMBO!$B$3:$B$57,1,FALSE)</f>
        <v>200425410C</v>
      </c>
    </row>
    <row r="65" spans="1:20" s="20" customFormat="1" ht="12.75" x14ac:dyDescent="0.2">
      <c r="A65" s="40" t="s">
        <v>112</v>
      </c>
      <c r="B65" s="41">
        <v>25</v>
      </c>
      <c r="C65" s="41">
        <v>2</v>
      </c>
      <c r="D65" s="40" t="s">
        <v>113</v>
      </c>
      <c r="E65" s="41"/>
      <c r="F65" s="41"/>
      <c r="G65" s="41" t="s">
        <v>170</v>
      </c>
      <c r="H65" s="42">
        <v>37</v>
      </c>
      <c r="I65" s="42">
        <v>205</v>
      </c>
      <c r="J65" s="43">
        <v>0.5024390243902439</v>
      </c>
      <c r="K65" s="44">
        <v>6731394</v>
      </c>
      <c r="L65" s="45">
        <v>0.62980000000000003</v>
      </c>
      <c r="M65" s="44">
        <v>1419050.6722972095</v>
      </c>
      <c r="N65" s="61">
        <f t="shared" si="8"/>
        <v>4239431.9412000002</v>
      </c>
      <c r="O65" s="47">
        <f t="shared" si="9"/>
        <v>1.9024905809649429E-2</v>
      </c>
      <c r="P65" s="47">
        <f t="shared" si="11"/>
        <v>1.9571811492721559E-2</v>
      </c>
      <c r="Q65" s="48">
        <f t="shared" si="12"/>
        <v>86974</v>
      </c>
      <c r="R65" s="49">
        <f t="shared" si="10"/>
        <v>0</v>
      </c>
      <c r="T65" s="20" t="str">
        <f>VLOOKUP(D65,[1]COMBO!$B$3:$B$57,1,FALSE)</f>
        <v>200318440B</v>
      </c>
    </row>
    <row r="66" spans="1:20" s="20" customFormat="1" ht="12.75" x14ac:dyDescent="0.2">
      <c r="A66" s="40" t="s">
        <v>114</v>
      </c>
      <c r="B66" s="41">
        <v>25</v>
      </c>
      <c r="C66" s="41">
        <v>2</v>
      </c>
      <c r="D66" s="40" t="s">
        <v>115</v>
      </c>
      <c r="E66" s="41"/>
      <c r="F66" s="41"/>
      <c r="G66" s="41" t="s">
        <v>171</v>
      </c>
      <c r="H66" s="42">
        <v>85</v>
      </c>
      <c r="I66" s="42">
        <v>482</v>
      </c>
      <c r="J66" s="43">
        <v>0.34647302904564314</v>
      </c>
      <c r="K66" s="44">
        <v>6948503</v>
      </c>
      <c r="L66" s="45">
        <v>0.49419999999999997</v>
      </c>
      <c r="M66" s="44">
        <v>1152833.9106636464</v>
      </c>
      <c r="N66" s="61">
        <f t="shared" si="8"/>
        <v>3433950.1825999999</v>
      </c>
      <c r="O66" s="47">
        <f t="shared" si="9"/>
        <v>1.5410219974070676E-2</v>
      </c>
      <c r="P66" s="47">
        <f t="shared" si="11"/>
        <v>1.5853214907424629E-2</v>
      </c>
      <c r="Q66" s="48">
        <f t="shared" si="12"/>
        <v>70449</v>
      </c>
      <c r="R66" s="49">
        <f t="shared" si="10"/>
        <v>0</v>
      </c>
      <c r="T66" s="20" t="str">
        <f>VLOOKUP(D66,[1]COMBO!$B$3:$B$57,1,FALSE)</f>
        <v>200490030A</v>
      </c>
    </row>
    <row r="67" spans="1:20" s="20" customFormat="1" ht="12.75" x14ac:dyDescent="0.2">
      <c r="A67" s="40" t="s">
        <v>116</v>
      </c>
      <c r="B67" s="41">
        <v>41</v>
      </c>
      <c r="C67" s="41">
        <v>0</v>
      </c>
      <c r="D67" s="40" t="s">
        <v>117</v>
      </c>
      <c r="E67" s="41"/>
      <c r="F67" s="41"/>
      <c r="G67" s="41" t="s">
        <v>172</v>
      </c>
      <c r="H67" s="42">
        <v>224</v>
      </c>
      <c r="I67" s="42">
        <v>2666</v>
      </c>
      <c r="J67" s="43">
        <v>0.25131282820705175</v>
      </c>
      <c r="K67" s="44">
        <v>24060369.490000002</v>
      </c>
      <c r="L67" s="45">
        <v>0.25879999999999997</v>
      </c>
      <c r="M67" s="44">
        <v>97346.893104955088</v>
      </c>
      <c r="N67" s="61">
        <f t="shared" si="8"/>
        <v>6226823.6240119999</v>
      </c>
      <c r="O67" s="47">
        <f t="shared" si="9"/>
        <v>2.7943539272055389E-2</v>
      </c>
      <c r="P67" s="47">
        <v>0</v>
      </c>
      <c r="Q67" s="48">
        <v>97346</v>
      </c>
      <c r="R67" s="49">
        <f t="shared" si="10"/>
        <v>0</v>
      </c>
      <c r="T67" s="20" t="str">
        <f>VLOOKUP(D67,[1]COMBO!$B$3:$B$57,1,FALSE)</f>
        <v>100700190A</v>
      </c>
    </row>
    <row r="68" spans="1:20" s="20" customFormat="1" ht="12.75" x14ac:dyDescent="0.2">
      <c r="A68" s="40" t="s">
        <v>118</v>
      </c>
      <c r="B68" s="41">
        <v>54</v>
      </c>
      <c r="C68" s="41">
        <v>2</v>
      </c>
      <c r="D68" s="40" t="s">
        <v>119</v>
      </c>
      <c r="E68" s="41"/>
      <c r="F68" s="41"/>
      <c r="G68" s="41" t="s">
        <v>173</v>
      </c>
      <c r="H68" s="42">
        <v>1225</v>
      </c>
      <c r="I68" s="42">
        <v>5716</v>
      </c>
      <c r="J68" s="43">
        <v>0.27414275717284814</v>
      </c>
      <c r="K68" s="44">
        <v>45550738</v>
      </c>
      <c r="L68" s="45">
        <v>0.21460000000000001</v>
      </c>
      <c r="M68" s="44">
        <v>549128.3471543612</v>
      </c>
      <c r="N68" s="61">
        <f t="shared" si="8"/>
        <v>9775188.3748000003</v>
      </c>
      <c r="O68" s="47">
        <f t="shared" si="9"/>
        <v>4.3867206899778521E-2</v>
      </c>
      <c r="P68" s="47">
        <f t="shared" si="11"/>
        <v>4.5128249923803453E-2</v>
      </c>
      <c r="Q68" s="48">
        <f t="shared" si="12"/>
        <v>200545</v>
      </c>
      <c r="R68" s="49">
        <f t="shared" si="10"/>
        <v>0</v>
      </c>
      <c r="T68" s="20" t="str">
        <f>VLOOKUP(D68,[1]COMBO!$B$3:$B$57,1,FALSE)</f>
        <v>200106410A</v>
      </c>
    </row>
    <row r="69" spans="1:20" s="20" customFormat="1" ht="12.75" x14ac:dyDescent="0.2">
      <c r="A69" s="40" t="s">
        <v>120</v>
      </c>
      <c r="B69" s="41">
        <v>26</v>
      </c>
      <c r="C69" s="41">
        <v>2</v>
      </c>
      <c r="D69" s="40" t="s">
        <v>121</v>
      </c>
      <c r="E69" s="41"/>
      <c r="F69" s="41"/>
      <c r="G69" s="41" t="s">
        <v>174</v>
      </c>
      <c r="H69" s="42">
        <v>75</v>
      </c>
      <c r="I69" s="42">
        <v>1127</v>
      </c>
      <c r="J69" s="43">
        <v>0.20585625554569653</v>
      </c>
      <c r="K69" s="44">
        <v>10864023</v>
      </c>
      <c r="L69" s="45">
        <v>0.4017</v>
      </c>
      <c r="M69" s="44">
        <v>2288500.834543237</v>
      </c>
      <c r="N69" s="61">
        <f t="shared" si="8"/>
        <v>4364078.0390999997</v>
      </c>
      <c r="O69" s="47">
        <f t="shared" si="9"/>
        <v>1.958426855092665E-2</v>
      </c>
      <c r="P69" s="47">
        <f t="shared" si="11"/>
        <v>2.0147254138160414E-2</v>
      </c>
      <c r="Q69" s="48">
        <f t="shared" si="12"/>
        <v>89532</v>
      </c>
      <c r="R69" s="49">
        <f t="shared" si="10"/>
        <v>0</v>
      </c>
      <c r="T69" s="20" t="str">
        <f>VLOOKUP(D69,[1]COMBO!$B$3:$B$57,1,FALSE)</f>
        <v>200417790W</v>
      </c>
    </row>
    <row r="70" spans="1:20" s="50" customFormat="1" ht="12.75" x14ac:dyDescent="0.2">
      <c r="A70" s="18" t="s">
        <v>122</v>
      </c>
      <c r="B70" s="19">
        <f>SUM(B45:B69)</f>
        <v>1126</v>
      </c>
      <c r="H70" s="19">
        <f>SUM(H45:H69)</f>
        <v>21327</v>
      </c>
      <c r="I70" s="19"/>
      <c r="K70" s="19"/>
      <c r="L70" s="51"/>
      <c r="N70" s="52">
        <f>SUM(N45:N69)</f>
        <v>222835896.46208712</v>
      </c>
      <c r="O70" s="66">
        <f>SUM(O45:O69)</f>
        <v>1</v>
      </c>
      <c r="P70" s="66">
        <f>SUM(P45:P69)</f>
        <v>1.0000000000000004</v>
      </c>
      <c r="Q70" s="52">
        <f>SUM(Q45:Q69)</f>
        <v>4541225</v>
      </c>
    </row>
    <row r="71" spans="1:20" s="20" customFormat="1" ht="12.75" x14ac:dyDescent="0.2">
      <c r="A71" s="18" t="s">
        <v>70</v>
      </c>
      <c r="B71" s="53">
        <f>H70/B10</f>
        <v>0.31877970763205882</v>
      </c>
      <c r="L71" s="21"/>
      <c r="Q71" s="55">
        <f>Q70-B73</f>
        <v>0</v>
      </c>
    </row>
    <row r="72" spans="1:20" s="20" customFormat="1" ht="12.75" x14ac:dyDescent="0.2">
      <c r="A72" s="18" t="s">
        <v>46</v>
      </c>
      <c r="B72" s="19">
        <f>COUNT(B45:B69)</f>
        <v>25</v>
      </c>
      <c r="L72" s="21"/>
      <c r="Q72" s="55"/>
    </row>
    <row r="73" spans="1:20" s="20" customFormat="1" ht="12.75" x14ac:dyDescent="0.2">
      <c r="A73" s="18" t="s">
        <v>48</v>
      </c>
      <c r="B73" s="56">
        <f>ROUND((B2-B25)*B71,0)</f>
        <v>4541225</v>
      </c>
      <c r="L73" s="21"/>
    </row>
    <row r="74" spans="1:20" s="20" customFormat="1" ht="12.75" x14ac:dyDescent="0.2">
      <c r="A74" s="18" t="s">
        <v>49</v>
      </c>
      <c r="B74" s="64">
        <v>29552</v>
      </c>
      <c r="L74" s="21"/>
      <c r="Q74" s="22"/>
    </row>
    <row r="75" spans="1:20" s="20" customFormat="1" ht="12.75" x14ac:dyDescent="0.2">
      <c r="B75" s="23"/>
      <c r="L75" s="21"/>
    </row>
    <row r="76" spans="1:20" s="39" customFormat="1" ht="12.75" x14ac:dyDescent="0.2">
      <c r="A76" s="32" t="s">
        <v>123</v>
      </c>
      <c r="B76" s="59"/>
      <c r="C76" s="37"/>
      <c r="D76" s="37"/>
      <c r="E76" s="37"/>
      <c r="F76" s="37"/>
      <c r="G76" s="37"/>
      <c r="H76" s="37"/>
      <c r="I76" s="37"/>
      <c r="J76" s="37"/>
      <c r="K76" s="37"/>
      <c r="L76" s="60"/>
      <c r="M76" s="37"/>
      <c r="N76" s="37"/>
      <c r="O76" s="37"/>
      <c r="P76" s="37"/>
      <c r="Q76" s="37"/>
      <c r="R76" s="37"/>
    </row>
    <row r="77" spans="1:20" s="20" customFormat="1" ht="12.75" x14ac:dyDescent="0.2">
      <c r="A77" s="40" t="s">
        <v>124</v>
      </c>
      <c r="B77" s="41">
        <v>16</v>
      </c>
      <c r="C77" s="41">
        <v>0</v>
      </c>
      <c r="D77" s="40" t="s">
        <v>125</v>
      </c>
      <c r="E77" s="41"/>
      <c r="F77" s="41"/>
      <c r="G77" s="41" t="s">
        <v>175</v>
      </c>
      <c r="H77" s="42">
        <v>2571</v>
      </c>
      <c r="I77" s="42">
        <v>4883</v>
      </c>
      <c r="J77" s="43">
        <v>0.53512185132090928</v>
      </c>
      <c r="K77" s="44">
        <v>2387949.75</v>
      </c>
      <c r="L77" s="45">
        <v>2.3949819346293455</v>
      </c>
      <c r="M77" s="44">
        <v>2928539.8914081836</v>
      </c>
      <c r="N77" s="61">
        <f>L77*K77</f>
        <v>5719096.5120526617</v>
      </c>
      <c r="O77" s="47">
        <f>N77/$N$82</f>
        <v>0.11831794651814859</v>
      </c>
      <c r="P77" s="47"/>
      <c r="Q77" s="48">
        <f>ROUND(O77*($B$82+$B$83),0)</f>
        <v>387284</v>
      </c>
      <c r="R77" s="49">
        <f>+IF(Q77&gt;M77,1,0)</f>
        <v>0</v>
      </c>
      <c r="T77" s="20" t="str">
        <f>VLOOKUP(D77,[1]COMBO!$B$3:$B$57,1,FALSE)</f>
        <v>100700640C</v>
      </c>
    </row>
    <row r="78" spans="1:20" s="20" customFormat="1" ht="12" customHeight="1" x14ac:dyDescent="0.2">
      <c r="A78" s="40" t="s">
        <v>126</v>
      </c>
      <c r="B78" s="41">
        <v>182</v>
      </c>
      <c r="C78" s="41">
        <v>0</v>
      </c>
      <c r="D78" s="40" t="s">
        <v>127</v>
      </c>
      <c r="E78" s="41"/>
      <c r="F78" s="41"/>
      <c r="G78" s="41" t="s">
        <v>176</v>
      </c>
      <c r="H78" s="42">
        <v>13313</v>
      </c>
      <c r="I78" s="42">
        <v>41075</v>
      </c>
      <c r="J78" s="43">
        <v>0.40584297017650639</v>
      </c>
      <c r="K78" s="44">
        <v>21585901.57</v>
      </c>
      <c r="L78" s="45">
        <v>1.0173496253291028</v>
      </c>
      <c r="M78" s="44">
        <v>12715541.727627439</v>
      </c>
      <c r="N78" s="61">
        <f>L78*K78</f>
        <v>21960408.874630392</v>
      </c>
      <c r="O78" s="47">
        <f>N78/$N$82</f>
        <v>0.45432184563932548</v>
      </c>
      <c r="P78" s="47"/>
      <c r="Q78" s="48">
        <f t="shared" ref="Q78:Q81" si="13">ROUND(O78*($B$82+$B$83),0)</f>
        <v>1487108</v>
      </c>
      <c r="R78" s="49">
        <f>+IF(Q78&gt;M78,1,0)</f>
        <v>0</v>
      </c>
      <c r="T78" s="20" t="str">
        <f>VLOOKUP(D78,[1]COMBO!$B$3:$B$57,1,FALSE)</f>
        <v>100690030B</v>
      </c>
    </row>
    <row r="79" spans="1:20" s="20" customFormat="1" ht="12.75" x14ac:dyDescent="0.2">
      <c r="A79" s="40" t="s">
        <v>128</v>
      </c>
      <c r="B79" s="41">
        <v>30</v>
      </c>
      <c r="C79" s="41">
        <v>0</v>
      </c>
      <c r="D79" s="40" t="s">
        <v>129</v>
      </c>
      <c r="E79" s="41"/>
      <c r="F79" s="41"/>
      <c r="G79" s="41" t="s">
        <v>177</v>
      </c>
      <c r="H79" s="42">
        <v>2829</v>
      </c>
      <c r="I79" s="42">
        <v>4475</v>
      </c>
      <c r="J79" s="43">
        <v>0.63843575418994414</v>
      </c>
      <c r="K79" s="44">
        <v>2462533.9300000002</v>
      </c>
      <c r="L79" s="45">
        <v>2.2773645921921468</v>
      </c>
      <c r="M79" s="44">
        <v>2381121.4258041438</v>
      </c>
      <c r="N79" s="61">
        <f>L79*K79</f>
        <v>5608087.5792537751</v>
      </c>
      <c r="O79" s="47">
        <f>N79/$N$82</f>
        <v>0.11602136891253281</v>
      </c>
      <c r="P79" s="47"/>
      <c r="Q79" s="48">
        <f t="shared" si="13"/>
        <v>379767</v>
      </c>
      <c r="R79" s="49">
        <f>+IF(Q79&gt;M79,1,0)</f>
        <v>0</v>
      </c>
      <c r="T79" s="20" t="str">
        <f>VLOOKUP(D79,[1]COMBO!$B$3:$B$57,1,FALSE)</f>
        <v>100700660B</v>
      </c>
    </row>
    <row r="80" spans="1:20" s="20" customFormat="1" ht="12.75" x14ac:dyDescent="0.2">
      <c r="A80" s="40" t="s">
        <v>130</v>
      </c>
      <c r="B80" s="41">
        <v>28</v>
      </c>
      <c r="C80" s="41">
        <v>0</v>
      </c>
      <c r="D80" s="40" t="s">
        <v>131</v>
      </c>
      <c r="E80" s="41"/>
      <c r="F80" s="41"/>
      <c r="G80" s="41" t="s">
        <v>178</v>
      </c>
      <c r="H80" s="42">
        <v>2773</v>
      </c>
      <c r="I80" s="42">
        <v>6315</v>
      </c>
      <c r="J80" s="43">
        <v>0.46840855106888363</v>
      </c>
      <c r="K80" s="44">
        <v>3716239</v>
      </c>
      <c r="L80" s="45">
        <v>1.5448931183397316</v>
      </c>
      <c r="M80" s="44">
        <v>3576271.7661363003</v>
      </c>
      <c r="N80" s="61">
        <f>L80*K80</f>
        <v>5741192.0572057264</v>
      </c>
      <c r="O80" s="47">
        <f>N80/$N$82</f>
        <v>0.11877506409331105</v>
      </c>
      <c r="P80" s="47"/>
      <c r="Q80" s="48">
        <f t="shared" si="13"/>
        <v>388780</v>
      </c>
      <c r="R80" s="49">
        <f>+IF(Q80&gt;M80,1,0)</f>
        <v>0</v>
      </c>
      <c r="T80" s="20" t="str">
        <f>VLOOKUP(D80,[1]COMBO!$B$3:$B$57,1,FALSE)</f>
        <v>100704080B</v>
      </c>
    </row>
    <row r="81" spans="1:20" s="20" customFormat="1" ht="12.75" x14ac:dyDescent="0.2">
      <c r="A81" s="40" t="s">
        <v>132</v>
      </c>
      <c r="B81" s="41">
        <v>56</v>
      </c>
      <c r="C81" s="41">
        <v>0</v>
      </c>
      <c r="D81" s="40" t="s">
        <v>133</v>
      </c>
      <c r="E81" s="41"/>
      <c r="F81" s="41"/>
      <c r="G81" s="41" t="s">
        <v>179</v>
      </c>
      <c r="H81" s="42">
        <v>8363</v>
      </c>
      <c r="I81" s="42">
        <v>15366</v>
      </c>
      <c r="J81" s="43">
        <v>0.59521020434726013</v>
      </c>
      <c r="K81" s="44">
        <v>7193932.4100000001</v>
      </c>
      <c r="L81" s="45">
        <v>1.293853305315249</v>
      </c>
      <c r="M81" s="44">
        <v>2815198.5494037806</v>
      </c>
      <c r="N81" s="61">
        <f>L81*K81</f>
        <v>9307893.2268929947</v>
      </c>
      <c r="O81" s="47">
        <f>N81/$N$82</f>
        <v>0.19256377483668211</v>
      </c>
      <c r="P81" s="47"/>
      <c r="Q81" s="48">
        <f t="shared" si="13"/>
        <v>630309</v>
      </c>
      <c r="R81" s="49">
        <f>+IF(Q81&gt;M81,1,0)</f>
        <v>0</v>
      </c>
      <c r="T81" s="20" t="str">
        <f>VLOOKUP(D81,[1]COMBO!$B$3:$B$57,1,FALSE)</f>
        <v>100707460F</v>
      </c>
    </row>
    <row r="82" spans="1:20" s="50" customFormat="1" ht="12.75" x14ac:dyDescent="0.2">
      <c r="A82" s="18" t="s">
        <v>48</v>
      </c>
      <c r="B82" s="19">
        <f>C2</f>
        <v>3273248</v>
      </c>
      <c r="H82" s="67">
        <f>SUM(H77:H81)</f>
        <v>29849</v>
      </c>
      <c r="L82" s="51"/>
      <c r="N82" s="52">
        <f>SUM(N77:N81)</f>
        <v>48336678.250035547</v>
      </c>
      <c r="O82" s="68">
        <f>SUM(O77:O81)</f>
        <v>1</v>
      </c>
      <c r="P82" s="68"/>
      <c r="Q82" s="69">
        <f>SUM(Q77:Q81)</f>
        <v>3273248</v>
      </c>
    </row>
    <row r="83" spans="1:20" s="20" customFormat="1" ht="12.75" x14ac:dyDescent="0.2">
      <c r="A83" s="18" t="s">
        <v>49</v>
      </c>
      <c r="B83" s="64"/>
      <c r="L83" s="21"/>
      <c r="Q83" s="55"/>
    </row>
    <row r="84" spans="1:20" s="20" customFormat="1" ht="12.75" x14ac:dyDescent="0.2">
      <c r="B84" s="23"/>
      <c r="L84" s="21"/>
      <c r="Q84" s="55"/>
    </row>
    <row r="85" spans="1:20" s="20" customFormat="1" ht="12.75" x14ac:dyDescent="0.2">
      <c r="B85" s="23"/>
      <c r="L85" s="21"/>
      <c r="Q85" s="55"/>
    </row>
  </sheetData>
  <conditionalFormatting sqref="J14:J21 J29:J37 J45:J69">
    <cfRule type="cellIs" dxfId="5" priority="2" operator="lessThan">
      <formula>0.01</formula>
    </cfRule>
  </conditionalFormatting>
  <conditionalFormatting sqref="J77:J81">
    <cfRule type="cellIs" dxfId="4" priority="1" operator="lessThan">
      <formula>0.01</formula>
    </cfRule>
  </conditionalFormatting>
  <conditionalFormatting sqref="N14:N21 N29:N37 N45:N69 N77:N81">
    <cfRule type="cellIs" dxfId="3" priority="6" operator="lessThan">
      <formula>0</formula>
    </cfRule>
  </conditionalFormatting>
  <conditionalFormatting sqref="R14:R21 R29:R37 R45:R69 R77:R81">
    <cfRule type="cellIs" dxfId="1" priority="5" operator="equal">
      <formula>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976B5D-A631-4BFF-B5B6-A1F310AE278A}"/>
</file>

<file path=customXml/itemProps2.xml><?xml version="1.0" encoding="utf-8"?>
<ds:datastoreItem xmlns:ds="http://schemas.openxmlformats.org/officeDocument/2006/customXml" ds:itemID="{E4722D44-6A87-4CF3-A137-24382ECE87F0}"/>
</file>

<file path=customXml/itemProps3.xml><?xml version="1.0" encoding="utf-8"?>
<ds:datastoreItem xmlns:ds="http://schemas.openxmlformats.org/officeDocument/2006/customXml" ds:itemID="{541F4A4E-37CD-401C-8433-D3D2BEEB6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2023-12-05T19:03:25Z</dcterms:created>
  <dcterms:modified xsi:type="dcterms:W3CDTF">2023-12-05T19:34:35Z</dcterms:modified>
</cp:coreProperties>
</file>