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360" yWindow="225" windowWidth="20940" windowHeight="9255" tabRatio="896"/>
  </bookViews>
  <sheets>
    <sheet name="Summary" sheetId="12" r:id="rId1"/>
    <sheet name="Summary Table" sheetId="22" r:id="rId2"/>
    <sheet name="NPV" sheetId="5" r:id="rId3"/>
    <sheet name="Costs" sheetId="27" r:id="rId4"/>
    <sheet name="Safety" sheetId="21" r:id="rId5"/>
    <sheet name="State of Good Repair" sheetId="23" r:id="rId6"/>
    <sheet name="EC - Travel Time" sheetId="25" r:id="rId7"/>
    <sheet name="QOL - Fuel Savings" sheetId="28" r:id="rId8"/>
    <sheet name="Environmental Protection" sheetId="26" r:id="rId9"/>
  </sheets>
  <externalReferences>
    <externalReference r:id="rId10"/>
  </externalReferences>
  <definedNames>
    <definedName name="CIP">#REF!</definedName>
    <definedName name="List">'[1]NEW ROAD'!$A$2:$A$19</definedName>
    <definedName name="NEW">'[1]NEW ROAD'!$A$4:$A$5</definedName>
    <definedName name="_xlnm.Print_Area" localSheetId="3">Costs!$E$5:$H$31</definedName>
    <definedName name="_xlnm.Print_Area" localSheetId="2">NPV!$A$2:$C$30</definedName>
    <definedName name="_xlnm.Print_Area" localSheetId="4">Safety!$A$1:$J$62</definedName>
    <definedName name="_xlnm.Print_Area" localSheetId="5">'State of Good Repair'!$A$1:$B$16</definedName>
    <definedName name="_xlnm.Print_Area" localSheetId="1">'Summary Table'!$B$2:$I$30</definedName>
    <definedName name="printa">#REF!</definedName>
  </definedNames>
  <calcPr calcId="171027"/>
</workbook>
</file>

<file path=xl/calcChain.xml><?xml version="1.0" encoding="utf-8"?>
<calcChain xmlns="http://schemas.openxmlformats.org/spreadsheetml/2006/main">
  <c r="B18" i="26" l="1"/>
  <c r="C18" i="26"/>
  <c r="E19" i="23"/>
  <c r="AC14" i="21"/>
  <c r="AD14" i="21"/>
  <c r="AC15" i="21"/>
  <c r="AD15" i="21"/>
  <c r="AI4" i="21"/>
  <c r="AI6" i="21"/>
  <c r="AI8" i="21"/>
  <c r="AI10" i="21"/>
  <c r="AI12" i="21"/>
  <c r="AE14" i="21"/>
  <c r="AF14" i="21"/>
  <c r="AG14" i="21"/>
  <c r="AH14" i="21"/>
  <c r="AI14" i="21" s="1"/>
  <c r="AE15" i="21"/>
  <c r="AF15" i="21"/>
  <c r="AG15" i="21"/>
  <c r="AH15" i="21"/>
  <c r="O67" i="21" l="1"/>
  <c r="Q5" i="25" l="1"/>
  <c r="Q4" i="25"/>
  <c r="Q3" i="25"/>
  <c r="O5" i="25"/>
  <c r="O4" i="25"/>
  <c r="O3" i="25"/>
  <c r="M5" i="25"/>
  <c r="M4" i="25"/>
  <c r="M3" i="25"/>
  <c r="K5" i="25"/>
  <c r="K3" i="25"/>
  <c r="I5" i="25"/>
  <c r="I3" i="25"/>
  <c r="G5" i="25"/>
  <c r="G4" i="25"/>
  <c r="E5" i="25"/>
  <c r="E4" i="25"/>
  <c r="E3" i="25"/>
  <c r="C5" i="25"/>
  <c r="C4" i="25"/>
  <c r="C3" i="25"/>
  <c r="F20" i="23"/>
  <c r="F21" i="23" l="1"/>
  <c r="E20" i="23"/>
  <c r="C29" i="5"/>
  <c r="B29" i="5"/>
  <c r="G19" i="25"/>
  <c r="G20" i="25" s="1"/>
  <c r="G21" i="25" s="1"/>
  <c r="G22" i="25" s="1"/>
  <c r="G23" i="25" s="1"/>
  <c r="G24" i="25" s="1"/>
  <c r="G25" i="25" s="1"/>
  <c r="G26" i="25" s="1"/>
  <c r="G27" i="25" s="1"/>
  <c r="G28" i="25" s="1"/>
  <c r="G29" i="25" s="1"/>
  <c r="G30" i="25" s="1"/>
  <c r="G31" i="25" s="1"/>
  <c r="G32" i="25" s="1"/>
  <c r="G33" i="25" s="1"/>
  <c r="G34" i="25" s="1"/>
  <c r="G35" i="25" s="1"/>
  <c r="G36" i="25" s="1"/>
  <c r="G37" i="25" s="1"/>
  <c r="G38" i="25" s="1"/>
  <c r="D19" i="25"/>
  <c r="D20" i="25" s="1"/>
  <c r="D21" i="25" s="1"/>
  <c r="D22" i="25" s="1"/>
  <c r="D23" i="25" s="1"/>
  <c r="D24" i="25" s="1"/>
  <c r="D25" i="25" s="1"/>
  <c r="D26" i="25" s="1"/>
  <c r="D27" i="25" s="1"/>
  <c r="D28" i="25" s="1"/>
  <c r="D29" i="25" s="1"/>
  <c r="D30" i="25" s="1"/>
  <c r="D31" i="25" s="1"/>
  <c r="D32" i="25" s="1"/>
  <c r="D33" i="25" s="1"/>
  <c r="D34" i="25" s="1"/>
  <c r="D35" i="25" s="1"/>
  <c r="D36" i="25" s="1"/>
  <c r="D37" i="25" s="1"/>
  <c r="D38" i="25" s="1"/>
  <c r="E39" i="25"/>
  <c r="H17" i="25"/>
  <c r="J9" i="25"/>
  <c r="H9" i="25"/>
  <c r="G9" i="25"/>
  <c r="F9" i="25"/>
  <c r="D9" i="25"/>
  <c r="I9" i="25"/>
  <c r="I17" i="25" s="1"/>
  <c r="E9" i="25"/>
  <c r="F17" i="25" s="1"/>
  <c r="C9" i="25"/>
  <c r="E17" i="25" s="1"/>
  <c r="I4" i="25"/>
  <c r="G3" i="25"/>
  <c r="Q9" i="25"/>
  <c r="I39" i="25" s="1"/>
  <c r="O9" i="25"/>
  <c r="H39" i="25" s="1"/>
  <c r="M9" i="25"/>
  <c r="F39" i="25" s="1"/>
  <c r="K9" i="25"/>
  <c r="B33" i="25"/>
  <c r="T5" i="25"/>
  <c r="S5" i="25"/>
  <c r="T4" i="25"/>
  <c r="S4" i="25"/>
  <c r="K4" i="25"/>
  <c r="F13" i="25" l="1"/>
  <c r="F22" i="23"/>
  <c r="E21" i="23"/>
  <c r="I13" i="25"/>
  <c r="R57" i="25"/>
  <c r="H13" i="25"/>
  <c r="H18" i="25" s="1"/>
  <c r="N57" i="25"/>
  <c r="F21" i="25"/>
  <c r="F29" i="25"/>
  <c r="F37" i="25"/>
  <c r="F22" i="25"/>
  <c r="F30" i="25"/>
  <c r="F38" i="25"/>
  <c r="F23" i="25"/>
  <c r="F31" i="25"/>
  <c r="F18" i="25"/>
  <c r="F41" i="25"/>
  <c r="F24" i="25"/>
  <c r="F26" i="25"/>
  <c r="F42" i="25"/>
  <c r="F25" i="25"/>
  <c r="F33" i="25"/>
  <c r="F40" i="25"/>
  <c r="F19" i="25"/>
  <c r="F27" i="25"/>
  <c r="F35" i="25"/>
  <c r="F20" i="25"/>
  <c r="F28" i="25"/>
  <c r="F36" i="25"/>
  <c r="F32" i="25"/>
  <c r="F43" i="25"/>
  <c r="F34" i="25"/>
  <c r="T7" i="25"/>
  <c r="K17" i="25" s="1"/>
  <c r="S7" i="25"/>
  <c r="J17" i="25" s="1"/>
  <c r="H34" i="25"/>
  <c r="N52" i="25" s="1"/>
  <c r="H26" i="25"/>
  <c r="N44" i="25" s="1"/>
  <c r="H40" i="25"/>
  <c r="N58" i="25" s="1"/>
  <c r="H24" i="25"/>
  <c r="N42" i="25" s="1"/>
  <c r="H23" i="25"/>
  <c r="N41" i="25" s="1"/>
  <c r="H33" i="25"/>
  <c r="N51" i="25" s="1"/>
  <c r="H25" i="25"/>
  <c r="N43" i="25" s="1"/>
  <c r="E23" i="25"/>
  <c r="H32" i="25"/>
  <c r="N50" i="25" s="1"/>
  <c r="H38" i="25"/>
  <c r="N56" i="25" s="1"/>
  <c r="H30" i="25"/>
  <c r="N48" i="25" s="1"/>
  <c r="H22" i="25"/>
  <c r="H41" i="25"/>
  <c r="N59" i="25" s="1"/>
  <c r="H42" i="25"/>
  <c r="N60" i="25" s="1"/>
  <c r="H37" i="25"/>
  <c r="N55" i="25" s="1"/>
  <c r="H29" i="25"/>
  <c r="N47" i="25" s="1"/>
  <c r="H21" i="25"/>
  <c r="E13" i="25"/>
  <c r="E41" i="25" s="1"/>
  <c r="H31" i="25"/>
  <c r="N49" i="25" s="1"/>
  <c r="H36" i="25"/>
  <c r="N54" i="25" s="1"/>
  <c r="H28" i="25"/>
  <c r="N46" i="25" s="1"/>
  <c r="H20" i="25"/>
  <c r="E20" i="25"/>
  <c r="H43" i="25"/>
  <c r="N61" i="25" s="1"/>
  <c r="E43" i="25"/>
  <c r="H35" i="25"/>
  <c r="N53" i="25" s="1"/>
  <c r="H27" i="25"/>
  <c r="N45" i="25" s="1"/>
  <c r="H19" i="25"/>
  <c r="E33" i="25"/>
  <c r="H5" i="21"/>
  <c r="H6" i="21"/>
  <c r="H7" i="21"/>
  <c r="H8" i="21"/>
  <c r="H9" i="21"/>
  <c r="H10" i="21"/>
  <c r="H11" i="21"/>
  <c r="H12" i="21"/>
  <c r="H13" i="21"/>
  <c r="H4" i="21"/>
  <c r="G5" i="21"/>
  <c r="G6" i="21"/>
  <c r="G7" i="21"/>
  <c r="G8" i="21"/>
  <c r="G9" i="21"/>
  <c r="G10" i="21"/>
  <c r="G11" i="21"/>
  <c r="G12" i="21"/>
  <c r="G13" i="21"/>
  <c r="G4" i="21"/>
  <c r="F5" i="21"/>
  <c r="F6" i="21"/>
  <c r="F7" i="21"/>
  <c r="F8" i="21"/>
  <c r="F9" i="21"/>
  <c r="F10" i="21"/>
  <c r="F11" i="21"/>
  <c r="F12" i="21"/>
  <c r="F13" i="21"/>
  <c r="F4" i="21"/>
  <c r="E5" i="21"/>
  <c r="E6" i="21"/>
  <c r="E7" i="21"/>
  <c r="E8" i="21"/>
  <c r="E9" i="21"/>
  <c r="E10" i="21"/>
  <c r="E11" i="21"/>
  <c r="E12" i="21"/>
  <c r="E13" i="21"/>
  <c r="E4" i="21"/>
  <c r="D5" i="21"/>
  <c r="D6" i="21"/>
  <c r="D7" i="21"/>
  <c r="D8" i="21"/>
  <c r="D9" i="21"/>
  <c r="D10" i="21"/>
  <c r="D11" i="21"/>
  <c r="D12" i="21"/>
  <c r="D13" i="21"/>
  <c r="D4" i="21"/>
  <c r="C5" i="21"/>
  <c r="C6" i="21"/>
  <c r="C7" i="21"/>
  <c r="C8" i="21"/>
  <c r="C9" i="21"/>
  <c r="C10" i="21"/>
  <c r="C11" i="21"/>
  <c r="C12" i="21"/>
  <c r="C13" i="21"/>
  <c r="C4" i="21"/>
  <c r="C15" i="21" l="1"/>
  <c r="E25" i="25"/>
  <c r="E35" i="25"/>
  <c r="E40" i="25"/>
  <c r="E30" i="25"/>
  <c r="E26" i="25"/>
  <c r="E28" i="25"/>
  <c r="E19" i="25"/>
  <c r="E31" i="25"/>
  <c r="E22" i="25"/>
  <c r="F23" i="23"/>
  <c r="E22" i="23"/>
  <c r="D14" i="21"/>
  <c r="C14" i="21"/>
  <c r="I42" i="25"/>
  <c r="R60" i="25" s="1"/>
  <c r="I24" i="25"/>
  <c r="R42" i="25" s="1"/>
  <c r="I32" i="25"/>
  <c r="R50" i="25" s="1"/>
  <c r="I20" i="25"/>
  <c r="I28" i="25"/>
  <c r="R46" i="25" s="1"/>
  <c r="I36" i="25"/>
  <c r="R54" i="25" s="1"/>
  <c r="I34" i="25"/>
  <c r="R52" i="25" s="1"/>
  <c r="I35" i="25"/>
  <c r="R53" i="25" s="1"/>
  <c r="I21" i="25"/>
  <c r="I29" i="25"/>
  <c r="R47" i="25" s="1"/>
  <c r="I37" i="25"/>
  <c r="R55" i="25" s="1"/>
  <c r="I22" i="25"/>
  <c r="I30" i="25"/>
  <c r="R48" i="25" s="1"/>
  <c r="I38" i="25"/>
  <c r="R56" i="25" s="1"/>
  <c r="I33" i="25"/>
  <c r="R51" i="25" s="1"/>
  <c r="I26" i="25"/>
  <c r="R44" i="25" s="1"/>
  <c r="I27" i="25"/>
  <c r="R45" i="25" s="1"/>
  <c r="I41" i="25"/>
  <c r="R59" i="25" s="1"/>
  <c r="I23" i="25"/>
  <c r="R41" i="25" s="1"/>
  <c r="I31" i="25"/>
  <c r="R49" i="25" s="1"/>
  <c r="I18" i="25"/>
  <c r="I43" i="25"/>
  <c r="R61" i="25" s="1"/>
  <c r="I25" i="25"/>
  <c r="R43" i="25" s="1"/>
  <c r="I40" i="25"/>
  <c r="R58" i="25" s="1"/>
  <c r="I19" i="25"/>
  <c r="E21" i="25"/>
  <c r="E36" i="25"/>
  <c r="E37" i="25"/>
  <c r="E42" i="25"/>
  <c r="E32" i="25"/>
  <c r="E27" i="25"/>
  <c r="E34" i="25"/>
  <c r="E18" i="25"/>
  <c r="E38" i="25"/>
  <c r="E24" i="25"/>
  <c r="E29" i="25"/>
  <c r="F24" i="23" l="1"/>
  <c r="E23" i="23"/>
  <c r="V15" i="21"/>
  <c r="U15" i="21"/>
  <c r="T15" i="21"/>
  <c r="S15" i="21"/>
  <c r="R15" i="21"/>
  <c r="Q15" i="21"/>
  <c r="V14" i="21"/>
  <c r="U14" i="21"/>
  <c r="T14" i="21"/>
  <c r="S14" i="21"/>
  <c r="R14" i="21"/>
  <c r="Q14" i="21"/>
  <c r="W12" i="21"/>
  <c r="W10" i="21"/>
  <c r="W8" i="21"/>
  <c r="W6" i="21"/>
  <c r="W4" i="21"/>
  <c r="F25" i="23" l="1"/>
  <c r="E24" i="23"/>
  <c r="W14" i="21"/>
  <c r="A4" i="25"/>
  <c r="A5" i="25" s="1"/>
  <c r="F26" i="23" l="1"/>
  <c r="E25" i="23"/>
  <c r="D12" i="28"/>
  <c r="D13" i="28" s="1"/>
  <c r="D14" i="28" s="1"/>
  <c r="D15" i="28" s="1"/>
  <c r="D16" i="28" s="1"/>
  <c r="D17" i="28" s="1"/>
  <c r="D18" i="28" s="1"/>
  <c r="D19" i="28" s="1"/>
  <c r="D20" i="28" s="1"/>
  <c r="D21" i="28" s="1"/>
  <c r="D22" i="28" s="1"/>
  <c r="D23" i="28" s="1"/>
  <c r="D24" i="28" s="1"/>
  <c r="D25" i="28" s="1"/>
  <c r="D26" i="28" s="1"/>
  <c r="D27" i="28" s="1"/>
  <c r="D28" i="28" s="1"/>
  <c r="D29" i="28" s="1"/>
  <c r="D30" i="28" s="1"/>
  <c r="D31" i="28" s="1"/>
  <c r="F36" i="26"/>
  <c r="F37" i="26" s="1"/>
  <c r="F38" i="26" s="1"/>
  <c r="F39" i="26" s="1"/>
  <c r="F40" i="26" s="1"/>
  <c r="F41" i="26" s="1"/>
  <c r="F42" i="26" s="1"/>
  <c r="F43" i="26" s="1"/>
  <c r="F44" i="26" s="1"/>
  <c r="F45" i="26" s="1"/>
  <c r="F46" i="26" s="1"/>
  <c r="F47" i="26" s="1"/>
  <c r="F48" i="26" s="1"/>
  <c r="F49" i="26" s="1"/>
  <c r="F50" i="26" s="1"/>
  <c r="F51" i="26" s="1"/>
  <c r="F52" i="26" s="1"/>
  <c r="F53" i="26" s="1"/>
  <c r="F54" i="26" s="1"/>
  <c r="F55" i="26" s="1"/>
  <c r="F27" i="23" l="1"/>
  <c r="E26" i="23"/>
  <c r="F28" i="23" l="1"/>
  <c r="E27" i="23"/>
  <c r="F29" i="23" l="1"/>
  <c r="E28" i="23"/>
  <c r="B27" i="25"/>
  <c r="B37" i="22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F31" i="27"/>
  <c r="F30" i="23" l="1"/>
  <c r="E30" i="23" s="1"/>
  <c r="E29" i="23"/>
  <c r="E7" i="27"/>
  <c r="E8" i="27" s="1"/>
  <c r="E9" i="27" s="1"/>
  <c r="E10" i="27" s="1"/>
  <c r="E11" i="27" s="1"/>
  <c r="E12" i="27" s="1"/>
  <c r="E13" i="27" s="1"/>
  <c r="E14" i="27" s="1"/>
  <c r="E15" i="27" s="1"/>
  <c r="E16" i="27" s="1"/>
  <c r="E17" i="27" s="1"/>
  <c r="E18" i="27" s="1"/>
  <c r="E19" i="27" s="1"/>
  <c r="E20" i="27" s="1"/>
  <c r="E21" i="27" s="1"/>
  <c r="E22" i="27" s="1"/>
  <c r="E23" i="27" s="1"/>
  <c r="E24" i="27" s="1"/>
  <c r="E25" i="27" s="1"/>
  <c r="E26" i="27" s="1"/>
  <c r="E27" i="27" s="1"/>
  <c r="E28" i="27" s="1"/>
  <c r="E29" i="27" s="1"/>
  <c r="E30" i="27" s="1"/>
  <c r="M42" i="25"/>
  <c r="M43" i="25" s="1"/>
  <c r="M44" i="25" s="1"/>
  <c r="M45" i="25" s="1"/>
  <c r="M46" i="25" s="1"/>
  <c r="M47" i="25" s="1"/>
  <c r="M48" i="25" s="1"/>
  <c r="M49" i="25" s="1"/>
  <c r="M50" i="25" s="1"/>
  <c r="M51" i="25" s="1"/>
  <c r="M52" i="25" s="1"/>
  <c r="M53" i="25" s="1"/>
  <c r="M54" i="25" s="1"/>
  <c r="M55" i="25" s="1"/>
  <c r="M56" i="25" s="1"/>
  <c r="M57" i="25" s="1"/>
  <c r="M58" i="25" s="1"/>
  <c r="M59" i="25" s="1"/>
  <c r="M60" i="25" s="1"/>
  <c r="M61" i="25" s="1"/>
  <c r="F31" i="23"/>
  <c r="C68" i="21"/>
  <c r="C69" i="21" l="1"/>
  <c r="O68" i="21"/>
  <c r="F32" i="23"/>
  <c r="E31" i="23"/>
  <c r="C70" i="21" l="1"/>
  <c r="O69" i="21"/>
  <c r="F33" i="23"/>
  <c r="E32" i="23"/>
  <c r="C4" i="26"/>
  <c r="C6" i="26"/>
  <c r="C7" i="26"/>
  <c r="C8" i="26"/>
  <c r="C5" i="26"/>
  <c r="B27" i="26"/>
  <c r="C16" i="26"/>
  <c r="C19" i="26" s="1"/>
  <c r="B16" i="26"/>
  <c r="B19" i="26" s="1"/>
  <c r="C20" i="26" s="1"/>
  <c r="L9" i="25"/>
  <c r="N9" i="25"/>
  <c r="P9" i="25"/>
  <c r="R9" i="25"/>
  <c r="T3" i="25"/>
  <c r="S3" i="25"/>
  <c r="B10" i="23"/>
  <c r="B6" i="22"/>
  <c r="B7" i="22" s="1"/>
  <c r="B8" i="22" s="1"/>
  <c r="B9" i="22" s="1"/>
  <c r="B10" i="22" s="1"/>
  <c r="B11" i="22" s="1"/>
  <c r="B12" i="22" s="1"/>
  <c r="B13" i="22" s="1"/>
  <c r="B14" i="22" s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67" i="21"/>
  <c r="B53" i="21"/>
  <c r="D53" i="21" s="1"/>
  <c r="D52" i="21"/>
  <c r="B41" i="21"/>
  <c r="B68" i="21"/>
  <c r="B69" i="21"/>
  <c r="B70" i="21"/>
  <c r="H15" i="21"/>
  <c r="G15" i="21"/>
  <c r="F15" i="21"/>
  <c r="E15" i="21"/>
  <c r="D15" i="21"/>
  <c r="H14" i="21"/>
  <c r="G14" i="21"/>
  <c r="F14" i="21"/>
  <c r="E14" i="21"/>
  <c r="I12" i="21"/>
  <c r="I10" i="21"/>
  <c r="I8" i="21"/>
  <c r="I6" i="21"/>
  <c r="I4" i="21"/>
  <c r="C71" i="21" l="1"/>
  <c r="O70" i="21"/>
  <c r="D26" i="26"/>
  <c r="F34" i="23"/>
  <c r="E33" i="23"/>
  <c r="D54" i="21"/>
  <c r="T9" i="25"/>
  <c r="S9" i="25"/>
  <c r="I14" i="21"/>
  <c r="C72" i="21" l="1"/>
  <c r="O71" i="21"/>
  <c r="B71" i="21"/>
  <c r="D28" i="26"/>
  <c r="D25" i="26"/>
  <c r="D24" i="26"/>
  <c r="D27" i="26"/>
  <c r="J39" i="25"/>
  <c r="S12" i="25"/>
  <c r="S13" i="25" s="1"/>
  <c r="K39" i="25"/>
  <c r="K13" i="25" s="1"/>
  <c r="T12" i="25"/>
  <c r="T13" i="25" s="1"/>
  <c r="F35" i="23"/>
  <c r="E34" i="23"/>
  <c r="AJ6" i="21"/>
  <c r="AJ10" i="21"/>
  <c r="AJ8" i="21"/>
  <c r="AJ4" i="21"/>
  <c r="AJ14" i="21"/>
  <c r="AJ12" i="21"/>
  <c r="E8" i="12"/>
  <c r="G29" i="27"/>
  <c r="G30" i="27"/>
  <c r="G27" i="27"/>
  <c r="G28" i="27"/>
  <c r="D55" i="21"/>
  <c r="D57" i="21"/>
  <c r="D58" i="21"/>
  <c r="D56" i="21"/>
  <c r="D60" i="21"/>
  <c r="D59" i="21"/>
  <c r="T57" i="25"/>
  <c r="P57" i="25"/>
  <c r="J13" i="25"/>
  <c r="B29" i="25"/>
  <c r="B3" i="23"/>
  <c r="X10" i="21"/>
  <c r="X14" i="21"/>
  <c r="X12" i="21"/>
  <c r="X6" i="21"/>
  <c r="X4" i="21"/>
  <c r="X8" i="21"/>
  <c r="G12" i="27"/>
  <c r="G20" i="27"/>
  <c r="G13" i="27"/>
  <c r="G21" i="27"/>
  <c r="G19" i="27"/>
  <c r="G14" i="27"/>
  <c r="G22" i="27"/>
  <c r="G7" i="27"/>
  <c r="G15" i="27"/>
  <c r="G23" i="27"/>
  <c r="G8" i="27"/>
  <c r="G16" i="27"/>
  <c r="G24" i="27"/>
  <c r="G11" i="27"/>
  <c r="G9" i="27"/>
  <c r="G17" i="27"/>
  <c r="G25" i="27"/>
  <c r="G10" i="27"/>
  <c r="G18" i="27"/>
  <c r="G26" i="27"/>
  <c r="C25" i="22" s="1"/>
  <c r="G6" i="27"/>
  <c r="D61" i="21"/>
  <c r="J14" i="21"/>
  <c r="J4" i="21"/>
  <c r="J6" i="21"/>
  <c r="J10" i="21"/>
  <c r="J8" i="21"/>
  <c r="J12" i="21"/>
  <c r="C73" i="21" l="1"/>
  <c r="O72" i="21"/>
  <c r="B72" i="21"/>
  <c r="B45" i="21"/>
  <c r="B46" i="21" s="1"/>
  <c r="U13" i="25"/>
  <c r="F36" i="23"/>
  <c r="E35" i="23"/>
  <c r="C26" i="22"/>
  <c r="H27" i="27"/>
  <c r="C57" i="22" s="1"/>
  <c r="C29" i="22"/>
  <c r="H30" i="27"/>
  <c r="C60" i="22" s="1"/>
  <c r="C28" i="22"/>
  <c r="H29" i="27"/>
  <c r="C59" i="22" s="1"/>
  <c r="H28" i="27"/>
  <c r="C58" i="22" s="1"/>
  <c r="C27" i="22"/>
  <c r="K30" i="25"/>
  <c r="T48" i="25" s="1"/>
  <c r="K31" i="25"/>
  <c r="T49" i="25" s="1"/>
  <c r="K37" i="25"/>
  <c r="T55" i="25" s="1"/>
  <c r="K19" i="25"/>
  <c r="K26" i="25"/>
  <c r="T44" i="25" s="1"/>
  <c r="K21" i="25"/>
  <c r="K40" i="25"/>
  <c r="T58" i="25" s="1"/>
  <c r="K36" i="25"/>
  <c r="T54" i="25" s="1"/>
  <c r="K27" i="25"/>
  <c r="T45" i="25" s="1"/>
  <c r="K28" i="25"/>
  <c r="T46" i="25" s="1"/>
  <c r="K32" i="25"/>
  <c r="T50" i="25" s="1"/>
  <c r="K42" i="25"/>
  <c r="T60" i="25" s="1"/>
  <c r="K41" i="25"/>
  <c r="T59" i="25" s="1"/>
  <c r="K18" i="25"/>
  <c r="K43" i="25"/>
  <c r="T61" i="25" s="1"/>
  <c r="K20" i="25"/>
  <c r="K38" i="25"/>
  <c r="T56" i="25" s="1"/>
  <c r="K25" i="25"/>
  <c r="T43" i="25" s="1"/>
  <c r="K33" i="25"/>
  <c r="T51" i="25" s="1"/>
  <c r="K23" i="25"/>
  <c r="T41" i="25" s="1"/>
  <c r="K29" i="25"/>
  <c r="T47" i="25" s="1"/>
  <c r="K35" i="25"/>
  <c r="T53" i="25" s="1"/>
  <c r="K34" i="25"/>
  <c r="T52" i="25" s="1"/>
  <c r="K22" i="25"/>
  <c r="K24" i="25"/>
  <c r="T42" i="25" s="1"/>
  <c r="J18" i="25"/>
  <c r="J34" i="25"/>
  <c r="P52" i="25" s="1"/>
  <c r="J28" i="25"/>
  <c r="P46" i="25" s="1"/>
  <c r="J42" i="25"/>
  <c r="P60" i="25" s="1"/>
  <c r="J38" i="25"/>
  <c r="P56" i="25" s="1"/>
  <c r="J20" i="25"/>
  <c r="J30" i="25"/>
  <c r="P48" i="25" s="1"/>
  <c r="J35" i="25"/>
  <c r="P53" i="25" s="1"/>
  <c r="J33" i="25"/>
  <c r="P51" i="25" s="1"/>
  <c r="J23" i="25"/>
  <c r="P41" i="25" s="1"/>
  <c r="J24" i="25"/>
  <c r="P42" i="25" s="1"/>
  <c r="J21" i="25"/>
  <c r="J22" i="25"/>
  <c r="J27" i="25"/>
  <c r="P45" i="25" s="1"/>
  <c r="J25" i="25"/>
  <c r="P43" i="25" s="1"/>
  <c r="J43" i="25"/>
  <c r="P61" i="25" s="1"/>
  <c r="J36" i="25"/>
  <c r="P54" i="25" s="1"/>
  <c r="J26" i="25"/>
  <c r="P44" i="25" s="1"/>
  <c r="J19" i="25"/>
  <c r="J40" i="25"/>
  <c r="P58" i="25" s="1"/>
  <c r="J29" i="25"/>
  <c r="P47" i="25" s="1"/>
  <c r="J32" i="25"/>
  <c r="P50" i="25" s="1"/>
  <c r="J31" i="25"/>
  <c r="P49" i="25" s="1"/>
  <c r="J37" i="25"/>
  <c r="P55" i="25" s="1"/>
  <c r="J41" i="25"/>
  <c r="P59" i="25" s="1"/>
  <c r="O46" i="25"/>
  <c r="O56" i="25"/>
  <c r="O58" i="25"/>
  <c r="Q58" i="25" s="1"/>
  <c r="S48" i="25"/>
  <c r="S60" i="25"/>
  <c r="S43" i="25"/>
  <c r="U43" i="25" s="1"/>
  <c r="O45" i="25"/>
  <c r="S59" i="25"/>
  <c r="O53" i="25"/>
  <c r="O42" i="25"/>
  <c r="Q42" i="25" s="1"/>
  <c r="S53" i="25"/>
  <c r="O54" i="25"/>
  <c r="Q54" i="25" s="1"/>
  <c r="O57" i="25"/>
  <c r="Q57" i="25" s="1"/>
  <c r="O59" i="25"/>
  <c r="Q59" i="25" s="1"/>
  <c r="S46" i="25"/>
  <c r="U46" i="25" s="1"/>
  <c r="S49" i="25"/>
  <c r="U49" i="25" s="1"/>
  <c r="S61" i="25"/>
  <c r="S54" i="25"/>
  <c r="S41" i="25"/>
  <c r="S45" i="25"/>
  <c r="O47" i="25"/>
  <c r="O43" i="25"/>
  <c r="O51" i="25"/>
  <c r="O44" i="25"/>
  <c r="S57" i="25"/>
  <c r="U57" i="25" s="1"/>
  <c r="S51" i="25"/>
  <c r="U51" i="25" s="1"/>
  <c r="O60" i="25"/>
  <c r="Q60" i="25" s="1"/>
  <c r="O52" i="25"/>
  <c r="S44" i="25"/>
  <c r="S42" i="25"/>
  <c r="S55" i="25"/>
  <c r="U55" i="25" s="1"/>
  <c r="O48" i="25"/>
  <c r="S58" i="25"/>
  <c r="O61" i="25"/>
  <c r="O49" i="25"/>
  <c r="S56" i="25"/>
  <c r="S52" i="25"/>
  <c r="U52" i="25" s="1"/>
  <c r="S50" i="25"/>
  <c r="U50" i="25" s="1"/>
  <c r="O41" i="25"/>
  <c r="S47" i="25"/>
  <c r="O50" i="25"/>
  <c r="O55" i="25"/>
  <c r="C8" i="22"/>
  <c r="I8" i="22" s="1"/>
  <c r="C5" i="22"/>
  <c r="I5" i="22" s="1"/>
  <c r="G31" i="27"/>
  <c r="C23" i="22"/>
  <c r="C18" i="22"/>
  <c r="C15" i="22"/>
  <c r="C20" i="22"/>
  <c r="C21" i="22"/>
  <c r="C7" i="22"/>
  <c r="I7" i="22" s="1"/>
  <c r="C12" i="22"/>
  <c r="C10" i="22"/>
  <c r="C22" i="22"/>
  <c r="C19" i="22"/>
  <c r="C24" i="22"/>
  <c r="C14" i="22"/>
  <c r="C11" i="22"/>
  <c r="C13" i="22"/>
  <c r="C17" i="22"/>
  <c r="C9" i="22"/>
  <c r="C16" i="22"/>
  <c r="C6" i="22"/>
  <c r="I6" i="22" s="1"/>
  <c r="B2" i="23"/>
  <c r="D67" i="21"/>
  <c r="P67" i="21" s="1"/>
  <c r="D68" i="21"/>
  <c r="P68" i="21" s="1"/>
  <c r="D69" i="21"/>
  <c r="P69" i="21" s="1"/>
  <c r="D70" i="21"/>
  <c r="P70" i="21" s="1"/>
  <c r="D71" i="21"/>
  <c r="P71" i="21" s="1"/>
  <c r="D72" i="21"/>
  <c r="P72" i="21" s="1"/>
  <c r="C74" i="21" l="1"/>
  <c r="O73" i="21"/>
  <c r="B73" i="21"/>
  <c r="D73" i="21" s="1"/>
  <c r="P73" i="21" s="1"/>
  <c r="U60" i="25"/>
  <c r="Q46" i="25"/>
  <c r="U44" i="25"/>
  <c r="U56" i="25"/>
  <c r="U45" i="25"/>
  <c r="U48" i="25"/>
  <c r="F37" i="23"/>
  <c r="E36" i="23"/>
  <c r="C30" i="22"/>
  <c r="B13" i="23"/>
  <c r="G19" i="23"/>
  <c r="H19" i="23" s="1"/>
  <c r="I19" i="23" s="1"/>
  <c r="G28" i="23"/>
  <c r="H28" i="23" s="1"/>
  <c r="I28" i="23" s="1"/>
  <c r="G29" i="23"/>
  <c r="H29" i="23" s="1"/>
  <c r="I29" i="23" s="1"/>
  <c r="G24" i="23"/>
  <c r="H24" i="23" s="1"/>
  <c r="I24" i="23" s="1"/>
  <c r="G30" i="23"/>
  <c r="H30" i="23" s="1"/>
  <c r="I30" i="23" s="1"/>
  <c r="G20" i="23"/>
  <c r="H20" i="23" s="1"/>
  <c r="I20" i="23" s="1"/>
  <c r="G25" i="23"/>
  <c r="H25" i="23" s="1"/>
  <c r="I25" i="23" s="1"/>
  <c r="G27" i="23"/>
  <c r="H27" i="23" s="1"/>
  <c r="I27" i="23" s="1"/>
  <c r="G26" i="23"/>
  <c r="H26" i="23" s="1"/>
  <c r="I26" i="23" s="1"/>
  <c r="G23" i="23"/>
  <c r="H23" i="23" s="1"/>
  <c r="I23" i="23" s="1"/>
  <c r="G21" i="23"/>
  <c r="H21" i="23" s="1"/>
  <c r="I21" i="23" s="1"/>
  <c r="G22" i="23"/>
  <c r="H22" i="23" s="1"/>
  <c r="I22" i="23" s="1"/>
  <c r="U42" i="25"/>
  <c r="V42" i="25" s="1"/>
  <c r="W42" i="25" s="1"/>
  <c r="X42" i="25" s="1"/>
  <c r="Y42" i="25" s="1"/>
  <c r="U41" i="25"/>
  <c r="U58" i="25"/>
  <c r="V58" i="25" s="1"/>
  <c r="W58" i="25" s="1"/>
  <c r="X58" i="25" s="1"/>
  <c r="Y58" i="25" s="1"/>
  <c r="U47" i="25"/>
  <c r="Q43" i="25"/>
  <c r="V43" i="25" s="1"/>
  <c r="W43" i="25" s="1"/>
  <c r="G37" i="26" s="1"/>
  <c r="H37" i="26" s="1"/>
  <c r="Q47" i="25"/>
  <c r="Q56" i="25"/>
  <c r="Q51" i="25"/>
  <c r="V51" i="25" s="1"/>
  <c r="W51" i="25" s="1"/>
  <c r="G45" i="26" s="1"/>
  <c r="H45" i="26" s="1"/>
  <c r="I45" i="26" s="1"/>
  <c r="U59" i="25"/>
  <c r="V59" i="25" s="1"/>
  <c r="W59" i="25" s="1"/>
  <c r="X59" i="25" s="1"/>
  <c r="Y59" i="25" s="1"/>
  <c r="U53" i="25"/>
  <c r="U54" i="25"/>
  <c r="V54" i="25" s="1"/>
  <c r="W54" i="25" s="1"/>
  <c r="G48" i="26" s="1"/>
  <c r="H48" i="26" s="1"/>
  <c r="U61" i="25"/>
  <c r="Q55" i="25"/>
  <c r="V55" i="25" s="1"/>
  <c r="W55" i="25" s="1"/>
  <c r="E25" i="28" s="1"/>
  <c r="F25" i="28" s="1"/>
  <c r="G25" i="28" s="1"/>
  <c r="Q61" i="25"/>
  <c r="Q50" i="25"/>
  <c r="V50" i="25" s="1"/>
  <c r="W50" i="25" s="1"/>
  <c r="G44" i="26" s="1"/>
  <c r="H44" i="26" s="1"/>
  <c r="Q53" i="25"/>
  <c r="Q41" i="25"/>
  <c r="Q45" i="25"/>
  <c r="V45" i="25" s="1"/>
  <c r="W45" i="25" s="1"/>
  <c r="X45" i="25" s="1"/>
  <c r="Y45" i="25" s="1"/>
  <c r="Q52" i="25"/>
  <c r="V52" i="25" s="1"/>
  <c r="W52" i="25" s="1"/>
  <c r="Q49" i="25"/>
  <c r="V49" i="25" s="1"/>
  <c r="W49" i="25" s="1"/>
  <c r="Q48" i="25"/>
  <c r="Q44" i="25"/>
  <c r="V44" i="25" s="1"/>
  <c r="W44" i="25" s="1"/>
  <c r="V60" i="25"/>
  <c r="W60" i="25" s="1"/>
  <c r="G54" i="26" s="1"/>
  <c r="H54" i="26" s="1"/>
  <c r="V46" i="25"/>
  <c r="W46" i="25" s="1"/>
  <c r="V57" i="25"/>
  <c r="W57" i="25" s="1"/>
  <c r="G34" i="23"/>
  <c r="H34" i="23" s="1"/>
  <c r="I34" i="23" s="1"/>
  <c r="G33" i="23"/>
  <c r="H33" i="23" s="1"/>
  <c r="I33" i="23" s="1"/>
  <c r="G32" i="23"/>
  <c r="H32" i="23" s="1"/>
  <c r="I32" i="23" s="1"/>
  <c r="G36" i="23"/>
  <c r="H36" i="23" s="1"/>
  <c r="I36" i="23" s="1"/>
  <c r="G35" i="23"/>
  <c r="H35" i="23" s="1"/>
  <c r="I35" i="23" s="1"/>
  <c r="G31" i="23"/>
  <c r="H31" i="23" s="1"/>
  <c r="I31" i="23" s="1"/>
  <c r="E68" i="21"/>
  <c r="E67" i="21"/>
  <c r="F67" i="21" s="1"/>
  <c r="B4" i="5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C19" i="5"/>
  <c r="C30" i="5"/>
  <c r="C13" i="5" s="1"/>
  <c r="C14" i="5"/>
  <c r="C75" i="21" l="1"/>
  <c r="O74" i="21"/>
  <c r="B74" i="21"/>
  <c r="D74" i="21" s="1"/>
  <c r="P74" i="21" s="1"/>
  <c r="V56" i="25"/>
  <c r="W56" i="25" s="1"/>
  <c r="V48" i="25"/>
  <c r="W48" i="25" s="1"/>
  <c r="V47" i="25"/>
  <c r="W47" i="25" s="1"/>
  <c r="E17" i="28" s="1"/>
  <c r="F17" i="28" s="1"/>
  <c r="G17" i="28" s="1"/>
  <c r="U62" i="25"/>
  <c r="H25" i="28"/>
  <c r="G54" i="22" s="1"/>
  <c r="G23" i="22"/>
  <c r="F38" i="23"/>
  <c r="E37" i="23"/>
  <c r="G37" i="23" s="1"/>
  <c r="H37" i="23" s="1"/>
  <c r="I37" i="23" s="1"/>
  <c r="E58" i="22" s="1"/>
  <c r="V41" i="25"/>
  <c r="W41" i="25" s="1"/>
  <c r="V53" i="25"/>
  <c r="W53" i="25" s="1"/>
  <c r="X53" i="25" s="1"/>
  <c r="Y53" i="25" s="1"/>
  <c r="V61" i="25"/>
  <c r="W61" i="25" s="1"/>
  <c r="G55" i="26" s="1"/>
  <c r="H55" i="26" s="1"/>
  <c r="I55" i="26" s="1"/>
  <c r="X41" i="25"/>
  <c r="Y41" i="25" s="1"/>
  <c r="H14" i="27"/>
  <c r="C44" i="22" s="1"/>
  <c r="H20" i="27"/>
  <c r="C50" i="22" s="1"/>
  <c r="C3" i="5"/>
  <c r="C22" i="5"/>
  <c r="C23" i="5"/>
  <c r="F44" i="22"/>
  <c r="H15" i="27"/>
  <c r="C45" i="22" s="1"/>
  <c r="C6" i="5"/>
  <c r="F41" i="22" s="1"/>
  <c r="C28" i="5"/>
  <c r="C27" i="5"/>
  <c r="C26" i="5"/>
  <c r="C25" i="5"/>
  <c r="C8" i="5"/>
  <c r="C18" i="5"/>
  <c r="C16" i="5"/>
  <c r="C7" i="5"/>
  <c r="E42" i="22" s="1"/>
  <c r="C10" i="5"/>
  <c r="C4" i="5"/>
  <c r="C21" i="5"/>
  <c r="C12" i="5"/>
  <c r="X60" i="25"/>
  <c r="E30" i="28"/>
  <c r="F30" i="28" s="1"/>
  <c r="G30" i="28" s="1"/>
  <c r="G51" i="26"/>
  <c r="H51" i="26" s="1"/>
  <c r="K51" i="26" s="1"/>
  <c r="X57" i="25"/>
  <c r="E16" i="28"/>
  <c r="F16" i="28" s="1"/>
  <c r="X46" i="25"/>
  <c r="E28" i="28"/>
  <c r="F28" i="28" s="1"/>
  <c r="F13" i="22"/>
  <c r="E15" i="28"/>
  <c r="F15" i="28" s="1"/>
  <c r="E18" i="22"/>
  <c r="E49" i="22"/>
  <c r="E17" i="22"/>
  <c r="E20" i="22"/>
  <c r="E51" i="22"/>
  <c r="E21" i="22"/>
  <c r="E15" i="22"/>
  <c r="E11" i="22"/>
  <c r="E25" i="22"/>
  <c r="E56" i="22"/>
  <c r="E10" i="22"/>
  <c r="E13" i="22"/>
  <c r="X44" i="25"/>
  <c r="E14" i="22"/>
  <c r="E45" i="22"/>
  <c r="E26" i="22"/>
  <c r="E57" i="22"/>
  <c r="E23" i="22"/>
  <c r="E54" i="22"/>
  <c r="G38" i="26"/>
  <c r="H38" i="26" s="1"/>
  <c r="I38" i="26" s="1"/>
  <c r="G41" i="26"/>
  <c r="H41" i="26" s="1"/>
  <c r="E22" i="22"/>
  <c r="E53" i="22"/>
  <c r="E14" i="28"/>
  <c r="F14" i="28" s="1"/>
  <c r="E27" i="28"/>
  <c r="F27" i="28" s="1"/>
  <c r="E12" i="22"/>
  <c r="E43" i="22"/>
  <c r="E16" i="22"/>
  <c r="E19" i="22"/>
  <c r="E24" i="22"/>
  <c r="G39" i="26"/>
  <c r="H39" i="26" s="1"/>
  <c r="G40" i="26"/>
  <c r="H40" i="26" s="1"/>
  <c r="M40" i="26" s="1"/>
  <c r="G52" i="26"/>
  <c r="H52" i="26" s="1"/>
  <c r="M52" i="26" s="1"/>
  <c r="X43" i="25"/>
  <c r="Y43" i="25" s="1"/>
  <c r="X51" i="25"/>
  <c r="E21" i="28"/>
  <c r="F21" i="28" s="1"/>
  <c r="G21" i="28" s="1"/>
  <c r="E29" i="28"/>
  <c r="F29" i="28" s="1"/>
  <c r="E20" i="28"/>
  <c r="F20" i="28" s="1"/>
  <c r="G53" i="26"/>
  <c r="H53" i="26" s="1"/>
  <c r="L53" i="26" s="1"/>
  <c r="E26" i="28"/>
  <c r="F26" i="28" s="1"/>
  <c r="X50" i="25"/>
  <c r="G42" i="26"/>
  <c r="H42" i="26" s="1"/>
  <c r="M42" i="26" s="1"/>
  <c r="E12" i="28"/>
  <c r="F12" i="28" s="1"/>
  <c r="G12" i="28" s="1"/>
  <c r="X48" i="25"/>
  <c r="Y48" i="25" s="1"/>
  <c r="E24" i="28"/>
  <c r="F24" i="28" s="1"/>
  <c r="G24" i="28" s="1"/>
  <c r="G36" i="26"/>
  <c r="H36" i="26" s="1"/>
  <c r="G49" i="26"/>
  <c r="H49" i="26" s="1"/>
  <c r="I49" i="26" s="1"/>
  <c r="L48" i="26"/>
  <c r="I48" i="26"/>
  <c r="K48" i="26"/>
  <c r="J48" i="26"/>
  <c r="M48" i="26"/>
  <c r="F10" i="22"/>
  <c r="F27" i="22"/>
  <c r="F58" i="22"/>
  <c r="F57" i="22"/>
  <c r="F26" i="22"/>
  <c r="K54" i="26"/>
  <c r="L54" i="26"/>
  <c r="I54" i="26"/>
  <c r="M54" i="26"/>
  <c r="J54" i="26"/>
  <c r="I44" i="26"/>
  <c r="L44" i="26"/>
  <c r="K44" i="26"/>
  <c r="M44" i="26"/>
  <c r="J44" i="26"/>
  <c r="J45" i="26"/>
  <c r="K45" i="26"/>
  <c r="L45" i="26"/>
  <c r="M45" i="26"/>
  <c r="X49" i="25"/>
  <c r="Y49" i="25" s="1"/>
  <c r="E19" i="28"/>
  <c r="F19" i="28" s="1"/>
  <c r="G19" i="28" s="1"/>
  <c r="E13" i="28"/>
  <c r="F13" i="28" s="1"/>
  <c r="G13" i="28" s="1"/>
  <c r="E18" i="28"/>
  <c r="F18" i="28" s="1"/>
  <c r="G18" i="28" s="1"/>
  <c r="G43" i="26"/>
  <c r="H43" i="26" s="1"/>
  <c r="G50" i="26"/>
  <c r="H50" i="26" s="1"/>
  <c r="X56" i="25"/>
  <c r="Y56" i="25" s="1"/>
  <c r="X55" i="25"/>
  <c r="Y55" i="25" s="1"/>
  <c r="E22" i="28"/>
  <c r="F22" i="28" s="1"/>
  <c r="G22" i="28" s="1"/>
  <c r="X52" i="25"/>
  <c r="Y52" i="25" s="1"/>
  <c r="X54" i="25"/>
  <c r="Y54" i="25" s="1"/>
  <c r="G46" i="26"/>
  <c r="H46" i="26" s="1"/>
  <c r="K37" i="26"/>
  <c r="I37" i="26"/>
  <c r="L37" i="26"/>
  <c r="M37" i="26"/>
  <c r="J37" i="26"/>
  <c r="E9" i="22"/>
  <c r="C24" i="5"/>
  <c r="C15" i="5"/>
  <c r="C5" i="5"/>
  <c r="C20" i="5"/>
  <c r="E55" i="22" s="1"/>
  <c r="C11" i="5"/>
  <c r="C9" i="5"/>
  <c r="E44" i="22" s="1"/>
  <c r="C17" i="5"/>
  <c r="E52" i="22" s="1"/>
  <c r="C76" i="21" l="1"/>
  <c r="O75" i="21"/>
  <c r="B75" i="21"/>
  <c r="D75" i="21" s="1"/>
  <c r="P75" i="21" s="1"/>
  <c r="E27" i="22"/>
  <c r="X47" i="25"/>
  <c r="Y47" i="25" s="1"/>
  <c r="F21" i="22"/>
  <c r="E23" i="28"/>
  <c r="F23" i="28" s="1"/>
  <c r="G23" i="28" s="1"/>
  <c r="G21" i="22" s="1"/>
  <c r="H22" i="28"/>
  <c r="G51" i="22" s="1"/>
  <c r="G20" i="22"/>
  <c r="G47" i="26"/>
  <c r="H47" i="26" s="1"/>
  <c r="M47" i="26" s="1"/>
  <c r="H13" i="28"/>
  <c r="G42" i="22" s="1"/>
  <c r="G11" i="22"/>
  <c r="H12" i="28"/>
  <c r="G41" i="22" s="1"/>
  <c r="G10" i="22"/>
  <c r="H23" i="28"/>
  <c r="G52" i="22" s="1"/>
  <c r="H18" i="28"/>
  <c r="G47" i="22" s="1"/>
  <c r="G16" i="22"/>
  <c r="H19" i="28"/>
  <c r="G48" i="22" s="1"/>
  <c r="G17" i="22"/>
  <c r="H24" i="28"/>
  <c r="G53" i="22" s="1"/>
  <c r="G22" i="22"/>
  <c r="H21" i="28"/>
  <c r="G50" i="22" s="1"/>
  <c r="G19" i="22"/>
  <c r="H30" i="28"/>
  <c r="G59" i="22" s="1"/>
  <c r="G28" i="22"/>
  <c r="H17" i="28"/>
  <c r="G46" i="22" s="1"/>
  <c r="G15" i="22"/>
  <c r="F39" i="23"/>
  <c r="E39" i="23" s="1"/>
  <c r="G39" i="23" s="1"/>
  <c r="H39" i="23" s="1"/>
  <c r="E38" i="23"/>
  <c r="G38" i="23" s="1"/>
  <c r="H38" i="23" s="1"/>
  <c r="X61" i="25"/>
  <c r="Y61" i="25" s="1"/>
  <c r="F60" i="22" s="1"/>
  <c r="M55" i="26"/>
  <c r="L55" i="26"/>
  <c r="E31" i="28"/>
  <c r="F31" i="28" s="1"/>
  <c r="G31" i="28" s="1"/>
  <c r="J55" i="26"/>
  <c r="K55" i="26"/>
  <c r="G26" i="28"/>
  <c r="G27" i="28"/>
  <c r="G29" i="28"/>
  <c r="G28" i="28"/>
  <c r="G20" i="28"/>
  <c r="G14" i="28"/>
  <c r="G15" i="28"/>
  <c r="G16" i="28"/>
  <c r="E11" i="28"/>
  <c r="F11" i="28" s="1"/>
  <c r="Y57" i="25"/>
  <c r="F56" i="22" s="1"/>
  <c r="F28" i="22"/>
  <c r="Y60" i="25"/>
  <c r="F59" i="22" s="1"/>
  <c r="Y50" i="25"/>
  <c r="F49" i="22" s="1"/>
  <c r="Y51" i="25"/>
  <c r="F50" i="22" s="1"/>
  <c r="Y46" i="25"/>
  <c r="F45" i="22" s="1"/>
  <c r="Y44" i="25"/>
  <c r="F43" i="22" s="1"/>
  <c r="M38" i="26"/>
  <c r="L51" i="26"/>
  <c r="J51" i="26"/>
  <c r="H6" i="27"/>
  <c r="C36" i="22" s="1"/>
  <c r="I36" i="22" s="1"/>
  <c r="H13" i="27"/>
  <c r="C43" i="22" s="1"/>
  <c r="H26" i="27"/>
  <c r="C56" i="22" s="1"/>
  <c r="H16" i="27"/>
  <c r="C46" i="22" s="1"/>
  <c r="F52" i="22"/>
  <c r="E47" i="22"/>
  <c r="H22" i="27"/>
  <c r="C52" i="22" s="1"/>
  <c r="H17" i="27"/>
  <c r="C47" i="22" s="1"/>
  <c r="H24" i="27"/>
  <c r="C54" i="22" s="1"/>
  <c r="H8" i="27"/>
  <c r="C38" i="22" s="1"/>
  <c r="I38" i="22" s="1"/>
  <c r="H7" i="27"/>
  <c r="C37" i="22" s="1"/>
  <c r="I37" i="22" s="1"/>
  <c r="E40" i="22"/>
  <c r="H10" i="27"/>
  <c r="C40" i="22" s="1"/>
  <c r="H12" i="27"/>
  <c r="C42" i="22" s="1"/>
  <c r="H25" i="27"/>
  <c r="C55" i="22" s="1"/>
  <c r="F42" i="22"/>
  <c r="H19" i="27"/>
  <c r="C49" i="22" s="1"/>
  <c r="H23" i="27"/>
  <c r="C53" i="22" s="1"/>
  <c r="H18" i="27"/>
  <c r="C48" i="22" s="1"/>
  <c r="H21" i="27"/>
  <c r="C51" i="22" s="1"/>
  <c r="E50" i="22"/>
  <c r="E41" i="22"/>
  <c r="E46" i="22"/>
  <c r="F40" i="22"/>
  <c r="H11" i="27"/>
  <c r="C41" i="22" s="1"/>
  <c r="H9" i="27"/>
  <c r="C39" i="22" s="1"/>
  <c r="I39" i="22" s="1"/>
  <c r="L40" i="26"/>
  <c r="J52" i="26"/>
  <c r="L52" i="26"/>
  <c r="I40" i="26"/>
  <c r="F25" i="22"/>
  <c r="J42" i="26"/>
  <c r="I52" i="26"/>
  <c r="K42" i="26"/>
  <c r="F11" i="22"/>
  <c r="F14" i="22"/>
  <c r="M49" i="26"/>
  <c r="K52" i="26"/>
  <c r="L47" i="26"/>
  <c r="L42" i="26"/>
  <c r="K38" i="26"/>
  <c r="J47" i="26"/>
  <c r="M51" i="26"/>
  <c r="J40" i="26"/>
  <c r="I51" i="26"/>
  <c r="K40" i="26"/>
  <c r="J38" i="26"/>
  <c r="L38" i="26"/>
  <c r="F18" i="22"/>
  <c r="F19" i="22"/>
  <c r="F46" i="22"/>
  <c r="F15" i="22"/>
  <c r="E48" i="22"/>
  <c r="M39" i="26"/>
  <c r="L39" i="26"/>
  <c r="I39" i="26"/>
  <c r="J39" i="26"/>
  <c r="K39" i="26"/>
  <c r="I42" i="26"/>
  <c r="I41" i="26"/>
  <c r="M41" i="26"/>
  <c r="L41" i="26"/>
  <c r="J41" i="26"/>
  <c r="K41" i="26"/>
  <c r="F12" i="22"/>
  <c r="K49" i="26"/>
  <c r="I53" i="26"/>
  <c r="K53" i="26"/>
  <c r="M53" i="26"/>
  <c r="J53" i="26"/>
  <c r="J49" i="26"/>
  <c r="L49" i="26"/>
  <c r="N54" i="26"/>
  <c r="N44" i="26"/>
  <c r="N48" i="26"/>
  <c r="F47" i="22"/>
  <c r="F16" i="22"/>
  <c r="J36" i="26"/>
  <c r="K36" i="26"/>
  <c r="I36" i="26"/>
  <c r="L36" i="26"/>
  <c r="M36" i="26"/>
  <c r="N45" i="26"/>
  <c r="O45" i="26" s="1"/>
  <c r="F22" i="22"/>
  <c r="F53" i="22"/>
  <c r="F51" i="22"/>
  <c r="F20" i="22"/>
  <c r="F48" i="22"/>
  <c r="F17" i="22"/>
  <c r="F54" i="22"/>
  <c r="F23" i="22"/>
  <c r="F24" i="22"/>
  <c r="F55" i="22"/>
  <c r="K50" i="26"/>
  <c r="I50" i="26"/>
  <c r="M50" i="26"/>
  <c r="J50" i="26"/>
  <c r="L50" i="26"/>
  <c r="M46" i="26"/>
  <c r="L46" i="26"/>
  <c r="I46" i="26"/>
  <c r="K46" i="26"/>
  <c r="J46" i="26"/>
  <c r="L43" i="26"/>
  <c r="I43" i="26"/>
  <c r="K43" i="26"/>
  <c r="J43" i="26"/>
  <c r="M43" i="26"/>
  <c r="N37" i="26"/>
  <c r="O37" i="26" s="1"/>
  <c r="C77" i="21" l="1"/>
  <c r="O76" i="21"/>
  <c r="B76" i="21"/>
  <c r="D76" i="21" s="1"/>
  <c r="P76" i="21" s="1"/>
  <c r="F29" i="22"/>
  <c r="H20" i="28"/>
  <c r="G49" i="22" s="1"/>
  <c r="G18" i="22"/>
  <c r="H26" i="28"/>
  <c r="G55" i="22" s="1"/>
  <c r="G24" i="22"/>
  <c r="H28" i="28"/>
  <c r="G57" i="22" s="1"/>
  <c r="G26" i="22"/>
  <c r="I38" i="23"/>
  <c r="E59" i="22" s="1"/>
  <c r="E28" i="22"/>
  <c r="H40" i="23"/>
  <c r="H31" i="28"/>
  <c r="G60" i="22" s="1"/>
  <c r="G29" i="22"/>
  <c r="H16" i="28"/>
  <c r="G45" i="22" s="1"/>
  <c r="G14" i="22"/>
  <c r="I39" i="23"/>
  <c r="E60" i="22" s="1"/>
  <c r="E29" i="22"/>
  <c r="I47" i="26"/>
  <c r="H15" i="28"/>
  <c r="G44" i="22" s="1"/>
  <c r="G13" i="22"/>
  <c r="H29" i="28"/>
  <c r="G58" i="22" s="1"/>
  <c r="G27" i="22"/>
  <c r="K47" i="26"/>
  <c r="H14" i="28"/>
  <c r="G43" i="22" s="1"/>
  <c r="G12" i="22"/>
  <c r="H27" i="28"/>
  <c r="G56" i="22" s="1"/>
  <c r="G25" i="22"/>
  <c r="C61" i="22"/>
  <c r="F8" i="12" s="1"/>
  <c r="N55" i="26"/>
  <c r="O55" i="26" s="1"/>
  <c r="H60" i="22" s="1"/>
  <c r="O48" i="26"/>
  <c r="H53" i="22" s="1"/>
  <c r="G11" i="28"/>
  <c r="G9" i="22" s="1"/>
  <c r="H28" i="22"/>
  <c r="O54" i="26"/>
  <c r="H59" i="22" s="1"/>
  <c r="H18" i="22"/>
  <c r="O44" i="26"/>
  <c r="H49" i="22" s="1"/>
  <c r="H31" i="27"/>
  <c r="E61" i="22"/>
  <c r="N52" i="26"/>
  <c r="N38" i="26"/>
  <c r="N42" i="26"/>
  <c r="N40" i="26"/>
  <c r="N51" i="26"/>
  <c r="N53" i="26"/>
  <c r="N39" i="26"/>
  <c r="N41" i="26"/>
  <c r="O41" i="26" s="1"/>
  <c r="N49" i="26"/>
  <c r="H22" i="22"/>
  <c r="F61" i="22"/>
  <c r="N36" i="26"/>
  <c r="O36" i="26" s="1"/>
  <c r="N43" i="26"/>
  <c r="H19" i="22"/>
  <c r="H50" i="22"/>
  <c r="N50" i="26"/>
  <c r="O50" i="26" s="1"/>
  <c r="Y62" i="25"/>
  <c r="N46" i="26"/>
  <c r="O46" i="26" s="1"/>
  <c r="H11" i="22"/>
  <c r="H42" i="22"/>
  <c r="Q67" i="21"/>
  <c r="T67" i="21" s="1"/>
  <c r="E73" i="21"/>
  <c r="G67" i="21"/>
  <c r="E72" i="21"/>
  <c r="Q71" i="21"/>
  <c r="E69" i="21"/>
  <c r="Q70" i="21"/>
  <c r="Q76" i="21"/>
  <c r="Q74" i="21"/>
  <c r="Q75" i="21"/>
  <c r="C78" i="21" l="1"/>
  <c r="O77" i="21"/>
  <c r="B77" i="21"/>
  <c r="D77" i="21" s="1"/>
  <c r="E30" i="22"/>
  <c r="N47" i="26"/>
  <c r="H29" i="22"/>
  <c r="I40" i="23"/>
  <c r="G30" i="22"/>
  <c r="O47" i="26"/>
  <c r="H52" i="22" s="1"/>
  <c r="H11" i="28"/>
  <c r="G40" i="22" s="1"/>
  <c r="G61" i="22" s="1"/>
  <c r="G32" i="28"/>
  <c r="H13" i="22"/>
  <c r="O39" i="26"/>
  <c r="H44" i="22" s="1"/>
  <c r="H12" i="22"/>
  <c r="O38" i="26"/>
  <c r="H43" i="22" s="1"/>
  <c r="H27" i="22"/>
  <c r="O53" i="26"/>
  <c r="H58" i="22" s="1"/>
  <c r="O40" i="26"/>
  <c r="H45" i="22" s="1"/>
  <c r="H26" i="22"/>
  <c r="O52" i="26"/>
  <c r="H57" i="22" s="1"/>
  <c r="H25" i="22"/>
  <c r="O51" i="26"/>
  <c r="H56" i="22" s="1"/>
  <c r="O43" i="26"/>
  <c r="H48" i="22" s="1"/>
  <c r="H23" i="22"/>
  <c r="O49" i="26"/>
  <c r="H54" i="22" s="1"/>
  <c r="O42" i="26"/>
  <c r="H47" i="22" s="1"/>
  <c r="H14" i="22"/>
  <c r="H16" i="22"/>
  <c r="H21" i="22"/>
  <c r="H15" i="22"/>
  <c r="H46" i="22"/>
  <c r="H17" i="22"/>
  <c r="H41" i="22"/>
  <c r="H10" i="22"/>
  <c r="H20" i="22"/>
  <c r="H51" i="22"/>
  <c r="H24" i="22"/>
  <c r="H55" i="22"/>
  <c r="E71" i="21"/>
  <c r="H71" i="21" s="1"/>
  <c r="R67" i="21"/>
  <c r="S67" i="21" s="1"/>
  <c r="U67" i="21" s="1"/>
  <c r="E75" i="21"/>
  <c r="F75" i="21" s="1"/>
  <c r="G75" i="21" s="1"/>
  <c r="I75" i="21" s="1"/>
  <c r="Q77" i="21"/>
  <c r="T77" i="21" s="1"/>
  <c r="E74" i="21"/>
  <c r="H74" i="21" s="1"/>
  <c r="F69" i="21"/>
  <c r="G69" i="21" s="1"/>
  <c r="H69" i="21"/>
  <c r="T74" i="21"/>
  <c r="R74" i="21"/>
  <c r="S74" i="21" s="1"/>
  <c r="I67" i="21"/>
  <c r="J67" i="21"/>
  <c r="M67" i="21"/>
  <c r="L67" i="21"/>
  <c r="K67" i="21"/>
  <c r="F68" i="21"/>
  <c r="G68" i="21" s="1"/>
  <c r="H68" i="21"/>
  <c r="T76" i="21"/>
  <c r="R76" i="21"/>
  <c r="S76" i="21" s="1"/>
  <c r="R75" i="21"/>
  <c r="S75" i="21" s="1"/>
  <c r="T75" i="21"/>
  <c r="F72" i="21"/>
  <c r="G72" i="21" s="1"/>
  <c r="H72" i="21"/>
  <c r="T70" i="21"/>
  <c r="R70" i="21"/>
  <c r="S70" i="21" s="1"/>
  <c r="T71" i="21"/>
  <c r="R71" i="21"/>
  <c r="S71" i="21" s="1"/>
  <c r="H73" i="21"/>
  <c r="F73" i="21"/>
  <c r="G73" i="21" s="1"/>
  <c r="Q73" i="21"/>
  <c r="E76" i="21"/>
  <c r="H67" i="21"/>
  <c r="Q69" i="21"/>
  <c r="Q68" i="21"/>
  <c r="E70" i="21"/>
  <c r="Q72" i="21"/>
  <c r="P77" i="21" l="1"/>
  <c r="E77" i="21"/>
  <c r="C79" i="21"/>
  <c r="O78" i="21"/>
  <c r="B78" i="21"/>
  <c r="D78" i="21" s="1"/>
  <c r="H32" i="28"/>
  <c r="F71" i="21"/>
  <c r="G71" i="21" s="1"/>
  <c r="M71" i="21" s="1"/>
  <c r="R77" i="21"/>
  <c r="S77" i="21" s="1"/>
  <c r="X77" i="21" s="1"/>
  <c r="X67" i="21"/>
  <c r="Y67" i="21"/>
  <c r="W67" i="21"/>
  <c r="N67" i="21"/>
  <c r="V67" i="21"/>
  <c r="L75" i="21"/>
  <c r="H75" i="21"/>
  <c r="K75" i="21"/>
  <c r="J75" i="21"/>
  <c r="M75" i="21"/>
  <c r="F74" i="21"/>
  <c r="G74" i="21" s="1"/>
  <c r="M74" i="21" s="1"/>
  <c r="V70" i="21"/>
  <c r="Y70" i="21"/>
  <c r="U70" i="21"/>
  <c r="X70" i="21"/>
  <c r="W70" i="21"/>
  <c r="I69" i="21"/>
  <c r="M69" i="21"/>
  <c r="K69" i="21"/>
  <c r="J69" i="21"/>
  <c r="L69" i="21"/>
  <c r="F76" i="21"/>
  <c r="G76" i="21" s="1"/>
  <c r="H76" i="21"/>
  <c r="U75" i="21"/>
  <c r="V75" i="21"/>
  <c r="W75" i="21"/>
  <c r="Y75" i="21"/>
  <c r="X75" i="21"/>
  <c r="T68" i="21"/>
  <c r="R68" i="21"/>
  <c r="S68" i="21" s="1"/>
  <c r="L72" i="21"/>
  <c r="I72" i="21"/>
  <c r="M72" i="21"/>
  <c r="K72" i="21"/>
  <c r="J72" i="21"/>
  <c r="X76" i="21"/>
  <c r="Y76" i="21"/>
  <c r="V76" i="21"/>
  <c r="W76" i="21"/>
  <c r="U76" i="21"/>
  <c r="T73" i="21"/>
  <c r="R73" i="21"/>
  <c r="S73" i="21" s="1"/>
  <c r="T72" i="21"/>
  <c r="R72" i="21"/>
  <c r="S72" i="21" s="1"/>
  <c r="J73" i="21"/>
  <c r="I73" i="21"/>
  <c r="M73" i="21"/>
  <c r="K73" i="21"/>
  <c r="L73" i="21"/>
  <c r="J68" i="21"/>
  <c r="K68" i="21"/>
  <c r="L68" i="21"/>
  <c r="I68" i="21"/>
  <c r="M68" i="21"/>
  <c r="T69" i="21"/>
  <c r="R69" i="21"/>
  <c r="S69" i="21" s="1"/>
  <c r="F70" i="21"/>
  <c r="G70" i="21" s="1"/>
  <c r="H70" i="21"/>
  <c r="X71" i="21"/>
  <c r="U71" i="21"/>
  <c r="V71" i="21"/>
  <c r="W71" i="21"/>
  <c r="Y71" i="21"/>
  <c r="W74" i="21"/>
  <c r="V74" i="21"/>
  <c r="U74" i="21"/>
  <c r="Y74" i="21"/>
  <c r="X74" i="21"/>
  <c r="C80" i="21" l="1"/>
  <c r="O79" i="21"/>
  <c r="B79" i="21"/>
  <c r="D79" i="21" s="1"/>
  <c r="F77" i="21"/>
  <c r="G77" i="21" s="1"/>
  <c r="H77" i="21"/>
  <c r="P78" i="21"/>
  <c r="E78" i="21"/>
  <c r="Q78" i="21"/>
  <c r="K71" i="21"/>
  <c r="I71" i="21"/>
  <c r="V77" i="21"/>
  <c r="U77" i="21"/>
  <c r="Y77" i="21"/>
  <c r="W77" i="21"/>
  <c r="Z67" i="21"/>
  <c r="J71" i="21"/>
  <c r="L71" i="21"/>
  <c r="J74" i="21"/>
  <c r="I74" i="21"/>
  <c r="K74" i="21"/>
  <c r="N73" i="21"/>
  <c r="L74" i="21"/>
  <c r="N75" i="21"/>
  <c r="Z76" i="21"/>
  <c r="N69" i="21"/>
  <c r="Z75" i="21"/>
  <c r="Z70" i="21"/>
  <c r="Z74" i="21"/>
  <c r="N72" i="21"/>
  <c r="Z71" i="21"/>
  <c r="N68" i="21"/>
  <c r="U72" i="21"/>
  <c r="W72" i="21"/>
  <c r="V72" i="21"/>
  <c r="Y72" i="21"/>
  <c r="X72" i="21"/>
  <c r="X68" i="21"/>
  <c r="U68" i="21"/>
  <c r="V68" i="21"/>
  <c r="Y68" i="21"/>
  <c r="W68" i="21"/>
  <c r="K76" i="21"/>
  <c r="J76" i="21"/>
  <c r="I76" i="21"/>
  <c r="M76" i="21"/>
  <c r="L76" i="21"/>
  <c r="K70" i="21"/>
  <c r="I70" i="21"/>
  <c r="M70" i="21"/>
  <c r="J70" i="21"/>
  <c r="L70" i="21"/>
  <c r="Y73" i="21"/>
  <c r="U73" i="21"/>
  <c r="W73" i="21"/>
  <c r="X73" i="21"/>
  <c r="V73" i="21"/>
  <c r="U69" i="21"/>
  <c r="V69" i="21"/>
  <c r="W69" i="21"/>
  <c r="X69" i="21"/>
  <c r="Y69" i="21"/>
  <c r="T78" i="21" l="1"/>
  <c r="R78" i="21"/>
  <c r="S78" i="21" s="1"/>
  <c r="I77" i="21"/>
  <c r="K77" i="21"/>
  <c r="L77" i="21"/>
  <c r="J77" i="21"/>
  <c r="M77" i="21"/>
  <c r="F78" i="21"/>
  <c r="G78" i="21" s="1"/>
  <c r="H78" i="21"/>
  <c r="P79" i="21"/>
  <c r="E79" i="21"/>
  <c r="Q79" i="21"/>
  <c r="C81" i="21"/>
  <c r="O80" i="21"/>
  <c r="B80" i="21"/>
  <c r="D80" i="21" s="1"/>
  <c r="AA67" i="21"/>
  <c r="AB67" i="21" s="1"/>
  <c r="N71" i="21"/>
  <c r="AA71" i="21" s="1"/>
  <c r="AB71" i="21" s="1"/>
  <c r="Z77" i="21"/>
  <c r="N74" i="21"/>
  <c r="AA74" i="21" s="1"/>
  <c r="AB74" i="21" s="1"/>
  <c r="D9" i="22"/>
  <c r="Z68" i="21"/>
  <c r="AA68" i="21" s="1"/>
  <c r="AB68" i="21" s="1"/>
  <c r="AA75" i="21"/>
  <c r="AB75" i="21" s="1"/>
  <c r="N76" i="21"/>
  <c r="AA76" i="21" s="1"/>
  <c r="AB76" i="21" s="1"/>
  <c r="N70" i="21"/>
  <c r="AA70" i="21" s="1"/>
  <c r="AB70" i="21" s="1"/>
  <c r="Z69" i="21"/>
  <c r="AA69" i="21" s="1"/>
  <c r="AB69" i="21" s="1"/>
  <c r="Z73" i="21"/>
  <c r="AA73" i="21" s="1"/>
  <c r="AB73" i="21" s="1"/>
  <c r="Z72" i="21"/>
  <c r="AA72" i="21" s="1"/>
  <c r="AB72" i="21" s="1"/>
  <c r="R79" i="21" l="1"/>
  <c r="S79" i="21" s="1"/>
  <c r="T79" i="21"/>
  <c r="L78" i="21"/>
  <c r="J78" i="21"/>
  <c r="K78" i="21"/>
  <c r="I78" i="21"/>
  <c r="M78" i="21"/>
  <c r="P80" i="21"/>
  <c r="Q80" i="21"/>
  <c r="E80" i="21"/>
  <c r="H79" i="21"/>
  <c r="F79" i="21"/>
  <c r="G79" i="21" s="1"/>
  <c r="N77" i="21"/>
  <c r="AA77" i="21" s="1"/>
  <c r="Y78" i="21"/>
  <c r="X78" i="21"/>
  <c r="U78" i="21"/>
  <c r="V78" i="21"/>
  <c r="W78" i="21"/>
  <c r="C82" i="21"/>
  <c r="O81" i="21"/>
  <c r="B81" i="21"/>
  <c r="D81" i="21" s="1"/>
  <c r="N78" i="21"/>
  <c r="D10" i="22"/>
  <c r="I10" i="22" s="1"/>
  <c r="D41" i="22"/>
  <c r="I41" i="22" s="1"/>
  <c r="D18" i="22"/>
  <c r="I18" i="22" s="1"/>
  <c r="D49" i="22"/>
  <c r="I49" i="22" s="1"/>
  <c r="D14" i="22"/>
  <c r="I14" i="22" s="1"/>
  <c r="D45" i="22"/>
  <c r="I45" i="22" s="1"/>
  <c r="D13" i="22"/>
  <c r="I13" i="22" s="1"/>
  <c r="D44" i="22"/>
  <c r="I44" i="22" s="1"/>
  <c r="D15" i="22"/>
  <c r="I15" i="22" s="1"/>
  <c r="D46" i="22"/>
  <c r="I46" i="22" s="1"/>
  <c r="D16" i="22"/>
  <c r="I16" i="22" s="1"/>
  <c r="D47" i="22"/>
  <c r="I47" i="22" s="1"/>
  <c r="D40" i="22"/>
  <c r="D11" i="22"/>
  <c r="I11" i="22" s="1"/>
  <c r="D42" i="22"/>
  <c r="I42" i="22" s="1"/>
  <c r="D12" i="22"/>
  <c r="I12" i="22" s="1"/>
  <c r="D43" i="22"/>
  <c r="I43" i="22" s="1"/>
  <c r="D17" i="22"/>
  <c r="I17" i="22" s="1"/>
  <c r="D48" i="22"/>
  <c r="I48" i="22" s="1"/>
  <c r="AB77" i="21" l="1"/>
  <c r="D50" i="22" s="1"/>
  <c r="I50" i="22" s="1"/>
  <c r="D19" i="22"/>
  <c r="I19" i="22" s="1"/>
  <c r="C83" i="21"/>
  <c r="O82" i="21"/>
  <c r="B82" i="21"/>
  <c r="D82" i="21" s="1"/>
  <c r="H80" i="21"/>
  <c r="F80" i="21"/>
  <c r="G80" i="21" s="1"/>
  <c r="P81" i="21"/>
  <c r="E81" i="21"/>
  <c r="Q81" i="21"/>
  <c r="T80" i="21"/>
  <c r="R80" i="21"/>
  <c r="S80" i="21" s="1"/>
  <c r="Z78" i="21"/>
  <c r="AA78" i="21" s="1"/>
  <c r="M79" i="21"/>
  <c r="K79" i="21"/>
  <c r="I79" i="21"/>
  <c r="N79" i="21" s="1"/>
  <c r="L79" i="21"/>
  <c r="J79" i="21"/>
  <c r="U79" i="21"/>
  <c r="Z79" i="21" s="1"/>
  <c r="AA79" i="21" s="1"/>
  <c r="V79" i="21"/>
  <c r="W79" i="21"/>
  <c r="X79" i="21"/>
  <c r="Y79" i="21"/>
  <c r="G35" i="26"/>
  <c r="H35" i="26" s="1"/>
  <c r="AB79" i="21" l="1"/>
  <c r="D52" i="22" s="1"/>
  <c r="I52" i="22" s="1"/>
  <c r="D21" i="22"/>
  <c r="I21" i="22" s="1"/>
  <c r="R81" i="21"/>
  <c r="S81" i="21" s="1"/>
  <c r="T81" i="21"/>
  <c r="C84" i="21"/>
  <c r="O83" i="21"/>
  <c r="B83" i="21"/>
  <c r="D83" i="21" s="1"/>
  <c r="AB78" i="21"/>
  <c r="D20" i="22"/>
  <c r="H81" i="21"/>
  <c r="F81" i="21"/>
  <c r="G81" i="21" s="1"/>
  <c r="Y80" i="21"/>
  <c r="X80" i="21"/>
  <c r="Z80" i="21" s="1"/>
  <c r="V80" i="21"/>
  <c r="W80" i="21"/>
  <c r="U80" i="21"/>
  <c r="P82" i="21"/>
  <c r="E82" i="21"/>
  <c r="Q82" i="21"/>
  <c r="L80" i="21"/>
  <c r="J80" i="21"/>
  <c r="I80" i="21"/>
  <c r="N80" i="21" s="1"/>
  <c r="M80" i="21"/>
  <c r="K80" i="21"/>
  <c r="M35" i="26"/>
  <c r="K35" i="26"/>
  <c r="I35" i="26"/>
  <c r="J35" i="26"/>
  <c r="L35" i="26"/>
  <c r="F9" i="22"/>
  <c r="X62" i="25"/>
  <c r="AA80" i="21" l="1"/>
  <c r="W81" i="21"/>
  <c r="Y81" i="21"/>
  <c r="X81" i="21"/>
  <c r="V81" i="21"/>
  <c r="U81" i="21"/>
  <c r="I20" i="22"/>
  <c r="C85" i="21"/>
  <c r="O84" i="21"/>
  <c r="B84" i="21"/>
  <c r="D84" i="21" s="1"/>
  <c r="R82" i="21"/>
  <c r="S82" i="21" s="1"/>
  <c r="T82" i="21"/>
  <c r="D51" i="22"/>
  <c r="H82" i="21"/>
  <c r="F82" i="21"/>
  <c r="G82" i="21" s="1"/>
  <c r="L81" i="21"/>
  <c r="J81" i="21"/>
  <c r="M81" i="21"/>
  <c r="K81" i="21"/>
  <c r="I81" i="21"/>
  <c r="N81" i="21" s="1"/>
  <c r="P83" i="21"/>
  <c r="Q83" i="21"/>
  <c r="E83" i="21"/>
  <c r="Z81" i="21"/>
  <c r="F30" i="22"/>
  <c r="N35" i="26"/>
  <c r="O35" i="26" s="1"/>
  <c r="AA81" i="21" l="1"/>
  <c r="I51" i="22"/>
  <c r="F83" i="21"/>
  <c r="G83" i="21" s="1"/>
  <c r="H83" i="21"/>
  <c r="M82" i="21"/>
  <c r="L82" i="21"/>
  <c r="J82" i="21"/>
  <c r="I82" i="21"/>
  <c r="K82" i="21"/>
  <c r="C86" i="21"/>
  <c r="O85" i="21"/>
  <c r="B85" i="21"/>
  <c r="D85" i="21" s="1"/>
  <c r="T83" i="21"/>
  <c r="R83" i="21"/>
  <c r="S83" i="21" s="1"/>
  <c r="N82" i="21"/>
  <c r="Y82" i="21"/>
  <c r="W82" i="21"/>
  <c r="X82" i="21"/>
  <c r="U82" i="21"/>
  <c r="Z82" i="21" s="1"/>
  <c r="V82" i="21"/>
  <c r="P84" i="21"/>
  <c r="Q84" i="21"/>
  <c r="E84" i="21"/>
  <c r="AB80" i="21"/>
  <c r="D22" i="22"/>
  <c r="O56" i="26"/>
  <c r="H40" i="22"/>
  <c r="I40" i="22" s="1"/>
  <c r="N56" i="26"/>
  <c r="H9" i="22"/>
  <c r="I9" i="22" s="1"/>
  <c r="AA82" i="21" l="1"/>
  <c r="I22" i="22"/>
  <c r="H84" i="21"/>
  <c r="F84" i="21"/>
  <c r="G84" i="21" s="1"/>
  <c r="D53" i="22"/>
  <c r="P85" i="21"/>
  <c r="Q85" i="21"/>
  <c r="E85" i="21"/>
  <c r="T84" i="21"/>
  <c r="R84" i="21"/>
  <c r="S84" i="21" s="1"/>
  <c r="X83" i="21"/>
  <c r="U83" i="21"/>
  <c r="Z83" i="21" s="1"/>
  <c r="Y83" i="21"/>
  <c r="W83" i="21"/>
  <c r="V83" i="21"/>
  <c r="C87" i="21"/>
  <c r="O86" i="21"/>
  <c r="B86" i="21"/>
  <c r="D86" i="21" s="1"/>
  <c r="M83" i="21"/>
  <c r="L83" i="21"/>
  <c r="I83" i="21"/>
  <c r="N83" i="21" s="1"/>
  <c r="K83" i="21"/>
  <c r="J83" i="21"/>
  <c r="AB81" i="21"/>
  <c r="D54" i="22" s="1"/>
  <c r="I54" i="22" s="1"/>
  <c r="D23" i="22"/>
  <c r="I23" i="22" s="1"/>
  <c r="H30" i="22"/>
  <c r="H61" i="22"/>
  <c r="AA83" i="21" l="1"/>
  <c r="P86" i="21"/>
  <c r="E86" i="21"/>
  <c r="Q86" i="21"/>
  <c r="V84" i="21"/>
  <c r="W84" i="21"/>
  <c r="U84" i="21"/>
  <c r="Y84" i="21"/>
  <c r="X84" i="21"/>
  <c r="Z84" i="21" s="1"/>
  <c r="L84" i="21"/>
  <c r="I84" i="21"/>
  <c r="N84" i="21" s="1"/>
  <c r="AA84" i="21" s="1"/>
  <c r="M84" i="21"/>
  <c r="J84" i="21"/>
  <c r="K84" i="21"/>
  <c r="T85" i="21"/>
  <c r="R85" i="21"/>
  <c r="S85" i="21" s="1"/>
  <c r="O87" i="21"/>
  <c r="B87" i="21"/>
  <c r="D87" i="21" s="1"/>
  <c r="H85" i="21"/>
  <c r="F85" i="21"/>
  <c r="G85" i="21" s="1"/>
  <c r="I53" i="22"/>
  <c r="AB82" i="21"/>
  <c r="D55" i="22" s="1"/>
  <c r="I55" i="22" s="1"/>
  <c r="D24" i="22"/>
  <c r="AB84" i="21" l="1"/>
  <c r="D57" i="22" s="1"/>
  <c r="I57" i="22" s="1"/>
  <c r="D26" i="22"/>
  <c r="I26" i="22" s="1"/>
  <c r="P87" i="21"/>
  <c r="Q87" i="21"/>
  <c r="E87" i="21"/>
  <c r="F86" i="21"/>
  <c r="G86" i="21" s="1"/>
  <c r="H86" i="21"/>
  <c r="I24" i="22"/>
  <c r="M85" i="21"/>
  <c r="K85" i="21"/>
  <c r="L85" i="21"/>
  <c r="I85" i="21"/>
  <c r="J85" i="21"/>
  <c r="U85" i="21"/>
  <c r="X85" i="21"/>
  <c r="V85" i="21"/>
  <c r="W85" i="21"/>
  <c r="Y85" i="21"/>
  <c r="N85" i="21"/>
  <c r="Z85" i="21"/>
  <c r="R86" i="21"/>
  <c r="S86" i="21" s="1"/>
  <c r="T86" i="21"/>
  <c r="AB83" i="21"/>
  <c r="D56" i="22" s="1"/>
  <c r="D25" i="22"/>
  <c r="I25" i="22" s="1"/>
  <c r="I86" i="21" l="1"/>
  <c r="M86" i="21"/>
  <c r="L86" i="21"/>
  <c r="K86" i="21"/>
  <c r="J86" i="21"/>
  <c r="I56" i="22"/>
  <c r="H87" i="21"/>
  <c r="F87" i="21"/>
  <c r="G87" i="21" s="1"/>
  <c r="AA85" i="21"/>
  <c r="U86" i="21"/>
  <c r="Z86" i="21" s="1"/>
  <c r="AA86" i="21" s="1"/>
  <c r="V86" i="21"/>
  <c r="Y86" i="21"/>
  <c r="W86" i="21"/>
  <c r="X86" i="21"/>
  <c r="N86" i="21"/>
  <c r="R87" i="21"/>
  <c r="S87" i="21" s="1"/>
  <c r="T87" i="21"/>
  <c r="AB86" i="21" l="1"/>
  <c r="D59" i="22" s="1"/>
  <c r="I59" i="22" s="1"/>
  <c r="D28" i="22"/>
  <c r="I28" i="22" s="1"/>
  <c r="AB85" i="21"/>
  <c r="D58" i="22" s="1"/>
  <c r="D27" i="22"/>
  <c r="W87" i="21"/>
  <c r="X87" i="21"/>
  <c r="U87" i="21"/>
  <c r="Y87" i="21"/>
  <c r="V87" i="21"/>
  <c r="Z87" i="21" s="1"/>
  <c r="I87" i="21"/>
  <c r="M87" i="21"/>
  <c r="J87" i="21"/>
  <c r="N87" i="21" s="1"/>
  <c r="K87" i="21"/>
  <c r="L87" i="21"/>
  <c r="AA87" i="21" l="1"/>
  <c r="N88" i="21"/>
  <c r="I27" i="22"/>
  <c r="I58" i="22"/>
  <c r="D29" i="22" l="1"/>
  <c r="AB87" i="21"/>
  <c r="AA88" i="21"/>
  <c r="D60" i="22" l="1"/>
  <c r="AB88" i="21"/>
  <c r="I29" i="22"/>
  <c r="I30" i="22" s="1"/>
  <c r="D30" i="22"/>
  <c r="K30" i="22" s="1"/>
  <c r="G8" i="12" l="1"/>
  <c r="I60" i="22"/>
  <c r="I61" i="22" s="1"/>
  <c r="D61" i="22"/>
  <c r="K61" i="22" s="1"/>
  <c r="H8" i="12" s="1"/>
  <c r="I8" i="12" s="1"/>
  <c r="H5" i="12" s="1"/>
</calcChain>
</file>

<file path=xl/sharedStrings.xml><?xml version="1.0" encoding="utf-8"?>
<sst xmlns="http://schemas.openxmlformats.org/spreadsheetml/2006/main" count="374" uniqueCount="221">
  <si>
    <t>Total</t>
  </si>
  <si>
    <t>Year</t>
  </si>
  <si>
    <t>Project Costs</t>
  </si>
  <si>
    <t>Capital Costs</t>
  </si>
  <si>
    <t>State of Good Repair</t>
  </si>
  <si>
    <t>Economic Competitiveness</t>
  </si>
  <si>
    <t>Safety</t>
  </si>
  <si>
    <t>Reduction in Crashes</t>
  </si>
  <si>
    <t>Total Net Benefit</t>
  </si>
  <si>
    <t>Net Present Value (NPV)</t>
  </si>
  <si>
    <t>Discount Rate</t>
  </si>
  <si>
    <t>Fatality</t>
  </si>
  <si>
    <t>Page Reference in BCA</t>
  </si>
  <si>
    <t>Current Infrastructure Baseline</t>
  </si>
  <si>
    <t>Project Description</t>
  </si>
  <si>
    <t>Project Justification and Long-Term Outcomes</t>
  </si>
  <si>
    <t>Projected Users</t>
  </si>
  <si>
    <t>Economic Impact</t>
  </si>
  <si>
    <t>Benefit-Cost Ratio</t>
  </si>
  <si>
    <t>Incapacitating Injury</t>
  </si>
  <si>
    <t>Non-Incapacitating Injury</t>
  </si>
  <si>
    <t>Possible Injury</t>
  </si>
  <si>
    <t>Property Damage</t>
  </si>
  <si>
    <t>Collisions</t>
  </si>
  <si>
    <t>Persons</t>
  </si>
  <si>
    <t>Source: ODOT</t>
  </si>
  <si>
    <t>Collision by Severity</t>
  </si>
  <si>
    <t>Value of Reduced Fatalities and Injuries</t>
  </si>
  <si>
    <t>Unit Value ($2017)</t>
  </si>
  <si>
    <t>Source: BCA Guidance 2018</t>
  </si>
  <si>
    <t>KABCO Level</t>
  </si>
  <si>
    <t>Monetized Value</t>
  </si>
  <si>
    <t>O - No Injury</t>
  </si>
  <si>
    <t>C - Possible Injury</t>
  </si>
  <si>
    <t>B - Non-incapacitating</t>
  </si>
  <si>
    <t>A - Incapacitating</t>
  </si>
  <si>
    <t>K - Killed</t>
  </si>
  <si>
    <t>U - Injured (Severity Unknown)</t>
  </si>
  <si>
    <t># of Accidents Reported (Unknown if Injured)</t>
  </si>
  <si>
    <t>Property Damage Only Crashes</t>
  </si>
  <si>
    <t>Per Vehicle</t>
  </si>
  <si>
    <t>No Build</t>
  </si>
  <si>
    <t>No Build Scenario</t>
  </si>
  <si>
    <t>Total (5 Years)</t>
  </si>
  <si>
    <t>Total Cost</t>
  </si>
  <si>
    <t>Average Vehicle Occupancy</t>
  </si>
  <si>
    <t>Vehicle Type</t>
  </si>
  <si>
    <t>Passenger Vehicles</t>
  </si>
  <si>
    <t>Trucks</t>
  </si>
  <si>
    <t>Occupancy</t>
  </si>
  <si>
    <t>Build Scenario</t>
  </si>
  <si>
    <t>Potential Cost Savings</t>
  </si>
  <si>
    <t>Average Vehicle per Crash</t>
  </si>
  <si>
    <t>Vehicle/Crash</t>
  </si>
  <si>
    <t>Collision Rate per Average Daily Traffic</t>
  </si>
  <si>
    <t>Build</t>
  </si>
  <si>
    <t>Est. # of Collisions</t>
  </si>
  <si>
    <t>Est. # of Vehicles</t>
  </si>
  <si>
    <t>Est. # of People</t>
  </si>
  <si>
    <t>PDO (Vehicle)</t>
  </si>
  <si>
    <t>PDO (People)</t>
  </si>
  <si>
    <t>Pos. Injury</t>
  </si>
  <si>
    <t>Non-Incap. Injury</t>
  </si>
  <si>
    <t>Incap. Injury</t>
  </si>
  <si>
    <t>ADT on I-35</t>
  </si>
  <si>
    <t>Growth</t>
  </si>
  <si>
    <t>NB I-35</t>
  </si>
  <si>
    <t>SB I-35</t>
  </si>
  <si>
    <t>I-35</t>
  </si>
  <si>
    <t>Growth Rate and 2018 ADT Calculation</t>
  </si>
  <si>
    <t>Source: ODOT ADT</t>
  </si>
  <si>
    <t>09/2012 - 12/2012</t>
  </si>
  <si>
    <t>01/2017 - 08/2017</t>
  </si>
  <si>
    <t>Benefit Cost Analysis Summary</t>
  </si>
  <si>
    <t>Environmental Protection</t>
  </si>
  <si>
    <t>Avoided Vehicle Repair Cost</t>
  </si>
  <si>
    <t>Value of Travel Time Savings</t>
  </si>
  <si>
    <t>Emissions Reduction Benefits</t>
  </si>
  <si>
    <t>Average Daily Traffic</t>
  </si>
  <si>
    <t>Growth Rate</t>
  </si>
  <si>
    <t>Source: Safety Tab</t>
  </si>
  <si>
    <t>Average Additional Operating Costs due to Rough Roads</t>
  </si>
  <si>
    <t>Source: Road Work Ahead - US PIRG Education Fund 2010</t>
  </si>
  <si>
    <t>Oklahoma (per motorist per year)</t>
  </si>
  <si>
    <t>Project to Total Roadway Network Ratio</t>
  </si>
  <si>
    <t>Oklahoma (per vehicle per year)</t>
  </si>
  <si>
    <t>AM Peak Hour</t>
  </si>
  <si>
    <t>Traffic Volumes</t>
  </si>
  <si>
    <t>Total Delay (secs)</t>
  </si>
  <si>
    <t>PM Peak Hour</t>
  </si>
  <si>
    <t>Average Delay Reduction (secs/veh)</t>
  </si>
  <si>
    <t>Total AM and PM Peak Hour Delay Reduction (sec)</t>
  </si>
  <si>
    <t>Estimated Annual Delay Reduction (hours)</t>
  </si>
  <si>
    <t>Additional Operating Costs Avoided</t>
  </si>
  <si>
    <t>Delay Reduction Benefit</t>
  </si>
  <si>
    <t>Recommended Hourly Values of Travel Time Savings (2017 US $/person-hour)</t>
  </si>
  <si>
    <t>Category</t>
  </si>
  <si>
    <t>Hourly Value</t>
  </si>
  <si>
    <t>In-vehicle Travel</t>
  </si>
  <si>
    <t xml:space="preserve">Personal </t>
  </si>
  <si>
    <t>Business</t>
  </si>
  <si>
    <t>All Purposes</t>
  </si>
  <si>
    <t>Commercial Vehicle Operators</t>
  </si>
  <si>
    <t>Truck Drivers</t>
  </si>
  <si>
    <t>Bus Drivers</t>
  </si>
  <si>
    <t>Transit Rail Operators</t>
  </si>
  <si>
    <t>Locomotive Engineers</t>
  </si>
  <si>
    <t>Intersection</t>
  </si>
  <si>
    <t>Node</t>
  </si>
  <si>
    <t>AM Int Volume</t>
  </si>
  <si>
    <t>PM Int Volume</t>
  </si>
  <si>
    <t>AM Delay Reduction</t>
  </si>
  <si>
    <t>PM Delay Reduction</t>
  </si>
  <si>
    <t>Damage Costs for Pollutant Emissions</t>
  </si>
  <si>
    <t>Emission Type</t>
  </si>
  <si>
    <t>$ / short ton ($2017)</t>
  </si>
  <si>
    <t>Carbon Dioxide</t>
  </si>
  <si>
    <t>Volatile Organic Compounds</t>
  </si>
  <si>
    <t>Nitrogen Oxides</t>
  </si>
  <si>
    <t>Particulate Matter</t>
  </si>
  <si>
    <t>Sulfur Dioxide</t>
  </si>
  <si>
    <t>Source: BCA Guildelines 2018</t>
  </si>
  <si>
    <t>Fuel Consumption (gallons)</t>
  </si>
  <si>
    <t>Total Travel (vehicle miles traveled)</t>
  </si>
  <si>
    <t>Total Delay (vehicle-hour)</t>
  </si>
  <si>
    <t>Total Stops (stops per vehicle-hour)</t>
  </si>
  <si>
    <t>Cruise Speed (mph)</t>
  </si>
  <si>
    <t>K1</t>
  </si>
  <si>
    <t>K2</t>
  </si>
  <si>
    <t>K3</t>
  </si>
  <si>
    <t>Reduction in Fuel Consumption (gallons)</t>
  </si>
  <si>
    <t>Source: NCHRP Synthesis 409 (Page 77)</t>
  </si>
  <si>
    <t>Emission Production Factor (grams per gallon)</t>
  </si>
  <si>
    <t>Emission Rate (grams)</t>
  </si>
  <si>
    <t>Week Days/Year</t>
  </si>
  <si>
    <t>Source</t>
  </si>
  <si>
    <t>EPA</t>
  </si>
  <si>
    <t>NCHRP 409</t>
  </si>
  <si>
    <t>Average PM emissions from cars (mg/mi)</t>
  </si>
  <si>
    <t>Average mile per gallon</t>
  </si>
  <si>
    <t>google</t>
  </si>
  <si>
    <t>EPA Kansis City Analysis</t>
  </si>
  <si>
    <t>Carbon Dioxide Pollutant Emissions (grams)</t>
  </si>
  <si>
    <t>Nitrogen Oxides Pollutant Emissions (grams)</t>
  </si>
  <si>
    <t>Particulate Matter Pollutant Emissions (grams)</t>
  </si>
  <si>
    <t>Sulfur Dioxide Pollutant Emissions (grams)</t>
  </si>
  <si>
    <t>Volatile Organic Compounds Pollutant Emissions
(grams)</t>
  </si>
  <si>
    <t>Reduction in Fuel Consumption
(gallons)</t>
  </si>
  <si>
    <t>Estimated Annual Delay Reduction
(hours)</t>
  </si>
  <si>
    <t>Cost Savings for Reduced Damage of Pollutant Emissions</t>
  </si>
  <si>
    <t>$ / gram ($2017)</t>
  </si>
  <si>
    <t>Particulate Matter Emission Factor</t>
  </si>
  <si>
    <t>2020 ADT</t>
  </si>
  <si>
    <t>Total Project Costs</t>
  </si>
  <si>
    <t>Project Cost</t>
  </si>
  <si>
    <t>Percent Project Cost Paid</t>
  </si>
  <si>
    <t>Project Cost
(NPV)</t>
  </si>
  <si>
    <t>Benefit Cost Analysis Summary (NPV)</t>
  </si>
  <si>
    <t>Potential Cost Savings
(NPV)</t>
  </si>
  <si>
    <t>Truck Traffic Percentage</t>
  </si>
  <si>
    <t>2020 Truck ADT</t>
  </si>
  <si>
    <t>% Trucks</t>
  </si>
  <si>
    <t>Source:</t>
  </si>
  <si>
    <t xml:space="preserve">Source: </t>
  </si>
  <si>
    <t>Riverwind Saturday Events</t>
  </si>
  <si>
    <t>Total Days/Year</t>
  </si>
  <si>
    <t>Average Cost of Gas in Newcastle</t>
  </si>
  <si>
    <t>$/gallon</t>
  </si>
  <si>
    <t>Cost Savings in Reduced Fuel Consumption</t>
  </si>
  <si>
    <t>Source: Environmental Protection Tab</t>
  </si>
  <si>
    <t>Additional Operating Costs Avoided (NPV)</t>
  </si>
  <si>
    <t>Delay Reduction Benefit (NPV)</t>
  </si>
  <si>
    <t>Cost Savings for Reduced Damage of Pollutant Emissions (NPV)</t>
  </si>
  <si>
    <t>Cost Savings in Reduced Fuel Consumption (NPV)</t>
  </si>
  <si>
    <t>Appendix A-</t>
  </si>
  <si>
    <t>Project</t>
  </si>
  <si>
    <t>Total Net Benefit (NPV)</t>
  </si>
  <si>
    <t>Fuel Consumption Reduction</t>
  </si>
  <si>
    <t>Source: TSD - Technical Update of the Social Cost of Carbon for Regulatory Impact Analysis</t>
  </si>
  <si>
    <t>Truck Traffic Percentage on SH-9</t>
  </si>
  <si>
    <t>AM Delay (sec/veh)</t>
  </si>
  <si>
    <t>PM Delay (sec/veh)</t>
  </si>
  <si>
    <t>I-35 S/Hwy9 E is an 8 lane divided highway over the S Canadian River. Peak Hour traffic back up extends to the I-35/Hwy9 interchange. There is insufficient clearance between the Intersections at the I-35 abd Hwy 9 interchange and Hwy 9 and S Harvey Ave.</t>
  </si>
  <si>
    <t>An additional southbound lane will be added between the I-35 and Hwy 9 interchages. An additional exit ramp will be added to the south side of the Exit 106 overpass. A new county road and roundabout will be added to the East side of Riverwind Casino property. S Harvey Rd will be moved farther West.</t>
  </si>
  <si>
    <t xml:space="preserve">Improvements will reduce traffic volumes at Exit 106, decrease excessive traffic queuing on Hwy 9 and on I-35 S and will reduce traffic accidents on Hwy 9 and I-35 S. </t>
  </si>
  <si>
    <t>All motorists that use the facility the surrounding businesses and surrounding community.</t>
  </si>
  <si>
    <r>
      <t>Monetized value of reduced crash costs,</t>
    </r>
    <r>
      <rPr>
        <sz val="10"/>
        <color rgb="FFFF0000"/>
        <rFont val="Arial"/>
        <family val="2"/>
      </rPr>
      <t xml:space="preserve"> diversion to transit</t>
    </r>
    <r>
      <rPr>
        <sz val="10"/>
        <rFont val="Arial"/>
        <family val="2"/>
      </rPr>
      <t xml:space="preserve">, </t>
    </r>
    <r>
      <rPr>
        <sz val="10"/>
        <color rgb="FFFF0000"/>
        <rFont val="Arial"/>
        <family val="2"/>
      </rPr>
      <t>multi-modal connectivity benefits</t>
    </r>
    <r>
      <rPr>
        <sz val="10"/>
        <rFont val="Arial"/>
        <family val="2"/>
      </rPr>
      <t xml:space="preserve">, </t>
    </r>
    <r>
      <rPr>
        <sz val="10"/>
        <color rgb="FFFF0000"/>
        <rFont val="Arial"/>
        <family val="2"/>
      </rPr>
      <t xml:space="preserve"> vehicle repair costs</t>
    </r>
    <r>
      <rPr>
        <sz val="10"/>
        <rFont val="Arial"/>
        <family val="2"/>
      </rPr>
      <t xml:space="preserve">, increase in property values,  travel time savings,  and </t>
    </r>
    <r>
      <rPr>
        <sz val="10"/>
        <color rgb="FFFF0000"/>
        <rFont val="Arial"/>
        <family val="2"/>
      </rPr>
      <t>reduced maintenance costs</t>
    </r>
  </si>
  <si>
    <t>Hwy 9 &amp; Bankers Ave</t>
  </si>
  <si>
    <t>Hwy 9 &amp; Harvey St</t>
  </si>
  <si>
    <t>Hwy 9 &amp; SB Exit</t>
  </si>
  <si>
    <t>All Crashes within project extents</t>
  </si>
  <si>
    <t>All Correctable Crashes</t>
  </si>
  <si>
    <t>Crashes within Bankers/Sonic intersection</t>
  </si>
  <si>
    <t>2040 No Build</t>
  </si>
  <si>
    <t>2040 Build Out</t>
  </si>
  <si>
    <t>2018 No Build</t>
  </si>
  <si>
    <t>2018 Build Out</t>
  </si>
  <si>
    <t>AM</t>
  </si>
  <si>
    <t>AM Int</t>
  </si>
  <si>
    <t>Pm INT</t>
  </si>
  <si>
    <t>PM</t>
  </si>
  <si>
    <t>2018 (seconds)</t>
  </si>
  <si>
    <t>2040 (seconds)</t>
  </si>
  <si>
    <t>seconds</t>
  </si>
  <si>
    <t>minutes</t>
  </si>
  <si>
    <t>Length (ft)</t>
  </si>
  <si>
    <t>I-35 at SH 9 Interchange Improvements</t>
  </si>
  <si>
    <t>7,500 LF</t>
  </si>
  <si>
    <t>Capital Costs (NPV)</t>
  </si>
  <si>
    <t>Fuel Savings</t>
  </si>
  <si>
    <t>Total Benefits</t>
  </si>
  <si>
    <t>Total Benefits (NPV)</t>
  </si>
  <si>
    <t>Total Net (Benefit-Cost)</t>
  </si>
  <si>
    <t>Percent of Correctable crashes recognized for BCA analysis</t>
  </si>
  <si>
    <t>Source: Intersection analysis as part of the Interchange Access Justification Report</t>
  </si>
  <si>
    <t>Average Intersection Volumes - Build</t>
  </si>
  <si>
    <t>Average Intersection Volumes - No Build</t>
  </si>
  <si>
    <t>Average Delay</t>
  </si>
  <si>
    <t>2016 traffic counts</t>
  </si>
  <si>
    <t>K2 - Fueld Consumption at Idle</t>
  </si>
  <si>
    <t>Injury Type Per 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</si>
</sst>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_(&quot;$&quot;* #,##0_);_(&quot;$&quot;* \(#,##0\);_(&quot;$&quot;* &quot;-&quot;??_);_(@_)"/>
    <numFmt numFmtId="166" formatCode="0.00000"/>
    <numFmt numFmtId="167" formatCode="0.000"/>
    <numFmt numFmtId="168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 applyNumberFormat="0" applyAlignment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38" fontId="2" fillId="2" borderId="0" applyNumberFormat="0" applyBorder="0" applyAlignment="0" applyProtection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10" fontId="2" fillId="3" borderId="3" applyNumberFormat="0" applyBorder="0" applyAlignment="0" applyProtection="0"/>
    <xf numFmtId="164" fontId="1" fillId="0" borderId="0"/>
    <xf numFmtId="0" fontId="1" fillId="0" borderId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</cellStyleXfs>
  <cellXfs count="348">
    <xf numFmtId="0" fontId="0" fillId="0" borderId="0" xfId="0"/>
    <xf numFmtId="0" fontId="0" fillId="0" borderId="0" xfId="0" applyBorder="1"/>
    <xf numFmtId="44" fontId="0" fillId="0" borderId="0" xfId="0" applyNumberFormat="1"/>
    <xf numFmtId="0" fontId="0" fillId="0" borderId="3" xfId="0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/>
    <xf numFmtId="44" fontId="0" fillId="0" borderId="3" xfId="3" applyFont="1" applyBorder="1"/>
    <xf numFmtId="6" fontId="1" fillId="0" borderId="7" xfId="0" applyNumberFormat="1" applyFont="1" applyBorder="1" applyAlignment="1">
      <alignment horizontal="left" vertical="center" wrapText="1"/>
    </xf>
    <xf numFmtId="42" fontId="1" fillId="0" borderId="7" xfId="0" applyNumberFormat="1" applyFont="1" applyBorder="1" applyAlignment="1">
      <alignment horizontal="left" vertical="center" wrapText="1"/>
    </xf>
    <xf numFmtId="42" fontId="1" fillId="0" borderId="13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5" applyBorder="1" applyAlignment="1"/>
    <xf numFmtId="0" fontId="1" fillId="0" borderId="0" xfId="0" applyFont="1" applyAlignment="1">
      <alignment horizontal="center" vertical="center" wrapText="1"/>
    </xf>
    <xf numFmtId="0" fontId="1" fillId="0" borderId="3" xfId="0" applyFont="1" applyBorder="1"/>
    <xf numFmtId="0" fontId="1" fillId="0" borderId="15" xfId="0" applyFont="1" applyBorder="1"/>
    <xf numFmtId="0" fontId="1" fillId="0" borderId="16" xfId="0" applyFont="1" applyBorder="1"/>
    <xf numFmtId="0" fontId="0" fillId="0" borderId="16" xfId="0" applyBorder="1" applyAlignment="1">
      <alignment horizontal="center" vertical="center"/>
    </xf>
    <xf numFmtId="0" fontId="1" fillId="0" borderId="17" xfId="0" applyFont="1" applyBorder="1"/>
    <xf numFmtId="0" fontId="0" fillId="0" borderId="17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9" fontId="0" fillId="0" borderId="16" xfId="1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8" xfId="0" applyFont="1" applyBorder="1"/>
    <xf numFmtId="0" fontId="0" fillId="0" borderId="18" xfId="0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167" fontId="1" fillId="4" borderId="3" xfId="0" applyNumberFormat="1" applyFont="1" applyFill="1" applyBorder="1" applyAlignment="1">
      <alignment horizontal="center" vertical="center" wrapText="1"/>
    </xf>
    <xf numFmtId="165" fontId="1" fillId="4" borderId="15" xfId="3" applyNumberFormat="1" applyFont="1" applyFill="1" applyBorder="1" applyAlignment="1">
      <alignment horizontal="left"/>
    </xf>
    <xf numFmtId="165" fontId="1" fillId="4" borderId="17" xfId="3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left" wrapText="1"/>
    </xf>
    <xf numFmtId="165" fontId="0" fillId="4" borderId="3" xfId="3" applyNumberFormat="1" applyFont="1" applyFill="1" applyBorder="1"/>
    <xf numFmtId="0" fontId="1" fillId="0" borderId="3" xfId="0" applyFont="1" applyBorder="1" applyAlignment="1">
      <alignment horizontal="center" wrapText="1"/>
    </xf>
    <xf numFmtId="3" fontId="0" fillId="4" borderId="3" xfId="0" applyNumberForma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165" fontId="3" fillId="0" borderId="3" xfId="0" applyNumberFormat="1" applyFont="1" applyBorder="1"/>
    <xf numFmtId="3" fontId="0" fillId="0" borderId="17" xfId="0" applyNumberFormat="1" applyBorder="1" applyAlignment="1">
      <alignment horizontal="center"/>
    </xf>
    <xf numFmtId="37" fontId="0" fillId="0" borderId="17" xfId="2" applyNumberFormat="1" applyFont="1" applyBorder="1" applyAlignment="1">
      <alignment horizontal="center"/>
    </xf>
    <xf numFmtId="165" fontId="0" fillId="0" borderId="17" xfId="0" applyNumberFormat="1" applyBorder="1"/>
    <xf numFmtId="3" fontId="0" fillId="0" borderId="16" xfId="0" applyNumberFormat="1" applyBorder="1" applyAlignment="1">
      <alignment horizontal="center"/>
    </xf>
    <xf numFmtId="37" fontId="0" fillId="0" borderId="16" xfId="2" applyNumberFormat="1" applyFont="1" applyBorder="1" applyAlignment="1">
      <alignment horizontal="center"/>
    </xf>
    <xf numFmtId="165" fontId="0" fillId="0" borderId="16" xfId="0" applyNumberFormat="1" applyBorder="1"/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37" fontId="0" fillId="0" borderId="19" xfId="2" applyNumberFormat="1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165" fontId="0" fillId="0" borderId="19" xfId="0" applyNumberFormat="1" applyBorder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quotePrefix="1" applyFont="1" applyFill="1" applyBorder="1" applyAlignment="1">
      <alignment horizontal="center" vertical="center" wrapText="1"/>
    </xf>
    <xf numFmtId="0" fontId="1" fillId="5" borderId="15" xfId="0" applyFont="1" applyFill="1" applyBorder="1"/>
    <xf numFmtId="0" fontId="0" fillId="5" borderId="1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/>
    </xf>
    <xf numFmtId="9" fontId="0" fillId="4" borderId="15" xfId="10" applyFon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66" fontId="1" fillId="4" borderId="15" xfId="0" applyNumberFormat="1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vertical="center" wrapText="1"/>
    </xf>
    <xf numFmtId="10" fontId="0" fillId="4" borderId="3" xfId="10" applyNumberFormat="1" applyFont="1" applyFill="1" applyBorder="1" applyAlignment="1">
      <alignment horizontal="center"/>
    </xf>
    <xf numFmtId="165" fontId="0" fillId="0" borderId="17" xfId="3" applyNumberFormat="1" applyFont="1" applyBorder="1"/>
    <xf numFmtId="165" fontId="0" fillId="0" borderId="16" xfId="3" applyNumberFormat="1" applyFont="1" applyBorder="1"/>
    <xf numFmtId="165" fontId="0" fillId="0" borderId="19" xfId="3" applyNumberFormat="1" applyFont="1" applyBorder="1"/>
    <xf numFmtId="0" fontId="0" fillId="0" borderId="0" xfId="0" applyAlignment="1"/>
    <xf numFmtId="44" fontId="0" fillId="0" borderId="19" xfId="3" applyFont="1" applyBorder="1"/>
    <xf numFmtId="44" fontId="0" fillId="0" borderId="17" xfId="3" applyFont="1" applyBorder="1"/>
    <xf numFmtId="44" fontId="0" fillId="0" borderId="16" xfId="3" applyFont="1" applyBorder="1"/>
    <xf numFmtId="3" fontId="0" fillId="4" borderId="3" xfId="0" applyNumberFormat="1" applyFill="1" applyBorder="1" applyAlignment="1">
      <alignment horizontal="center" vertical="center"/>
    </xf>
    <xf numFmtId="10" fontId="0" fillId="4" borderId="3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6" fontId="0" fillId="4" borderId="3" xfId="0" applyNumberFormat="1" applyFill="1" applyBorder="1" applyAlignment="1">
      <alignment horizontal="center" vertical="center"/>
    </xf>
    <xf numFmtId="8" fontId="0" fillId="4" borderId="3" xfId="0" applyNumberForma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9" xfId="0" applyFont="1" applyBorder="1"/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4" fontId="0" fillId="4" borderId="3" xfId="3" applyFont="1" applyFill="1" applyBorder="1"/>
    <xf numFmtId="0" fontId="3" fillId="0" borderId="3" xfId="0" applyFont="1" applyBorder="1" applyAlignment="1">
      <alignment horizontal="center" vertical="center" wrapText="1"/>
    </xf>
    <xf numFmtId="10" fontId="1" fillId="4" borderId="3" xfId="0" applyNumberFormat="1" applyFont="1" applyFill="1" applyBorder="1" applyAlignment="1">
      <alignment horizontal="center"/>
    </xf>
    <xf numFmtId="44" fontId="0" fillId="0" borderId="3" xfId="0" applyNumberFormat="1" applyBorder="1"/>
    <xf numFmtId="0" fontId="0" fillId="0" borderId="20" xfId="0" applyBorder="1" applyAlignment="1">
      <alignment horizontal="center"/>
    </xf>
    <xf numFmtId="44" fontId="0" fillId="0" borderId="20" xfId="0" applyNumberFormat="1" applyBorder="1"/>
    <xf numFmtId="44" fontId="0" fillId="0" borderId="17" xfId="0" applyNumberFormat="1" applyBorder="1"/>
    <xf numFmtId="44" fontId="0" fillId="0" borderId="16" xfId="0" applyNumberFormat="1" applyBorder="1"/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3" xfId="0" applyFill="1" applyBorder="1" applyAlignment="1">
      <alignment horizontal="center"/>
    </xf>
    <xf numFmtId="44" fontId="0" fillId="4" borderId="17" xfId="3" applyFont="1" applyFill="1" applyBorder="1"/>
    <xf numFmtId="44" fontId="0" fillId="4" borderId="16" xfId="3" applyFont="1" applyFill="1" applyBorder="1"/>
    <xf numFmtId="0" fontId="0" fillId="4" borderId="3" xfId="0" applyFill="1" applyBorder="1" applyAlignment="1">
      <alignment horizontal="center" vertical="center"/>
    </xf>
    <xf numFmtId="8" fontId="0" fillId="4" borderId="15" xfId="0" applyNumberFormat="1" applyFill="1" applyBorder="1"/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9" fillId="0" borderId="0" xfId="0" applyFont="1"/>
    <xf numFmtId="0" fontId="8" fillId="0" borderId="0" xfId="0" applyFont="1" applyFill="1" applyBorder="1" applyAlignment="1">
      <alignment horizontal="left"/>
    </xf>
    <xf numFmtId="9" fontId="0" fillId="0" borderId="3" xfId="0" applyNumberFormat="1" applyBorder="1" applyAlignment="1">
      <alignment horizontal="center"/>
    </xf>
    <xf numFmtId="9" fontId="0" fillId="0" borderId="17" xfId="10" applyFont="1" applyBorder="1" applyAlignment="1">
      <alignment horizontal="center"/>
    </xf>
    <xf numFmtId="9" fontId="0" fillId="0" borderId="19" xfId="10" applyFont="1" applyBorder="1" applyAlignment="1">
      <alignment horizontal="center"/>
    </xf>
    <xf numFmtId="165" fontId="0" fillId="0" borderId="19" xfId="3" applyNumberFormat="1" applyFont="1" applyBorder="1" applyAlignment="1">
      <alignment horizontal="center"/>
    </xf>
    <xf numFmtId="165" fontId="0" fillId="0" borderId="17" xfId="3" applyNumberFormat="1" applyFont="1" applyBorder="1" applyAlignment="1">
      <alignment horizontal="center"/>
    </xf>
    <xf numFmtId="165" fontId="0" fillId="0" borderId="16" xfId="3" applyNumberFormat="1" applyFont="1" applyBorder="1" applyAlignment="1">
      <alignment horizontal="center"/>
    </xf>
    <xf numFmtId="165" fontId="0" fillId="0" borderId="3" xfId="3" applyNumberFormat="1" applyFont="1" applyBorder="1" applyAlignment="1">
      <alignment horizontal="center"/>
    </xf>
    <xf numFmtId="8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3" fontId="8" fillId="4" borderId="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4" fontId="0" fillId="0" borderId="0" xfId="3" applyFont="1" applyFill="1" applyBorder="1"/>
    <xf numFmtId="0" fontId="3" fillId="0" borderId="0" xfId="0" applyFont="1" applyBorder="1" applyAlignment="1"/>
    <xf numFmtId="0" fontId="3" fillId="0" borderId="3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/>
    </xf>
    <xf numFmtId="44" fontId="0" fillId="4" borderId="15" xfId="3" applyFont="1" applyFill="1" applyBorder="1"/>
    <xf numFmtId="0" fontId="1" fillId="4" borderId="3" xfId="0" applyFont="1" applyFill="1" applyBorder="1" applyAlignment="1">
      <alignment horizontal="center" vertical="center"/>
    </xf>
    <xf numFmtId="44" fontId="0" fillId="0" borderId="17" xfId="3" applyFont="1" applyBorder="1" applyAlignment="1">
      <alignment horizontal="center"/>
    </xf>
    <xf numFmtId="44" fontId="0" fillId="0" borderId="16" xfId="3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9" fontId="0" fillId="0" borderId="3" xfId="10" applyFont="1" applyBorder="1"/>
    <xf numFmtId="0" fontId="0" fillId="0" borderId="15" xfId="0" applyBorder="1" applyAlignment="1">
      <alignment horizontal="center"/>
    </xf>
    <xf numFmtId="0" fontId="1" fillId="0" borderId="0" xfId="0" quotePrefix="1" applyFont="1"/>
    <xf numFmtId="0" fontId="1" fillId="0" borderId="0" xfId="0" applyFont="1" applyFill="1" applyBorder="1"/>
    <xf numFmtId="0" fontId="0" fillId="6" borderId="16" xfId="0" applyFill="1" applyBorder="1" applyAlignment="1">
      <alignment horizontal="center" vertical="center"/>
    </xf>
    <xf numFmtId="0" fontId="1" fillId="0" borderId="14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14" xfId="0" applyBorder="1" applyAlignment="1"/>
    <xf numFmtId="9" fontId="0" fillId="0" borderId="0" xfId="10" applyFont="1"/>
    <xf numFmtId="0" fontId="11" fillId="7" borderId="0" xfId="0" applyFont="1" applyFill="1"/>
    <xf numFmtId="9" fontId="3" fillId="4" borderId="3" xfId="10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1" fillId="7" borderId="28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8" fontId="0" fillId="0" borderId="0" xfId="0" applyNumberFormat="1" applyFill="1" applyBorder="1"/>
    <xf numFmtId="8" fontId="9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/>
    </xf>
    <xf numFmtId="9" fontId="8" fillId="0" borderId="0" xfId="1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68" fontId="0" fillId="0" borderId="20" xfId="2" applyNumberFormat="1" applyFont="1" applyBorder="1" applyAlignment="1">
      <alignment horizontal="center"/>
    </xf>
    <xf numFmtId="168" fontId="0" fillId="0" borderId="17" xfId="2" applyNumberFormat="1" applyFont="1" applyBorder="1" applyAlignment="1">
      <alignment horizontal="center"/>
    </xf>
    <xf numFmtId="168" fontId="0" fillId="0" borderId="16" xfId="2" applyNumberFormat="1" applyFont="1" applyBorder="1" applyAlignment="1">
      <alignment horizontal="center"/>
    </xf>
    <xf numFmtId="165" fontId="0" fillId="0" borderId="20" xfId="3" applyNumberFormat="1" applyFont="1" applyBorder="1" applyAlignment="1">
      <alignment horizontal="center"/>
    </xf>
    <xf numFmtId="1" fontId="0" fillId="0" borderId="0" xfId="0" applyNumberFormat="1"/>
    <xf numFmtId="2" fontId="10" fillId="0" borderId="5" xfId="9" applyNumberFormat="1" applyFont="1" applyBorder="1" applyAlignment="1">
      <alignment horizontal="center" vertical="center"/>
    </xf>
    <xf numFmtId="0" fontId="6" fillId="0" borderId="7" xfId="9" applyFont="1" applyBorder="1" applyAlignment="1">
      <alignment horizontal="center" vertical="center"/>
    </xf>
    <xf numFmtId="3" fontId="10" fillId="0" borderId="5" xfId="9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wrapText="1"/>
    </xf>
    <xf numFmtId="9" fontId="1" fillId="4" borderId="10" xfId="10" applyFont="1" applyFill="1" applyBorder="1" applyAlignment="1">
      <alignment horizontal="center" wrapText="1"/>
    </xf>
    <xf numFmtId="165" fontId="3" fillId="0" borderId="3" xfId="0" applyNumberFormat="1" applyFont="1" applyBorder="1" applyAlignment="1"/>
    <xf numFmtId="165" fontId="10" fillId="0" borderId="5" xfId="3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165" fontId="3" fillId="0" borderId="2" xfId="0" applyNumberFormat="1" applyFont="1" applyBorder="1" applyAlignment="1"/>
    <xf numFmtId="0" fontId="0" fillId="0" borderId="19" xfId="0" applyNumberFormat="1" applyBorder="1"/>
    <xf numFmtId="0" fontId="0" fillId="0" borderId="17" xfId="0" applyNumberFormat="1" applyBorder="1"/>
    <xf numFmtId="0" fontId="0" fillId="0" borderId="16" xfId="0" applyNumberFormat="1" applyBorder="1"/>
    <xf numFmtId="168" fontId="0" fillId="0" borderId="19" xfId="2" applyNumberFormat="1" applyFont="1" applyBorder="1"/>
    <xf numFmtId="168" fontId="0" fillId="0" borderId="17" xfId="2" applyNumberFormat="1" applyFont="1" applyBorder="1"/>
    <xf numFmtId="168" fontId="0" fillId="0" borderId="16" xfId="2" applyNumberFormat="1" applyFont="1" applyBorder="1"/>
    <xf numFmtId="0" fontId="0" fillId="0" borderId="37" xfId="0" applyBorder="1" applyAlignment="1">
      <alignment horizontal="center"/>
    </xf>
    <xf numFmtId="165" fontId="0" fillId="0" borderId="38" xfId="3" applyNumberFormat="1" applyFont="1" applyBorder="1"/>
    <xf numFmtId="0" fontId="0" fillId="0" borderId="39" xfId="0" applyBorder="1" applyAlignment="1">
      <alignment horizontal="center"/>
    </xf>
    <xf numFmtId="165" fontId="0" fillId="0" borderId="40" xfId="3" applyNumberFormat="1" applyFont="1" applyBorder="1"/>
    <xf numFmtId="165" fontId="0" fillId="0" borderId="41" xfId="3" applyNumberFormat="1" applyFont="1" applyBorder="1"/>
    <xf numFmtId="0" fontId="1" fillId="0" borderId="28" xfId="0" applyFont="1" applyBorder="1" applyAlignment="1">
      <alignment horizontal="center" vertical="center"/>
    </xf>
    <xf numFmtId="165" fontId="0" fillId="0" borderId="29" xfId="3" applyNumberFormat="1" applyFont="1" applyBorder="1"/>
    <xf numFmtId="165" fontId="0" fillId="0" borderId="30" xfId="3" applyNumberFormat="1" applyFont="1" applyBorder="1"/>
    <xf numFmtId="0" fontId="0" fillId="0" borderId="42" xfId="0" applyBorder="1"/>
    <xf numFmtId="0" fontId="1" fillId="0" borderId="14" xfId="0" applyFont="1" applyBorder="1" applyAlignment="1">
      <alignment wrapText="1"/>
    </xf>
    <xf numFmtId="165" fontId="0" fillId="0" borderId="29" xfId="3" applyNumberFormat="1" applyFont="1" applyFill="1" applyBorder="1"/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3" fontId="1" fillId="0" borderId="3" xfId="0" applyNumberFormat="1" applyFont="1" applyBorder="1" applyAlignment="1"/>
    <xf numFmtId="0" fontId="1" fillId="0" borderId="7" xfId="0" applyFont="1" applyBorder="1" applyAlignment="1">
      <alignment horizontal="center" vertical="center" wrapText="1"/>
    </xf>
    <xf numFmtId="165" fontId="3" fillId="8" borderId="3" xfId="0" applyNumberFormat="1" applyFont="1" applyFill="1" applyBorder="1"/>
    <xf numFmtId="165" fontId="1" fillId="4" borderId="17" xfId="3" applyNumberFormat="1" applyFont="1" applyFill="1" applyBorder="1" applyAlignment="1">
      <alignment horizontal="left" vertical="center"/>
    </xf>
    <xf numFmtId="165" fontId="1" fillId="4" borderId="16" xfId="3" applyNumberFormat="1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165" fontId="1" fillId="0" borderId="29" xfId="0" applyNumberFormat="1" applyFont="1" applyBorder="1" applyAlignment="1"/>
    <xf numFmtId="165" fontId="1" fillId="0" borderId="30" xfId="3" applyNumberFormat="1" applyFont="1" applyBorder="1" applyAlignment="1">
      <alignment horizontal="center"/>
    </xf>
    <xf numFmtId="9" fontId="3" fillId="4" borderId="3" xfId="10" applyFont="1" applyFill="1" applyBorder="1" applyAlignment="1">
      <alignment horizontal="center" vertical="center"/>
    </xf>
    <xf numFmtId="44" fontId="0" fillId="4" borderId="19" xfId="3" applyFont="1" applyFill="1" applyBorder="1"/>
    <xf numFmtId="44" fontId="1" fillId="0" borderId="14" xfId="3" applyFont="1" applyFill="1" applyBorder="1"/>
    <xf numFmtId="44" fontId="0" fillId="0" borderId="14" xfId="3" applyFont="1" applyFill="1" applyBorder="1"/>
    <xf numFmtId="0" fontId="1" fillId="0" borderId="14" xfId="0" applyFont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/>
    </xf>
    <xf numFmtId="0" fontId="1" fillId="0" borderId="14" xfId="3" applyNumberFormat="1" applyFont="1" applyFill="1" applyBorder="1" applyAlignment="1">
      <alignment horizontal="right"/>
    </xf>
    <xf numFmtId="0" fontId="0" fillId="0" borderId="14" xfId="0" applyBorder="1"/>
    <xf numFmtId="44" fontId="3" fillId="0" borderId="26" xfId="3" applyFont="1" applyFill="1" applyBorder="1"/>
    <xf numFmtId="44" fontId="3" fillId="0" borderId="27" xfId="3" applyFont="1" applyFill="1" applyBorder="1"/>
    <xf numFmtId="0" fontId="1" fillId="5" borderId="26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44" fontId="1" fillId="0" borderId="2" xfId="3" applyFont="1" applyFill="1" applyBorder="1"/>
    <xf numFmtId="44" fontId="3" fillId="0" borderId="2" xfId="3" applyFont="1" applyFill="1" applyBorder="1"/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/>
    </xf>
    <xf numFmtId="0" fontId="1" fillId="0" borderId="2" xfId="3" applyNumberFormat="1" applyFont="1" applyFill="1" applyBorder="1" applyAlignment="1">
      <alignment horizontal="right"/>
    </xf>
    <xf numFmtId="0" fontId="0" fillId="0" borderId="2" xfId="0" applyBorder="1"/>
    <xf numFmtId="0" fontId="1" fillId="4" borderId="26" xfId="0" applyFont="1" applyFill="1" applyBorder="1" applyAlignment="1">
      <alignment vertical="center"/>
    </xf>
    <xf numFmtId="0" fontId="0" fillId="4" borderId="26" xfId="3" applyNumberFormat="1" applyFont="1" applyFill="1" applyBorder="1"/>
    <xf numFmtId="0" fontId="0" fillId="4" borderId="27" xfId="3" applyNumberFormat="1" applyFont="1" applyFill="1" applyBorder="1"/>
    <xf numFmtId="0" fontId="0" fillId="4" borderId="42" xfId="0" applyFill="1" applyBorder="1"/>
    <xf numFmtId="0" fontId="0" fillId="4" borderId="49" xfId="0" applyFill="1" applyBorder="1"/>
    <xf numFmtId="0" fontId="1" fillId="0" borderId="10" xfId="0" applyFont="1" applyBorder="1" applyAlignment="1">
      <alignment horizontal="center" vertical="center"/>
    </xf>
    <xf numFmtId="0" fontId="0" fillId="0" borderId="0" xfId="0" applyFill="1"/>
    <xf numFmtId="44" fontId="3" fillId="0" borderId="0" xfId="0" applyNumberFormat="1" applyFont="1" applyFill="1" applyBorder="1"/>
    <xf numFmtId="44" fontId="3" fillId="9" borderId="3" xfId="3" applyFont="1" applyFill="1" applyBorder="1"/>
    <xf numFmtId="0" fontId="6" fillId="0" borderId="7" xfId="9" applyFont="1" applyBorder="1" applyAlignment="1">
      <alignment horizontal="center" vertical="center"/>
    </xf>
    <xf numFmtId="0" fontId="10" fillId="0" borderId="12" xfId="9" applyFont="1" applyBorder="1" applyAlignment="1">
      <alignment horizontal="center" vertical="center" wrapText="1"/>
    </xf>
    <xf numFmtId="0" fontId="10" fillId="0" borderId="21" xfId="9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3" fillId="0" borderId="3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11" fillId="7" borderId="23" xfId="0" applyFont="1" applyFill="1" applyBorder="1" applyAlignment="1">
      <alignment horizontal="center"/>
    </xf>
    <xf numFmtId="0" fontId="11" fillId="7" borderId="24" xfId="0" applyFont="1" applyFill="1" applyBorder="1" applyAlignment="1">
      <alignment horizontal="center"/>
    </xf>
    <xf numFmtId="0" fontId="11" fillId="7" borderId="25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11" fillId="7" borderId="31" xfId="0" applyFont="1" applyFill="1" applyBorder="1" applyAlignment="1">
      <alignment horizontal="center"/>
    </xf>
    <xf numFmtId="0" fontId="11" fillId="7" borderId="32" xfId="0" applyFont="1" applyFill="1" applyBorder="1" applyAlignment="1">
      <alignment horizontal="center"/>
    </xf>
    <xf numFmtId="0" fontId="11" fillId="7" borderId="33" xfId="0" applyFont="1" applyFill="1" applyBorder="1" applyAlignment="1">
      <alignment horizontal="center"/>
    </xf>
    <xf numFmtId="44" fontId="3" fillId="0" borderId="31" xfId="3" applyFont="1" applyFill="1" applyBorder="1" applyAlignment="1">
      <alignment horizontal="center" wrapText="1"/>
    </xf>
    <xf numFmtId="44" fontId="3" fillId="0" borderId="33" xfId="3" applyFont="1" applyFill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4" fontId="3" fillId="0" borderId="31" xfId="3" applyFont="1" applyFill="1" applyBorder="1" applyAlignment="1">
      <alignment horizontal="center"/>
    </xf>
    <xf numFmtId="44" fontId="3" fillId="0" borderId="33" xfId="3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3">
    <cellStyle name="active" xfId="1"/>
    <cellStyle name="Comma" xfId="2" builtinId="3"/>
    <cellStyle name="Currency" xfId="3" builtinId="4"/>
    <cellStyle name="Grey" xfId="4"/>
    <cellStyle name="Header1" xfId="5"/>
    <cellStyle name="Header2" xfId="6"/>
    <cellStyle name="Input [yellow]" xfId="7"/>
    <cellStyle name="Normal" xfId="0" builtinId="0"/>
    <cellStyle name="Normal - Style1" xfId="8"/>
    <cellStyle name="Normal 2" xfId="9"/>
    <cellStyle name="Percent" xfId="10" builtinId="5"/>
    <cellStyle name="Percent [2]" xfId="11"/>
    <cellStyle name="PSChar" xfId="1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WFP01\Data\Project\FTW_TPTO\061018034\xls\Service%20Area%20D\2007_8_11_FTW_RIF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NEW ROAD"/>
      <sheetName val="CCI"/>
      <sheetName val="PayItems"/>
      <sheetName val="Basswood (4)"/>
      <sheetName val="Basswood (5)"/>
      <sheetName val="Basswood (6)"/>
      <sheetName val="Basswood (7)"/>
      <sheetName val="Summerfields"/>
      <sheetName val="NTP (2)"/>
      <sheetName val="NTP (3)"/>
      <sheetName val="NTP (4)"/>
      <sheetName val="Shiver"/>
      <sheetName val="Heritage Trace (5)"/>
      <sheetName val="Heritage Trace (6)"/>
      <sheetName val="Heritage Trace (7)"/>
      <sheetName val="Golden Triangle (2)"/>
      <sheetName val="Golden Triangle (3)"/>
      <sheetName val="Golden Triangle (4)"/>
      <sheetName val="Keller Hicks (2)"/>
      <sheetName val="Keller Hicks (3)"/>
      <sheetName val="Keller Hicks (4)"/>
      <sheetName val="Timberland (1)"/>
      <sheetName val="Timberland (2)"/>
      <sheetName val="Timberland (3)"/>
      <sheetName val="N. Riverside (1)"/>
      <sheetName val="N. Riverside (2)"/>
      <sheetName val="N. Riverside (3)"/>
      <sheetName val="N. Riverside (4)"/>
      <sheetName val="N. Riverside (5)"/>
      <sheetName val="N. Riverside (6)"/>
      <sheetName val="N. Riverside (7)"/>
      <sheetName val="N. Beach (3)"/>
      <sheetName val="N. Beach (4)"/>
      <sheetName val="N. Beach (5)"/>
      <sheetName val="N. Beach (6)"/>
      <sheetName val="N. Beach (7)"/>
      <sheetName val="N. Beach (8)"/>
      <sheetName val="N. Beach (9)"/>
      <sheetName val="N. Beach (10)"/>
      <sheetName val="Park Vista (2)"/>
      <sheetName val="Park Vista (3)"/>
      <sheetName val="Park Vista (4)"/>
      <sheetName val="Park Vista (5)"/>
      <sheetName val="Summary"/>
      <sheetName val="CIP"/>
      <sheetName val="CIP-cost"/>
      <sheetName val="SupD"/>
      <sheetName val="E-D"/>
      <sheetName val="MaxFee"/>
      <sheetName val="PieCharts"/>
      <sheetName val="LUVMET"/>
      <sheetName val="LUVMET (2)"/>
      <sheetName val="10-Yr"/>
    </sheetNames>
    <sheetDataSet>
      <sheetData sheetId="0"/>
      <sheetData sheetId="1">
        <row r="2">
          <cell r="A2" t="str">
            <v>Median</v>
          </cell>
        </row>
        <row r="3">
          <cell r="A3" t="str">
            <v>NEW</v>
          </cell>
        </row>
        <row r="4">
          <cell r="A4" t="str">
            <v>EXISTING</v>
          </cell>
        </row>
      </sheetData>
      <sheetData sheetId="2">
        <row r="6">
          <cell r="B6">
            <v>155.07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2:L17"/>
  <sheetViews>
    <sheetView tabSelected="1" workbookViewId="0">
      <selection activeCell="B7" sqref="B7:I8"/>
    </sheetView>
  </sheetViews>
  <sheetFormatPr defaultRowHeight="12.75" x14ac:dyDescent="0.2"/>
  <cols>
    <col min="2" max="2" width="10.28515625" customWidth="1"/>
    <col min="3" max="3" width="6.28515625" customWidth="1"/>
    <col min="4" max="4" width="13.28515625" customWidth="1"/>
    <col min="5" max="5" width="18.85546875" customWidth="1"/>
    <col min="6" max="6" width="21" customWidth="1"/>
    <col min="7" max="7" width="22.42578125" customWidth="1"/>
    <col min="8" max="8" width="25" bestFit="1" customWidth="1"/>
    <col min="9" max="9" width="20.140625" bestFit="1" customWidth="1"/>
  </cols>
  <sheetData>
    <row r="2" spans="2:12" ht="15.75" customHeight="1" x14ac:dyDescent="0.2">
      <c r="B2" s="4"/>
      <c r="C2" s="4"/>
      <c r="D2" s="5"/>
      <c r="E2" s="5"/>
      <c r="F2" s="5"/>
      <c r="G2" s="5"/>
      <c r="H2" s="5"/>
      <c r="I2" s="4"/>
    </row>
    <row r="3" spans="2:12" hidden="1" x14ac:dyDescent="0.2"/>
    <row r="4" spans="2:12" ht="75.75" hidden="1" thickBot="1" x14ac:dyDescent="0.25">
      <c r="B4" s="148" t="s">
        <v>13</v>
      </c>
      <c r="C4" s="148" t="s">
        <v>14</v>
      </c>
      <c r="D4" s="148" t="s">
        <v>15</v>
      </c>
      <c r="E4" s="148" t="s">
        <v>16</v>
      </c>
      <c r="F4" s="148"/>
      <c r="G4" s="148" t="s">
        <v>17</v>
      </c>
      <c r="H4" s="148" t="s">
        <v>18</v>
      </c>
      <c r="I4" s="148" t="s">
        <v>12</v>
      </c>
    </row>
    <row r="5" spans="2:12" ht="409.6" hidden="1" thickTop="1" thickBot="1" x14ac:dyDescent="0.25">
      <c r="B5" s="11" t="s">
        <v>182</v>
      </c>
      <c r="C5" s="8" t="s">
        <v>183</v>
      </c>
      <c r="D5" s="9" t="s">
        <v>184</v>
      </c>
      <c r="E5" s="9" t="s">
        <v>185</v>
      </c>
      <c r="F5" s="10"/>
      <c r="G5" s="10" t="s">
        <v>186</v>
      </c>
      <c r="H5" s="192">
        <f>+I8</f>
        <v>3.8570016603331796</v>
      </c>
      <c r="I5" s="149" t="s">
        <v>174</v>
      </c>
    </row>
    <row r="7" spans="2:12" ht="32.25" customHeight="1" thickBot="1" x14ac:dyDescent="0.25">
      <c r="B7" s="265" t="s">
        <v>175</v>
      </c>
      <c r="C7" s="265"/>
      <c r="D7" s="190" t="s">
        <v>205</v>
      </c>
      <c r="E7" s="190" t="s">
        <v>3</v>
      </c>
      <c r="F7" s="190" t="s">
        <v>208</v>
      </c>
      <c r="G7" s="190" t="s">
        <v>8</v>
      </c>
      <c r="H7" s="190" t="s">
        <v>176</v>
      </c>
      <c r="I7" s="190" t="s">
        <v>18</v>
      </c>
    </row>
    <row r="8" spans="2:12" ht="62.25" customHeight="1" thickTop="1" x14ac:dyDescent="0.2">
      <c r="B8" s="266" t="s">
        <v>206</v>
      </c>
      <c r="C8" s="267"/>
      <c r="D8" s="191" t="s">
        <v>207</v>
      </c>
      <c r="E8" s="196">
        <f>+Costs!C2</f>
        <v>18370700</v>
      </c>
      <c r="F8" s="196">
        <f>-'Summary Table'!C61</f>
        <v>12776113</v>
      </c>
      <c r="G8" s="196">
        <f>+'Summary Table'!K30</f>
        <v>126108223.96680506</v>
      </c>
      <c r="H8" s="196">
        <f>+'Summary Table'!K61</f>
        <v>49277489.05360432</v>
      </c>
      <c r="I8" s="189">
        <f>H8/F8</f>
        <v>3.8570016603331796</v>
      </c>
    </row>
    <row r="11" spans="2:12" x14ac:dyDescent="0.2">
      <c r="I11" s="1"/>
      <c r="J11" s="1"/>
      <c r="K11" s="1"/>
      <c r="L11" s="1"/>
    </row>
    <row r="12" spans="2:12" x14ac:dyDescent="0.2">
      <c r="I12" s="1"/>
      <c r="J12" s="1"/>
      <c r="K12" s="1"/>
      <c r="L12" s="1"/>
    </row>
    <row r="13" spans="2:12" x14ac:dyDescent="0.2">
      <c r="I13" s="1"/>
      <c r="J13" s="1"/>
      <c r="K13" s="1"/>
      <c r="L13" s="1"/>
    </row>
    <row r="14" spans="2:12" ht="15.75" x14ac:dyDescent="0.25">
      <c r="I14" s="1"/>
      <c r="J14" s="13"/>
      <c r="K14" s="13"/>
      <c r="L14" s="1"/>
    </row>
    <row r="15" spans="2:12" ht="15.75" x14ac:dyDescent="0.25">
      <c r="I15" s="1"/>
      <c r="J15" s="13"/>
      <c r="K15" s="13"/>
      <c r="L15" s="1"/>
    </row>
    <row r="16" spans="2:12" x14ac:dyDescent="0.2">
      <c r="I16" s="1"/>
      <c r="J16" s="1"/>
      <c r="K16" s="1"/>
      <c r="L16" s="1"/>
    </row>
    <row r="17" spans="9:12" x14ac:dyDescent="0.2">
      <c r="I17" s="1"/>
      <c r="J17" s="1"/>
      <c r="K17" s="1"/>
      <c r="L17" s="1"/>
    </row>
  </sheetData>
  <mergeCells count="2">
    <mergeCell ref="B7:C7"/>
    <mergeCell ref="B8:C8"/>
  </mergeCells>
  <pageMargins left="0.7" right="0.7" top="0.75" bottom="0.75" header="0.3" footer="0.3"/>
  <pageSetup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K61"/>
  <sheetViews>
    <sheetView topLeftCell="A31" zoomScaleNormal="100" workbookViewId="0">
      <selection activeCell="B33" sqref="B33:I61"/>
    </sheetView>
  </sheetViews>
  <sheetFormatPr defaultRowHeight="12.75" x14ac:dyDescent="0.2"/>
  <cols>
    <col min="2" max="2" width="12.7109375" customWidth="1"/>
    <col min="3" max="3" width="13.85546875" customWidth="1"/>
    <col min="4" max="4" width="13.7109375" customWidth="1"/>
    <col min="5" max="5" width="14.28515625" bestFit="1" customWidth="1"/>
    <col min="6" max="6" width="15.42578125" customWidth="1"/>
    <col min="7" max="7" width="11.28515625" customWidth="1"/>
    <col min="8" max="8" width="13.85546875" customWidth="1"/>
    <col min="9" max="9" width="15.28515625" hidden="1" customWidth="1"/>
    <col min="10" max="10" width="13.42578125" bestFit="1" customWidth="1"/>
    <col min="11" max="11" width="18.140625" bestFit="1" customWidth="1"/>
  </cols>
  <sheetData>
    <row r="1" spans="2:11" ht="13.5" thickBot="1" x14ac:dyDescent="0.25"/>
    <row r="2" spans="2:11" x14ac:dyDescent="0.2">
      <c r="B2" s="268" t="s">
        <v>73</v>
      </c>
      <c r="C2" s="269"/>
      <c r="D2" s="269"/>
      <c r="E2" s="269"/>
      <c r="F2" s="269"/>
      <c r="G2" s="269"/>
      <c r="H2" s="269"/>
      <c r="I2" s="270"/>
    </row>
    <row r="3" spans="2:11" ht="25.5" x14ac:dyDescent="0.2">
      <c r="B3" s="271" t="s">
        <v>1</v>
      </c>
      <c r="C3" s="218" t="s">
        <v>2</v>
      </c>
      <c r="D3" s="218" t="s">
        <v>6</v>
      </c>
      <c r="E3" s="216" t="s">
        <v>4</v>
      </c>
      <c r="F3" s="277" t="s">
        <v>5</v>
      </c>
      <c r="G3" s="278"/>
      <c r="H3" s="198" t="s">
        <v>74</v>
      </c>
      <c r="I3" s="275" t="s">
        <v>212</v>
      </c>
      <c r="K3" s="12"/>
    </row>
    <row r="4" spans="2:11" ht="39" thickBot="1" x14ac:dyDescent="0.25">
      <c r="B4" s="272"/>
      <c r="C4" s="219" t="s">
        <v>3</v>
      </c>
      <c r="D4" s="70" t="s">
        <v>7</v>
      </c>
      <c r="E4" s="70" t="s">
        <v>75</v>
      </c>
      <c r="F4" s="70" t="s">
        <v>76</v>
      </c>
      <c r="G4" s="70" t="s">
        <v>209</v>
      </c>
      <c r="H4" s="70" t="s">
        <v>77</v>
      </c>
      <c r="I4" s="276"/>
      <c r="J4" s="12"/>
      <c r="K4" s="12"/>
    </row>
    <row r="5" spans="2:11" ht="13.5" thickTop="1" x14ac:dyDescent="0.2">
      <c r="B5" s="207">
        <v>2020</v>
      </c>
      <c r="C5" s="86">
        <f>-Costs!G6</f>
        <v>-918535</v>
      </c>
      <c r="D5" s="86">
        <v>0</v>
      </c>
      <c r="E5" s="86">
        <v>0</v>
      </c>
      <c r="F5" s="86">
        <v>0</v>
      </c>
      <c r="G5" s="86">
        <v>0</v>
      </c>
      <c r="H5" s="86">
        <v>0</v>
      </c>
      <c r="I5" s="208">
        <f t="shared" ref="I5:I29" si="0">+SUM(C5:H5)</f>
        <v>-918535</v>
      </c>
    </row>
    <row r="6" spans="2:11" x14ac:dyDescent="0.2">
      <c r="B6" s="209">
        <f>B5+1</f>
        <v>2021</v>
      </c>
      <c r="C6" s="84">
        <f>-Costs!G7</f>
        <v>-1837070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208">
        <f t="shared" si="0"/>
        <v>-1837070</v>
      </c>
    </row>
    <row r="7" spans="2:11" x14ac:dyDescent="0.2">
      <c r="B7" s="209">
        <f t="shared" ref="B7:B29" si="1">B6+1</f>
        <v>2022</v>
      </c>
      <c r="C7" s="84">
        <f>-Costs!G8</f>
        <v>-6429745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208">
        <f t="shared" si="0"/>
        <v>-6429745</v>
      </c>
    </row>
    <row r="8" spans="2:11" x14ac:dyDescent="0.2">
      <c r="B8" s="209">
        <f t="shared" si="1"/>
        <v>2023</v>
      </c>
      <c r="C8" s="84">
        <f>-Costs!G9</f>
        <v>-7348280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208">
        <f t="shared" si="0"/>
        <v>-7348280</v>
      </c>
    </row>
    <row r="9" spans="2:11" x14ac:dyDescent="0.2">
      <c r="B9" s="209">
        <f t="shared" si="1"/>
        <v>2024</v>
      </c>
      <c r="C9" s="84">
        <f>-Costs!G10</f>
        <v>-1837070</v>
      </c>
      <c r="D9" s="86">
        <f>Safety!AA67</f>
        <v>11163886</v>
      </c>
      <c r="E9" s="86">
        <f>'State of Good Repair'!H19</f>
        <v>488588</v>
      </c>
      <c r="F9" s="86">
        <f>'EC - Travel Time'!X41</f>
        <v>229028</v>
      </c>
      <c r="G9" s="86">
        <f>'QOL - Fuel Savings'!G11</f>
        <v>25935</v>
      </c>
      <c r="H9" s="86">
        <f>'Environmental Protection'!N35</f>
        <v>7475.2320939029596</v>
      </c>
      <c r="I9" s="208">
        <f t="shared" si="0"/>
        <v>10077842.232093902</v>
      </c>
    </row>
    <row r="10" spans="2:11" x14ac:dyDescent="0.2">
      <c r="B10" s="209">
        <f t="shared" si="1"/>
        <v>2025</v>
      </c>
      <c r="C10" s="84">
        <f>-Costs!G11</f>
        <v>0</v>
      </c>
      <c r="D10" s="84">
        <f>Safety!AA68</f>
        <v>11288886</v>
      </c>
      <c r="E10" s="84">
        <f>'State of Good Repair'!H20</f>
        <v>498998</v>
      </c>
      <c r="F10" s="84">
        <f>'EC - Travel Time'!X42</f>
        <v>263006</v>
      </c>
      <c r="G10" s="84">
        <f>'QOL - Fuel Savings'!G12</f>
        <v>29783</v>
      </c>
      <c r="H10" s="84">
        <f>'Environmental Protection'!N36</f>
        <v>8584.2386214336002</v>
      </c>
      <c r="I10" s="210">
        <f t="shared" si="0"/>
        <v>12089257.238621434</v>
      </c>
    </row>
    <row r="11" spans="2:11" x14ac:dyDescent="0.2">
      <c r="B11" s="209">
        <f t="shared" si="1"/>
        <v>2026</v>
      </c>
      <c r="C11" s="84">
        <f>-Costs!G12</f>
        <v>0</v>
      </c>
      <c r="D11" s="84">
        <f>Safety!AA69</f>
        <v>11287759</v>
      </c>
      <c r="E11" s="84">
        <f>'State of Good Repair'!H21</f>
        <v>509619</v>
      </c>
      <c r="F11" s="84">
        <f>'EC - Travel Time'!X43</f>
        <v>302032</v>
      </c>
      <c r="G11" s="84">
        <f>'QOL - Fuel Savings'!G13</f>
        <v>34203</v>
      </c>
      <c r="H11" s="84">
        <f>'Environmental Protection'!N37</f>
        <v>9858.0118330545065</v>
      </c>
      <c r="I11" s="210">
        <f t="shared" si="0"/>
        <v>12143471.011833055</v>
      </c>
    </row>
    <row r="12" spans="2:11" x14ac:dyDescent="0.2">
      <c r="B12" s="209">
        <f t="shared" si="1"/>
        <v>2027</v>
      </c>
      <c r="C12" s="84">
        <f>-Costs!G13</f>
        <v>0</v>
      </c>
      <c r="D12" s="84">
        <f>Safety!AA70</f>
        <v>11241713</v>
      </c>
      <c r="E12" s="84">
        <f>'State of Good Repair'!H22</f>
        <v>520477</v>
      </c>
      <c r="F12" s="84">
        <f>'EC - Travel Time'!X44</f>
        <v>346883</v>
      </c>
      <c r="G12" s="84">
        <f>'QOL - Fuel Savings'!G14</f>
        <v>39282</v>
      </c>
      <c r="H12" s="84">
        <f>'Environmental Protection'!N38</f>
        <v>11321.900449394952</v>
      </c>
      <c r="I12" s="210">
        <f t="shared" si="0"/>
        <v>12159676.900449395</v>
      </c>
    </row>
    <row r="13" spans="2:11" x14ac:dyDescent="0.2">
      <c r="B13" s="209">
        <f t="shared" si="1"/>
        <v>2028</v>
      </c>
      <c r="C13" s="84">
        <f>-Costs!G14</f>
        <v>0</v>
      </c>
      <c r="D13" s="84">
        <f>Safety!AA71</f>
        <v>11366713</v>
      </c>
      <c r="E13" s="84">
        <f>'State of Good Repair'!H23</f>
        <v>531564</v>
      </c>
      <c r="F13" s="84">
        <f>'EC - Travel Time'!X45</f>
        <v>398319</v>
      </c>
      <c r="G13" s="84">
        <f>'QOL - Fuel Savings'!G15</f>
        <v>45106</v>
      </c>
      <c r="H13" s="84">
        <f>'Environmental Protection'!N39</f>
        <v>13000.725092737766</v>
      </c>
      <c r="I13" s="210">
        <f t="shared" si="0"/>
        <v>12354702.725092737</v>
      </c>
    </row>
    <row r="14" spans="2:11" x14ac:dyDescent="0.2">
      <c r="B14" s="209">
        <f t="shared" si="1"/>
        <v>2029</v>
      </c>
      <c r="C14" s="84">
        <f>-Costs!G15</f>
        <v>0</v>
      </c>
      <c r="D14" s="84">
        <f>Safety!AA72</f>
        <v>1303286</v>
      </c>
      <c r="E14" s="84">
        <f>'State of Good Repair'!H24</f>
        <v>542879</v>
      </c>
      <c r="F14" s="84">
        <f>'EC - Travel Time'!X46</f>
        <v>457425</v>
      </c>
      <c r="G14" s="84">
        <f>'QOL - Fuel Savings'!G16</f>
        <v>51800</v>
      </c>
      <c r="H14" s="84">
        <f>'Environmental Protection'!N40</f>
        <v>14929.868352294638</v>
      </c>
      <c r="I14" s="210">
        <f t="shared" si="0"/>
        <v>2370319.8683522944</v>
      </c>
    </row>
    <row r="15" spans="2:11" x14ac:dyDescent="0.2">
      <c r="B15" s="209">
        <f t="shared" si="1"/>
        <v>2030</v>
      </c>
      <c r="C15" s="84">
        <f>-Costs!G16</f>
        <v>0</v>
      </c>
      <c r="D15" s="84">
        <f>Safety!AA73</f>
        <v>1304413</v>
      </c>
      <c r="E15" s="84">
        <f>'State of Good Repair'!H25</f>
        <v>554442</v>
      </c>
      <c r="F15" s="84">
        <f>'EC - Travel Time'!X47</f>
        <v>525316</v>
      </c>
      <c r="G15" s="84">
        <f>'QOL - Fuel Savings'!G17</f>
        <v>59488</v>
      </c>
      <c r="H15" s="84">
        <f>'Environmental Protection'!N41</f>
        <v>17145.769013970141</v>
      </c>
      <c r="I15" s="210">
        <f t="shared" si="0"/>
        <v>2460804.7690139702</v>
      </c>
    </row>
    <row r="16" spans="2:11" x14ac:dyDescent="0.2">
      <c r="B16" s="209">
        <f t="shared" si="1"/>
        <v>2031</v>
      </c>
      <c r="C16" s="84">
        <f>-Costs!G17</f>
        <v>0</v>
      </c>
      <c r="D16" s="84">
        <f>Safety!AA74</f>
        <v>1311940</v>
      </c>
      <c r="E16" s="84">
        <f>'State of Good Repair'!H26</f>
        <v>566250</v>
      </c>
      <c r="F16" s="84">
        <f>'EC - Travel Time'!X48</f>
        <v>603287</v>
      </c>
      <c r="G16" s="84">
        <f>'QOL - Fuel Savings'!G18</f>
        <v>68317</v>
      </c>
      <c r="H16" s="84">
        <f>'Environmental Protection'!N42</f>
        <v>19690.674945479743</v>
      </c>
      <c r="I16" s="210">
        <f t="shared" si="0"/>
        <v>2569484.6749454797</v>
      </c>
    </row>
    <row r="17" spans="2:11" x14ac:dyDescent="0.2">
      <c r="B17" s="209">
        <f t="shared" si="1"/>
        <v>2032</v>
      </c>
      <c r="C17" s="84">
        <f>-Costs!G18</f>
        <v>0</v>
      </c>
      <c r="D17" s="84">
        <f>Safety!AA75</f>
        <v>1379040</v>
      </c>
      <c r="E17" s="84">
        <f>'State of Good Repair'!H27</f>
        <v>578315</v>
      </c>
      <c r="F17" s="84">
        <f>'EC - Travel Time'!X49</f>
        <v>692860</v>
      </c>
      <c r="G17" s="84">
        <f>'QOL - Fuel Savings'!G19</f>
        <v>78461</v>
      </c>
      <c r="H17" s="84">
        <f>'Environmental Protection'!N43</f>
        <v>22614.227391389086</v>
      </c>
      <c r="I17" s="210">
        <f t="shared" si="0"/>
        <v>2751290.2273913892</v>
      </c>
    </row>
    <row r="18" spans="2:11" x14ac:dyDescent="0.2">
      <c r="B18" s="209">
        <f t="shared" si="1"/>
        <v>2033</v>
      </c>
      <c r="C18" s="84">
        <f>-Costs!G19</f>
        <v>0</v>
      </c>
      <c r="D18" s="84">
        <f>Safety!AA76</f>
        <v>1389767</v>
      </c>
      <c r="E18" s="84">
        <f>'State of Good Repair'!H28</f>
        <v>590627</v>
      </c>
      <c r="F18" s="84">
        <f>'EC - Travel Time'!X50</f>
        <v>795668</v>
      </c>
      <c r="G18" s="84">
        <f>'QOL - Fuel Savings'!G20</f>
        <v>90103</v>
      </c>
      <c r="H18" s="84">
        <f>'Environmental Protection'!N44</f>
        <v>25969.764284688943</v>
      </c>
      <c r="I18" s="210">
        <f t="shared" si="0"/>
        <v>2892134.764284689</v>
      </c>
    </row>
    <row r="19" spans="2:11" x14ac:dyDescent="0.2">
      <c r="B19" s="209">
        <f t="shared" si="1"/>
        <v>2034</v>
      </c>
      <c r="C19" s="84">
        <f>-Costs!G20</f>
        <v>0</v>
      </c>
      <c r="D19" s="84">
        <f>Safety!AA77</f>
        <v>1514767</v>
      </c>
      <c r="E19" s="84">
        <f>'State of Good Repair'!H29</f>
        <v>603213</v>
      </c>
      <c r="F19" s="84">
        <f>'EC - Travel Time'!X51</f>
        <v>913685</v>
      </c>
      <c r="G19" s="84">
        <f>'QOL - Fuel Savings'!G21</f>
        <v>103467</v>
      </c>
      <c r="H19" s="84">
        <f>'Environmental Protection'!N45</f>
        <v>29821.713623645359</v>
      </c>
      <c r="I19" s="210">
        <f t="shared" si="0"/>
        <v>3164953.7136236452</v>
      </c>
    </row>
    <row r="20" spans="2:11" x14ac:dyDescent="0.2">
      <c r="B20" s="209">
        <f t="shared" si="1"/>
        <v>2035</v>
      </c>
      <c r="C20" s="84">
        <f>-Costs!G21</f>
        <v>0</v>
      </c>
      <c r="D20" s="84">
        <f>Safety!AA78</f>
        <v>1465521</v>
      </c>
      <c r="E20" s="84">
        <f>'State of Good Repair'!H30</f>
        <v>616054</v>
      </c>
      <c r="F20" s="84">
        <f>'EC - Travel Time'!X52</f>
        <v>1049305</v>
      </c>
      <c r="G20" s="84">
        <f>'QOL - Fuel Savings'!G22</f>
        <v>118825</v>
      </c>
      <c r="H20" s="84">
        <f>'Environmental Protection'!N46</f>
        <v>34248.233963531951</v>
      </c>
      <c r="I20" s="210">
        <f t="shared" si="0"/>
        <v>3283953.2339635319</v>
      </c>
    </row>
    <row r="21" spans="2:11" x14ac:dyDescent="0.2">
      <c r="B21" s="209">
        <f t="shared" si="1"/>
        <v>2036</v>
      </c>
      <c r="C21" s="84">
        <f>-Costs!G22</f>
        <v>0</v>
      </c>
      <c r="D21" s="84">
        <f>Safety!AA79</f>
        <v>1386567</v>
      </c>
      <c r="E21" s="84">
        <f>'State of Good Repair'!H31</f>
        <v>629179</v>
      </c>
      <c r="F21" s="84">
        <f>'EC - Travel Time'!X53</f>
        <v>1205054</v>
      </c>
      <c r="G21" s="84">
        <f>'QOL - Fuel Savings'!G23</f>
        <v>136462</v>
      </c>
      <c r="H21" s="84">
        <f>'Environmental Protection'!N47</f>
        <v>39331.708646393825</v>
      </c>
      <c r="I21" s="210">
        <f t="shared" si="0"/>
        <v>3396593.7086463938</v>
      </c>
    </row>
    <row r="22" spans="2:11" x14ac:dyDescent="0.2">
      <c r="B22" s="209">
        <f t="shared" si="1"/>
        <v>2037</v>
      </c>
      <c r="C22" s="84">
        <f>-Costs!G23</f>
        <v>0</v>
      </c>
      <c r="D22" s="84">
        <f>Safety!AA80</f>
        <v>1593721</v>
      </c>
      <c r="E22" s="84">
        <f>'State of Good Repair'!H32</f>
        <v>642579</v>
      </c>
      <c r="F22" s="84">
        <f>'EC - Travel Time'!X54</f>
        <v>1383859</v>
      </c>
      <c r="G22" s="84">
        <f>'QOL - Fuel Savings'!G24</f>
        <v>156711</v>
      </c>
      <c r="H22" s="84">
        <f>'Environmental Protection'!N48</f>
        <v>45167.723472937214</v>
      </c>
      <c r="I22" s="210">
        <f t="shared" si="0"/>
        <v>3822037.723472937</v>
      </c>
    </row>
    <row r="23" spans="2:11" x14ac:dyDescent="0.2">
      <c r="B23" s="209">
        <f t="shared" si="1"/>
        <v>2038</v>
      </c>
      <c r="C23" s="84">
        <f>-Costs!G24</f>
        <v>0</v>
      </c>
      <c r="D23" s="84">
        <f>Safety!AA81</f>
        <v>1468721</v>
      </c>
      <c r="E23" s="84">
        <f>'State of Good Repair'!H33</f>
        <v>656261</v>
      </c>
      <c r="F23" s="84">
        <f>'EC - Travel Time'!X55</f>
        <v>1589103</v>
      </c>
      <c r="G23" s="84">
        <f>'QOL - Fuel Savings'!G25</f>
        <v>179953</v>
      </c>
      <c r="H23" s="84">
        <f>'Environmental Protection'!N49</f>
        <v>51866.650997568708</v>
      </c>
      <c r="I23" s="210">
        <f t="shared" si="0"/>
        <v>3945904.6509975689</v>
      </c>
    </row>
    <row r="24" spans="2:11" x14ac:dyDescent="0.2">
      <c r="B24" s="209">
        <f t="shared" si="1"/>
        <v>2039</v>
      </c>
      <c r="C24" s="84">
        <f>-Costs!G25</f>
        <v>0</v>
      </c>
      <c r="D24" s="84">
        <f>Safety!AA82</f>
        <v>1601248</v>
      </c>
      <c r="E24" s="84">
        <f>'State of Good Repair'!H34</f>
        <v>670245</v>
      </c>
      <c r="F24" s="84">
        <f>'EC - Travel Time'!X56</f>
        <v>1825007</v>
      </c>
      <c r="G24" s="84">
        <f>'QOL - Fuel Savings'!G26</f>
        <v>206667</v>
      </c>
      <c r="H24" s="84">
        <f>'Environmental Protection'!N50</f>
        <v>59566.324888710013</v>
      </c>
      <c r="I24" s="210">
        <f t="shared" si="0"/>
        <v>4362733.3248887099</v>
      </c>
    </row>
    <row r="25" spans="2:11" x14ac:dyDescent="0.2">
      <c r="B25" s="209">
        <f t="shared" si="1"/>
        <v>2040</v>
      </c>
      <c r="C25" s="84">
        <f>-Costs!G26</f>
        <v>0</v>
      </c>
      <c r="D25" s="84">
        <f>Safety!AA83</f>
        <v>2198875</v>
      </c>
      <c r="E25" s="84">
        <f>'State of Good Repair'!H35</f>
        <v>684522</v>
      </c>
      <c r="F25" s="84">
        <f>'EC - Travel Time'!X57</f>
        <v>2059002</v>
      </c>
      <c r="G25" s="84">
        <f>'QOL - Fuel Savings'!G27</f>
        <v>233165</v>
      </c>
      <c r="H25" s="84">
        <f>'Environmental Protection'!N51</f>
        <v>67203.683174971025</v>
      </c>
      <c r="I25" s="210">
        <f t="shared" si="0"/>
        <v>5242767.6831749715</v>
      </c>
    </row>
    <row r="26" spans="2:11" x14ac:dyDescent="0.2">
      <c r="B26" s="209">
        <f t="shared" si="1"/>
        <v>2041</v>
      </c>
      <c r="C26" s="84">
        <f>-Costs!G27</f>
        <v>0</v>
      </c>
      <c r="D26" s="84">
        <f>Safety!AA84</f>
        <v>2063548</v>
      </c>
      <c r="E26" s="84">
        <f>'State of Good Repair'!H36</f>
        <v>699100</v>
      </c>
      <c r="F26" s="84">
        <f>'EC - Travel Time'!X58</f>
        <v>2406872</v>
      </c>
      <c r="G26" s="84">
        <f>'QOL - Fuel Savings'!G28</f>
        <v>272558</v>
      </c>
      <c r="H26" s="84">
        <f>'Environmental Protection'!N52</f>
        <v>78557.79762349902</v>
      </c>
      <c r="I26" s="210">
        <f t="shared" si="0"/>
        <v>5520635.7976234993</v>
      </c>
    </row>
    <row r="27" spans="2:11" x14ac:dyDescent="0.2">
      <c r="B27" s="209">
        <f t="shared" si="1"/>
        <v>2042</v>
      </c>
      <c r="C27" s="84">
        <f>-Costs!G28</f>
        <v>0</v>
      </c>
      <c r="D27" s="84">
        <f>Safety!AA85</f>
        <v>2136102</v>
      </c>
      <c r="E27" s="84">
        <f>'State of Good Repair'!H37</f>
        <v>713989</v>
      </c>
      <c r="F27" s="84">
        <f>'EC - Travel Time'!X59</f>
        <v>2764207</v>
      </c>
      <c r="G27" s="84">
        <f>'QOL - Fuel Savings'!G29</f>
        <v>313023</v>
      </c>
      <c r="H27" s="84">
        <f>'Environmental Protection'!N53</f>
        <v>90220.849604696254</v>
      </c>
      <c r="I27" s="210">
        <f t="shared" si="0"/>
        <v>6017541.849604696</v>
      </c>
    </row>
    <row r="28" spans="2:11" x14ac:dyDescent="0.2">
      <c r="B28" s="209">
        <f t="shared" si="1"/>
        <v>2043</v>
      </c>
      <c r="C28" s="84">
        <f>-Costs!G29</f>
        <v>0</v>
      </c>
      <c r="D28" s="84">
        <f>Safety!AA86</f>
        <v>2142502</v>
      </c>
      <c r="E28" s="84">
        <f>'State of Good Repair'!H38</f>
        <v>729189</v>
      </c>
      <c r="F28" s="84">
        <f>'EC - Travel Time'!X60</f>
        <v>3174273</v>
      </c>
      <c r="G28" s="84">
        <f>'QOL - Fuel Savings'!G30</f>
        <v>359460</v>
      </c>
      <c r="H28" s="84">
        <f>'Environmental Protection'!N54</f>
        <v>103604.97409695176</v>
      </c>
      <c r="I28" s="210">
        <f t="shared" si="0"/>
        <v>6509028.974096952</v>
      </c>
    </row>
    <row r="29" spans="2:11" x14ac:dyDescent="0.2">
      <c r="B29" s="209">
        <f t="shared" si="1"/>
        <v>2044</v>
      </c>
      <c r="C29" s="85">
        <f>-Costs!G30</f>
        <v>0</v>
      </c>
      <c r="D29" s="85">
        <f>Safety!AA87</f>
        <v>2213929</v>
      </c>
      <c r="E29" s="85">
        <f>'State of Good Repair'!H39</f>
        <v>744727</v>
      </c>
      <c r="F29" s="85">
        <f>'EC - Travel Time'!X61</f>
        <v>3645548</v>
      </c>
      <c r="G29" s="85">
        <f>'QOL - Fuel Savings'!G31</f>
        <v>412828</v>
      </c>
      <c r="H29" s="85">
        <f>'Environmental Protection'!N55</f>
        <v>118986.89463380174</v>
      </c>
      <c r="I29" s="211">
        <f t="shared" si="0"/>
        <v>7136018.8946338017</v>
      </c>
      <c r="K29" s="3" t="s">
        <v>210</v>
      </c>
    </row>
    <row r="30" spans="2:11" ht="13.5" thickBot="1" x14ac:dyDescent="0.25">
      <c r="B30" s="212" t="s">
        <v>0</v>
      </c>
      <c r="C30" s="213">
        <f>SUM(C5:C25)</f>
        <v>-18370700</v>
      </c>
      <c r="D30" s="213">
        <f t="shared" ref="D30:I30" si="2">SUM(D9:D29)</f>
        <v>82822904</v>
      </c>
      <c r="E30" s="213">
        <f t="shared" si="2"/>
        <v>12770817</v>
      </c>
      <c r="F30" s="213">
        <f t="shared" si="2"/>
        <v>26629739</v>
      </c>
      <c r="G30" s="213">
        <f t="shared" si="2"/>
        <v>3015597</v>
      </c>
      <c r="H30" s="213">
        <f t="shared" si="2"/>
        <v>869166.96680505318</v>
      </c>
      <c r="I30" s="214">
        <f t="shared" si="2"/>
        <v>124271153.96680504</v>
      </c>
      <c r="K30" s="223">
        <f>+SUM(D30:H30)</f>
        <v>126108223.96680506</v>
      </c>
    </row>
    <row r="32" spans="2:11" ht="13.5" thickBot="1" x14ac:dyDescent="0.25"/>
    <row r="33" spans="2:10" x14ac:dyDescent="0.2">
      <c r="B33" s="268" t="s">
        <v>157</v>
      </c>
      <c r="C33" s="269"/>
      <c r="D33" s="269"/>
      <c r="E33" s="269"/>
      <c r="F33" s="269"/>
      <c r="G33" s="269"/>
      <c r="H33" s="269"/>
      <c r="I33" s="270"/>
      <c r="J33" s="215"/>
    </row>
    <row r="34" spans="2:10" ht="25.5" x14ac:dyDescent="0.2">
      <c r="B34" s="271" t="s">
        <v>1</v>
      </c>
      <c r="C34" s="198" t="s">
        <v>2</v>
      </c>
      <c r="D34" s="198" t="s">
        <v>6</v>
      </c>
      <c r="E34" s="216" t="s">
        <v>4</v>
      </c>
      <c r="F34" s="277" t="s">
        <v>5</v>
      </c>
      <c r="G34" s="278"/>
      <c r="H34" s="198" t="s">
        <v>74</v>
      </c>
      <c r="I34" s="273" t="s">
        <v>212</v>
      </c>
      <c r="J34" s="215"/>
    </row>
    <row r="35" spans="2:10" ht="39" thickBot="1" x14ac:dyDescent="0.25">
      <c r="B35" s="272"/>
      <c r="C35" s="197" t="s">
        <v>3</v>
      </c>
      <c r="D35" s="70" t="s">
        <v>7</v>
      </c>
      <c r="E35" s="70" t="s">
        <v>75</v>
      </c>
      <c r="F35" s="70" t="s">
        <v>76</v>
      </c>
      <c r="G35" s="70" t="s">
        <v>209</v>
      </c>
      <c r="H35" s="70" t="s">
        <v>77</v>
      </c>
      <c r="I35" s="274"/>
      <c r="J35" s="215"/>
    </row>
    <row r="36" spans="2:10" ht="13.5" thickTop="1" x14ac:dyDescent="0.2">
      <c r="B36" s="207">
        <v>2020</v>
      </c>
      <c r="C36" s="86">
        <f>-Costs!H6</f>
        <v>-749798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208">
        <f t="shared" ref="I36:I60" si="3">+SUM(C36:H36)</f>
        <v>-749798</v>
      </c>
      <c r="J36" s="215"/>
    </row>
    <row r="37" spans="2:10" x14ac:dyDescent="0.2">
      <c r="B37" s="209">
        <f>B36+1</f>
        <v>2021</v>
      </c>
      <c r="C37" s="84">
        <f>-Costs!H7</f>
        <v>-1401492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208">
        <f t="shared" si="3"/>
        <v>-1401492</v>
      </c>
      <c r="J37" s="215"/>
    </row>
    <row r="38" spans="2:10" x14ac:dyDescent="0.2">
      <c r="B38" s="209">
        <f t="shared" ref="B38:B60" si="4">B37+1</f>
        <v>2022</v>
      </c>
      <c r="C38" s="84">
        <f>-Costs!H8</f>
        <v>-4584319</v>
      </c>
      <c r="D38" s="86">
        <v>0</v>
      </c>
      <c r="E38" s="86">
        <v>0</v>
      </c>
      <c r="F38" s="86">
        <v>0</v>
      </c>
      <c r="G38" s="86">
        <v>0</v>
      </c>
      <c r="H38" s="86">
        <v>0</v>
      </c>
      <c r="I38" s="208">
        <f t="shared" si="3"/>
        <v>-4584319</v>
      </c>
      <c r="J38" s="215"/>
    </row>
    <row r="39" spans="2:10" x14ac:dyDescent="0.2">
      <c r="B39" s="209">
        <f t="shared" si="4"/>
        <v>2023</v>
      </c>
      <c r="C39" s="84">
        <f>-Costs!H9</f>
        <v>-4896469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208">
        <f t="shared" si="3"/>
        <v>-4896469</v>
      </c>
      <c r="J39" s="215"/>
    </row>
    <row r="40" spans="2:10" x14ac:dyDescent="0.2">
      <c r="B40" s="209">
        <f t="shared" si="4"/>
        <v>2024</v>
      </c>
      <c r="C40" s="84">
        <f>-Costs!H10</f>
        <v>-1144035</v>
      </c>
      <c r="D40" s="86">
        <f>Safety!AB67</f>
        <v>6952307</v>
      </c>
      <c r="E40" s="86">
        <f>'State of Good Repair'!I19</f>
        <v>304268.05088790861</v>
      </c>
      <c r="F40" s="86">
        <f>'EC - Travel Time'!Y41</f>
        <v>142627.12788434414</v>
      </c>
      <c r="G40" s="86">
        <f>'QOL - Fuel Savings'!H11</f>
        <v>16151</v>
      </c>
      <c r="H40" s="86">
        <f>'Environmental Protection'!O35</f>
        <v>4655.1988570054791</v>
      </c>
      <c r="I40" s="208">
        <f t="shared" si="3"/>
        <v>6275973.3776292587</v>
      </c>
      <c r="J40" s="215"/>
    </row>
    <row r="41" spans="2:10" x14ac:dyDescent="0.2">
      <c r="B41" s="209">
        <f t="shared" si="4"/>
        <v>2025</v>
      </c>
      <c r="C41" s="84">
        <f>-Costs!H11</f>
        <v>0</v>
      </c>
      <c r="D41" s="84">
        <f>Safety!AB68</f>
        <v>6570234</v>
      </c>
      <c r="E41" s="84">
        <f>'State of Good Repair'!I20</f>
        <v>290421.37915974506</v>
      </c>
      <c r="F41" s="84">
        <f>'EC - Travel Time'!Y42</f>
        <v>153071.88655523249</v>
      </c>
      <c r="G41" s="84">
        <f>'QOL - Fuel Savings'!H12</f>
        <v>17334</v>
      </c>
      <c r="H41" s="84">
        <f>'Environmental Protection'!O36</f>
        <v>4996.1050334331894</v>
      </c>
      <c r="I41" s="210">
        <f t="shared" si="3"/>
        <v>7036057.37074841</v>
      </c>
      <c r="J41" s="215"/>
    </row>
    <row r="42" spans="2:10" x14ac:dyDescent="0.2">
      <c r="B42" s="209">
        <f t="shared" si="4"/>
        <v>2026</v>
      </c>
      <c r="C42" s="84">
        <f>-Costs!H12</f>
        <v>0</v>
      </c>
      <c r="D42" s="84">
        <f>Safety!AB69</f>
        <v>6139793</v>
      </c>
      <c r="E42" s="84">
        <f>'State of Good Repair'!I21</f>
        <v>277198.96996199095</v>
      </c>
      <c r="F42" s="84">
        <f>'EC - Travel Time'!Y43</f>
        <v>164285.39614017541</v>
      </c>
      <c r="G42" s="84">
        <f>'QOL - Fuel Savings'!H13</f>
        <v>18604</v>
      </c>
      <c r="H42" s="84">
        <f>'Environmental Protection'!O37</f>
        <v>5362.1052707921554</v>
      </c>
      <c r="I42" s="210">
        <f t="shared" si="3"/>
        <v>6605243.4713729583</v>
      </c>
      <c r="J42" s="215"/>
    </row>
    <row r="43" spans="2:10" x14ac:dyDescent="0.2">
      <c r="B43" s="209">
        <f t="shared" si="4"/>
        <v>2027</v>
      </c>
      <c r="C43" s="84">
        <f>-Costs!H13</f>
        <v>0</v>
      </c>
      <c r="D43" s="84">
        <f>Safety!AB70</f>
        <v>5714717</v>
      </c>
      <c r="E43" s="84">
        <f>'State of Good Repair'!I22</f>
        <v>264584.11452240153</v>
      </c>
      <c r="F43" s="84">
        <f>'EC - Travel Time'!Y44</f>
        <v>176337.72750356732</v>
      </c>
      <c r="G43" s="84">
        <f>'QOL - Fuel Savings'!H14</f>
        <v>19969</v>
      </c>
      <c r="H43" s="84">
        <f>'Environmental Protection'!O38</f>
        <v>5755.4800790696672</v>
      </c>
      <c r="I43" s="210">
        <f t="shared" si="3"/>
        <v>6181363.322105038</v>
      </c>
      <c r="J43" s="215"/>
    </row>
    <row r="44" spans="2:10" x14ac:dyDescent="0.2">
      <c r="B44" s="209">
        <f t="shared" si="4"/>
        <v>2028</v>
      </c>
      <c r="C44" s="84">
        <f>-Costs!H14</f>
        <v>0</v>
      </c>
      <c r="D44" s="84">
        <f>Safety!AB71</f>
        <v>5400243</v>
      </c>
      <c r="E44" s="84">
        <f>'State of Good Repair'!I23</f>
        <v>252542.22721897112</v>
      </c>
      <c r="F44" s="84">
        <f>'EC - Travel Time'!Y45</f>
        <v>189238.48756430714</v>
      </c>
      <c r="G44" s="84">
        <f>'QOL - Fuel Savings'!H15</f>
        <v>21430</v>
      </c>
      <c r="H44" s="84">
        <f>'Environmental Protection'!O39</f>
        <v>6176.5508393750524</v>
      </c>
      <c r="I44" s="210">
        <f t="shared" si="3"/>
        <v>5869630.2656226521</v>
      </c>
      <c r="J44" s="215"/>
    </row>
    <row r="45" spans="2:10" x14ac:dyDescent="0.2">
      <c r="B45" s="209">
        <f t="shared" si="4"/>
        <v>2029</v>
      </c>
      <c r="C45" s="84">
        <f>-Costs!H15</f>
        <v>0</v>
      </c>
      <c r="D45" s="84">
        <f>Safety!AB72</f>
        <v>578675</v>
      </c>
      <c r="E45" s="84">
        <f>'State of Good Repair'!I24</f>
        <v>241044.76842065112</v>
      </c>
      <c r="F45" s="84">
        <f>'EC - Travel Time'!Y46</f>
        <v>203102.17045569333</v>
      </c>
      <c r="G45" s="84">
        <f>'QOL - Fuel Savings'!H16</f>
        <v>23000</v>
      </c>
      <c r="H45" s="84">
        <f>'Environmental Protection'!O40</f>
        <v>6629.0400983085901</v>
      </c>
      <c r="I45" s="210">
        <f t="shared" si="3"/>
        <v>1052450.9789746529</v>
      </c>
      <c r="J45" s="215"/>
    </row>
    <row r="46" spans="2:10" x14ac:dyDescent="0.2">
      <c r="B46" s="209">
        <f t="shared" si="4"/>
        <v>2030</v>
      </c>
      <c r="C46" s="84">
        <f>-Costs!H16</f>
        <v>0</v>
      </c>
      <c r="D46" s="84">
        <f>Safety!AB73</f>
        <v>541285</v>
      </c>
      <c r="E46" s="84">
        <f>'State of Good Repair'!I25</f>
        <v>230073.71841621655</v>
      </c>
      <c r="F46" s="84">
        <f>'EC - Travel Time'!Y47</f>
        <v>217987.46390701502</v>
      </c>
      <c r="G46" s="84">
        <f>'QOL - Fuel Savings'!H17</f>
        <v>24685</v>
      </c>
      <c r="H46" s="84">
        <f>'Environmental Protection'!O41</f>
        <v>7114.8845725065148</v>
      </c>
      <c r="I46" s="210">
        <f t="shared" si="3"/>
        <v>1021146.0668957381</v>
      </c>
      <c r="J46" s="215"/>
    </row>
    <row r="47" spans="2:10" x14ac:dyDescent="0.2">
      <c r="B47" s="209">
        <f t="shared" si="4"/>
        <v>2031</v>
      </c>
      <c r="C47" s="84">
        <f>-Costs!H17</f>
        <v>0</v>
      </c>
      <c r="D47" s="84">
        <f>Safety!AB74</f>
        <v>508793</v>
      </c>
      <c r="E47" s="84">
        <f>'State of Good Repair'!I26</f>
        <v>219601.51272606023</v>
      </c>
      <c r="F47" s="84">
        <f>'EC - Travel Time'!Y48</f>
        <v>233965.09988161889</v>
      </c>
      <c r="G47" s="84">
        <f>'QOL - Fuel Savings'!H18</f>
        <v>26495</v>
      </c>
      <c r="H47" s="84">
        <f>'Environmental Protection'!O42</f>
        <v>7636.383231124918</v>
      </c>
      <c r="I47" s="210">
        <f t="shared" si="3"/>
        <v>996490.99583880405</v>
      </c>
      <c r="J47" s="215"/>
    </row>
    <row r="48" spans="2:10" x14ac:dyDescent="0.2">
      <c r="B48" s="209">
        <f t="shared" si="4"/>
        <v>2032</v>
      </c>
      <c r="C48" s="84">
        <f>-Costs!H18</f>
        <v>0</v>
      </c>
      <c r="D48" s="84">
        <f>Safety!AB75</f>
        <v>499828</v>
      </c>
      <c r="E48" s="84">
        <f>'State of Good Repair'!I27</f>
        <v>209607.96984947124</v>
      </c>
      <c r="F48" s="84">
        <f>'EC - Travel Time'!Y49</f>
        <v>251124.34916940532</v>
      </c>
      <c r="G48" s="84">
        <f>'QOL - Fuel Savings'!H19</f>
        <v>28438</v>
      </c>
      <c r="H48" s="84">
        <f>'Environmental Protection'!O43</f>
        <v>8196.436705296197</v>
      </c>
      <c r="I48" s="210">
        <f t="shared" si="3"/>
        <v>997194.75572417269</v>
      </c>
      <c r="J48" s="215"/>
    </row>
    <row r="49" spans="2:11" x14ac:dyDescent="0.2">
      <c r="B49" s="209">
        <f t="shared" si="4"/>
        <v>2033</v>
      </c>
      <c r="C49" s="84">
        <f>-Costs!H19</f>
        <v>0</v>
      </c>
      <c r="D49" s="84">
        <f>Safety!AB76</f>
        <v>470762</v>
      </c>
      <c r="E49" s="84">
        <f>'State of Good Repair'!I28</f>
        <v>200065.79929281122</v>
      </c>
      <c r="F49" s="84">
        <f>'EC - Travel Time'!Y50</f>
        <v>269520.27995962341</v>
      </c>
      <c r="G49" s="84">
        <f>'QOL - Fuel Savings'!H20</f>
        <v>30521</v>
      </c>
      <c r="H49" s="84">
        <f>'Environmental Protection'!O44</f>
        <v>8796.8576598465606</v>
      </c>
      <c r="I49" s="210">
        <f t="shared" si="3"/>
        <v>979665.93691228121</v>
      </c>
      <c r="J49" s="215"/>
    </row>
    <row r="50" spans="2:11" x14ac:dyDescent="0.2">
      <c r="B50" s="209">
        <f t="shared" si="4"/>
        <v>2034</v>
      </c>
      <c r="C50" s="84">
        <f>-Costs!H20</f>
        <v>0</v>
      </c>
      <c r="D50" s="84">
        <f>Safety!AB77</f>
        <v>479536</v>
      </c>
      <c r="E50" s="84">
        <f>'State of Good Repair'!I29</f>
        <v>190961.78779502728</v>
      </c>
      <c r="F50" s="84">
        <f>'EC - Travel Time'!Y51</f>
        <v>289249.2719512005</v>
      </c>
      <c r="G50" s="84">
        <f>'QOL - Fuel Savings'!H21</f>
        <v>32755</v>
      </c>
      <c r="H50" s="84">
        <f>'Environmental Protection'!O45</f>
        <v>9440.79081300078</v>
      </c>
      <c r="I50" s="210">
        <f t="shared" si="3"/>
        <v>1001942.8505592284</v>
      </c>
      <c r="J50" s="215"/>
    </row>
    <row r="51" spans="2:11" x14ac:dyDescent="0.2">
      <c r="B51" s="209">
        <f t="shared" si="4"/>
        <v>2035</v>
      </c>
      <c r="C51" s="84">
        <f>-Costs!H21</f>
        <v>0</v>
      </c>
      <c r="D51" s="84">
        <f>Safety!AB78</f>
        <v>433595</v>
      </c>
      <c r="E51" s="84">
        <f>'State of Good Repair'!I30</f>
        <v>182268.14910558588</v>
      </c>
      <c r="F51" s="84">
        <f>'EC - Travel Time'!Y52</f>
        <v>310451.48671583465</v>
      </c>
      <c r="G51" s="84">
        <f>'QOL - Fuel Savings'!H22</f>
        <v>35156</v>
      </c>
      <c r="H51" s="84">
        <f>'Environmental Protection'!O46</f>
        <v>10132.816627548937</v>
      </c>
      <c r="I51" s="210">
        <f t="shared" si="3"/>
        <v>971603.45244896936</v>
      </c>
      <c r="J51" s="215"/>
    </row>
    <row r="52" spans="2:11" x14ac:dyDescent="0.2">
      <c r="B52" s="209">
        <f t="shared" si="4"/>
        <v>2036</v>
      </c>
      <c r="C52" s="84">
        <f>-Costs!H22</f>
        <v>0</v>
      </c>
      <c r="D52" s="84">
        <f>Safety!AB79</f>
        <v>383397</v>
      </c>
      <c r="E52" s="84">
        <f>'State of Good Repair'!I31</f>
        <v>173973.23645542699</v>
      </c>
      <c r="F52" s="84">
        <f>'EC - Travel Time'!Y53</f>
        <v>333207.47272804414</v>
      </c>
      <c r="G52" s="84">
        <f>'QOL - Fuel Savings'!H23</f>
        <v>37733</v>
      </c>
      <c r="H52" s="84">
        <f>'Environmental Protection'!O47</f>
        <v>10875.54519228238</v>
      </c>
      <c r="I52" s="210">
        <f t="shared" si="3"/>
        <v>939186.25437575358</v>
      </c>
      <c r="J52" s="215"/>
    </row>
    <row r="53" spans="2:11" x14ac:dyDescent="0.2">
      <c r="B53" s="209">
        <f t="shared" si="4"/>
        <v>2037</v>
      </c>
      <c r="C53" s="84">
        <f>-Costs!H23</f>
        <v>0</v>
      </c>
      <c r="D53" s="84">
        <f>Safety!AB80</f>
        <v>411848</v>
      </c>
      <c r="E53" s="84">
        <f>'State of Good Repair'!I32</f>
        <v>166054.62440913293</v>
      </c>
      <c r="F53" s="84">
        <f>'EC - Travel Time'!Y54</f>
        <v>357615.46281499753</v>
      </c>
      <c r="G53" s="84">
        <f>'QOL - Fuel Savings'!H24</f>
        <v>40497</v>
      </c>
      <c r="H53" s="84">
        <f>'Environmental Protection'!O48</f>
        <v>11672.198059249005</v>
      </c>
      <c r="I53" s="210">
        <f t="shared" si="3"/>
        <v>987687.28528337937</v>
      </c>
      <c r="J53" s="215"/>
    </row>
    <row r="54" spans="2:11" x14ac:dyDescent="0.2">
      <c r="B54" s="209">
        <f t="shared" si="4"/>
        <v>2038</v>
      </c>
      <c r="C54" s="84">
        <f>-Costs!H24</f>
        <v>0</v>
      </c>
      <c r="D54" s="84">
        <f>Safety!AB81</f>
        <v>354715</v>
      </c>
      <c r="E54" s="84">
        <f>'State of Good Repair'!I33</f>
        <v>158495.61981834794</v>
      </c>
      <c r="F54" s="84">
        <f>'EC - Travel Time'!Y55</f>
        <v>383789.17068086652</v>
      </c>
      <c r="G54" s="84">
        <f>'QOL - Fuel Savings'!H25</f>
        <v>43461</v>
      </c>
      <c r="H54" s="84">
        <f>'Environmental Protection'!O49</f>
        <v>12526.474981389396</v>
      </c>
      <c r="I54" s="210">
        <f t="shared" si="3"/>
        <v>952987.26548060391</v>
      </c>
      <c r="J54" s="215"/>
    </row>
    <row r="55" spans="2:11" x14ac:dyDescent="0.2">
      <c r="B55" s="209">
        <f t="shared" si="4"/>
        <v>2039</v>
      </c>
      <c r="C55" s="84">
        <f>-Costs!H25</f>
        <v>0</v>
      </c>
      <c r="D55" s="84">
        <f>Safety!AB82</f>
        <v>361423</v>
      </c>
      <c r="E55" s="84">
        <f>'State of Good Repair'!I34</f>
        <v>151283.12039565152</v>
      </c>
      <c r="F55" s="84">
        <f>'EC - Travel Time'!Y56</f>
        <v>411928.10644451925</v>
      </c>
      <c r="G55" s="84">
        <f>'QOL - Fuel Savings'!H26</f>
        <v>46647</v>
      </c>
      <c r="H55" s="84">
        <f>'Environmental Protection'!O50</f>
        <v>13444.903728733838</v>
      </c>
      <c r="I55" s="210">
        <f t="shared" si="3"/>
        <v>984726.13056890469</v>
      </c>
      <c r="J55" s="215"/>
    </row>
    <row r="56" spans="2:11" x14ac:dyDescent="0.2">
      <c r="B56" s="209">
        <f t="shared" si="4"/>
        <v>2040</v>
      </c>
      <c r="C56" s="84">
        <f>-Costs!H26</f>
        <v>0</v>
      </c>
      <c r="D56" s="84">
        <f>Safety!AB83</f>
        <v>463846</v>
      </c>
      <c r="E56" s="84">
        <f>'State of Good Repair'!I35</f>
        <v>144397.78248123129</v>
      </c>
      <c r="F56" s="84">
        <f>'EC - Travel Time'!Y57</f>
        <v>434340.05470155843</v>
      </c>
      <c r="G56" s="84">
        <f>'QOL - Fuel Savings'!H27</f>
        <v>49185</v>
      </c>
      <c r="H56" s="84">
        <f>'Environmental Protection'!O51</f>
        <v>14176.407515079207</v>
      </c>
      <c r="I56" s="210">
        <f t="shared" si="3"/>
        <v>1105945.2446978688</v>
      </c>
      <c r="J56" s="215"/>
    </row>
    <row r="57" spans="2:11" x14ac:dyDescent="0.2">
      <c r="B57" s="209">
        <f t="shared" si="4"/>
        <v>2041</v>
      </c>
      <c r="C57" s="84">
        <f>-Costs!H27</f>
        <v>0</v>
      </c>
      <c r="D57" s="84">
        <f>Safety!AB84</f>
        <v>406822</v>
      </c>
      <c r="E57" s="84">
        <f>'State of Good Repair'!I36</f>
        <v>137825.20200620353</v>
      </c>
      <c r="F57" s="84">
        <f>'EC - Travel Time'!Y58</f>
        <v>474506.67944939941</v>
      </c>
      <c r="G57" s="84">
        <f>'QOL - Fuel Savings'!H28</f>
        <v>53734</v>
      </c>
      <c r="H57" s="84">
        <f>'Environmental Protection'!O52</f>
        <v>15487.40427209442</v>
      </c>
      <c r="I57" s="210">
        <f t="shared" si="3"/>
        <v>1088375.2857276974</v>
      </c>
      <c r="J57" s="215"/>
    </row>
    <row r="58" spans="2:11" x14ac:dyDescent="0.2">
      <c r="B58" s="209">
        <f t="shared" si="4"/>
        <v>2042</v>
      </c>
      <c r="C58" s="84">
        <f>-Costs!H28</f>
        <v>0</v>
      </c>
      <c r="D58" s="84">
        <f>Safety!AB85</f>
        <v>393575</v>
      </c>
      <c r="E58" s="84">
        <f>'State of Good Repair'!I37</f>
        <v>131551.8860099263</v>
      </c>
      <c r="F58" s="84">
        <f>'EC - Travel Time'!Y59</f>
        <v>509302.86625121726</v>
      </c>
      <c r="G58" s="84">
        <f>'QOL - Fuel Savings'!H29</f>
        <v>57674</v>
      </c>
      <c r="H58" s="84">
        <f>'Environmental Protection'!O53</f>
        <v>16623.117335022958</v>
      </c>
      <c r="I58" s="210">
        <f t="shared" si="3"/>
        <v>1108726.8695961665</v>
      </c>
      <c r="J58" s="215"/>
    </row>
    <row r="59" spans="2:11" x14ac:dyDescent="0.2">
      <c r="B59" s="209">
        <f t="shared" si="4"/>
        <v>2043</v>
      </c>
      <c r="C59" s="84">
        <f>-Costs!H29</f>
        <v>0</v>
      </c>
      <c r="D59" s="84">
        <f>Safety!AB86</f>
        <v>368929</v>
      </c>
      <c r="E59" s="84">
        <f>'State of Good Repair'!I38</f>
        <v>125563.05935351811</v>
      </c>
      <c r="F59" s="84">
        <f>'EC - Travel Time'!Y60</f>
        <v>546595.50418789918</v>
      </c>
      <c r="G59" s="84">
        <f>'QOL - Fuel Savings'!H30</f>
        <v>61897</v>
      </c>
      <c r="H59" s="84">
        <f>'Environmental Protection'!O54</f>
        <v>17840.309593061964</v>
      </c>
      <c r="I59" s="210">
        <f t="shared" si="3"/>
        <v>1120824.8731344792</v>
      </c>
      <c r="J59" s="215"/>
    </row>
    <row r="60" spans="2:11" x14ac:dyDescent="0.2">
      <c r="B60" s="209">
        <f t="shared" si="4"/>
        <v>2044</v>
      </c>
      <c r="C60" s="84">
        <f>-Costs!H30</f>
        <v>0</v>
      </c>
      <c r="D60" s="85">
        <f>Safety!AB87</f>
        <v>381229</v>
      </c>
      <c r="E60" s="85">
        <f>'State of Good Repair'!I39</f>
        <v>128238.63292392985</v>
      </c>
      <c r="F60" s="85">
        <f>'EC - Travel Time'!Y61</f>
        <v>255188.36000000002</v>
      </c>
      <c r="G60" s="85">
        <f>'QOL - Fuel Savings'!H31</f>
        <v>71087</v>
      </c>
      <c r="H60" s="85">
        <f>'Environmental Protection'!O55</f>
        <v>20489.006983367621</v>
      </c>
      <c r="I60" s="211">
        <f t="shared" si="3"/>
        <v>856231.99990729743</v>
      </c>
      <c r="J60" s="215"/>
      <c r="K60" s="3" t="s">
        <v>211</v>
      </c>
    </row>
    <row r="61" spans="2:11" ht="13.5" thickBot="1" x14ac:dyDescent="0.25">
      <c r="B61" s="212" t="s">
        <v>0</v>
      </c>
      <c r="C61" s="213">
        <f>SUM(C36:C56)</f>
        <v>-12776113</v>
      </c>
      <c r="D61" s="213">
        <f t="shared" ref="D61:H61" si="5">SUM(D40:D60)</f>
        <v>37815552</v>
      </c>
      <c r="E61" s="213">
        <f t="shared" si="5"/>
        <v>4180021.6112102098</v>
      </c>
      <c r="F61" s="217">
        <f t="shared" si="5"/>
        <v>6307434.4249465195</v>
      </c>
      <c r="G61" s="217">
        <f t="shared" si="5"/>
        <v>756453</v>
      </c>
      <c r="H61" s="217">
        <f t="shared" si="5"/>
        <v>218028.01744758885</v>
      </c>
      <c r="I61" s="214">
        <f>SUM(I36:I60)</f>
        <v>36501376.053604305</v>
      </c>
      <c r="K61" s="223">
        <f>+SUM(D61:H61)</f>
        <v>49277489.05360432</v>
      </c>
    </row>
  </sheetData>
  <mergeCells count="8">
    <mergeCell ref="B2:I2"/>
    <mergeCell ref="B33:I33"/>
    <mergeCell ref="B34:B35"/>
    <mergeCell ref="I34:I35"/>
    <mergeCell ref="B3:B4"/>
    <mergeCell ref="I3:I4"/>
    <mergeCell ref="F3:G3"/>
    <mergeCell ref="F34:G34"/>
  </mergeCells>
  <pageMargins left="0.25" right="0.25" top="0.75" bottom="0.75" header="0.3" footer="0.3"/>
  <pageSetup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C30"/>
  <sheetViews>
    <sheetView zoomScaleNormal="100" workbookViewId="0">
      <selection activeCell="G35" sqref="G35"/>
    </sheetView>
  </sheetViews>
  <sheetFormatPr defaultRowHeight="12.75" x14ac:dyDescent="0.2"/>
  <cols>
    <col min="5" max="5" width="9.5703125" bestFit="1" customWidth="1"/>
  </cols>
  <sheetData>
    <row r="2" spans="1:3" x14ac:dyDescent="0.2">
      <c r="A2" s="279" t="s">
        <v>9</v>
      </c>
      <c r="B2" s="280"/>
      <c r="C2" s="280"/>
    </row>
    <row r="3" spans="1:3" x14ac:dyDescent="0.2">
      <c r="A3" s="151">
        <v>1</v>
      </c>
      <c r="B3" s="151">
        <v>2018</v>
      </c>
      <c r="C3" s="151">
        <f t="shared" ref="C3:C28" si="0">1/(1+$C$30)^A3</f>
        <v>0.93457943925233644</v>
      </c>
    </row>
    <row r="4" spans="1:3" x14ac:dyDescent="0.2">
      <c r="A4" s="26">
        <v>2</v>
      </c>
      <c r="B4" s="26">
        <f>B3+1</f>
        <v>2019</v>
      </c>
      <c r="C4" s="26">
        <f t="shared" si="0"/>
        <v>0.87343872827321156</v>
      </c>
    </row>
    <row r="5" spans="1:3" x14ac:dyDescent="0.2">
      <c r="A5" s="26">
        <v>3</v>
      </c>
      <c r="B5" s="26">
        <f t="shared" ref="B5:B29" si="1">B4+1</f>
        <v>2020</v>
      </c>
      <c r="C5" s="26">
        <f t="shared" si="0"/>
        <v>0.81629787689085187</v>
      </c>
    </row>
    <row r="6" spans="1:3" x14ac:dyDescent="0.2">
      <c r="A6" s="26">
        <v>4</v>
      </c>
      <c r="B6" s="26">
        <f t="shared" si="1"/>
        <v>2021</v>
      </c>
      <c r="C6" s="26">
        <f t="shared" si="0"/>
        <v>0.7628952120475252</v>
      </c>
    </row>
    <row r="7" spans="1:3" x14ac:dyDescent="0.2">
      <c r="A7" s="26">
        <v>5</v>
      </c>
      <c r="B7" s="26">
        <f t="shared" si="1"/>
        <v>2022</v>
      </c>
      <c r="C7" s="26">
        <f t="shared" si="0"/>
        <v>0.71298617948366838</v>
      </c>
    </row>
    <row r="8" spans="1:3" x14ac:dyDescent="0.2">
      <c r="A8" s="26">
        <v>6</v>
      </c>
      <c r="B8" s="26">
        <f t="shared" si="1"/>
        <v>2023</v>
      </c>
      <c r="C8" s="26">
        <f t="shared" si="0"/>
        <v>0.66634222381651254</v>
      </c>
    </row>
    <row r="9" spans="1:3" x14ac:dyDescent="0.2">
      <c r="A9" s="26">
        <v>7</v>
      </c>
      <c r="B9" s="26">
        <f t="shared" si="1"/>
        <v>2024</v>
      </c>
      <c r="C9" s="26">
        <f t="shared" si="0"/>
        <v>0.62274974188459109</v>
      </c>
    </row>
    <row r="10" spans="1:3" x14ac:dyDescent="0.2">
      <c r="A10" s="26">
        <v>8</v>
      </c>
      <c r="B10" s="26">
        <f t="shared" si="1"/>
        <v>2025</v>
      </c>
      <c r="C10" s="26">
        <f t="shared" si="0"/>
        <v>0.5820091045650384</v>
      </c>
    </row>
    <row r="11" spans="1:3" x14ac:dyDescent="0.2">
      <c r="A11" s="26">
        <v>9</v>
      </c>
      <c r="B11" s="26">
        <f t="shared" si="1"/>
        <v>2026</v>
      </c>
      <c r="C11" s="26">
        <f t="shared" si="0"/>
        <v>0.54393374258414806</v>
      </c>
    </row>
    <row r="12" spans="1:3" x14ac:dyDescent="0.2">
      <c r="A12" s="26">
        <v>10</v>
      </c>
      <c r="B12" s="26">
        <f t="shared" si="1"/>
        <v>2027</v>
      </c>
      <c r="C12" s="26">
        <f t="shared" si="0"/>
        <v>0.5083492921347178</v>
      </c>
    </row>
    <row r="13" spans="1:3" x14ac:dyDescent="0.2">
      <c r="A13" s="26">
        <v>11</v>
      </c>
      <c r="B13" s="26">
        <f t="shared" si="1"/>
        <v>2028</v>
      </c>
      <c r="C13" s="26">
        <f t="shared" si="0"/>
        <v>0.47509279638758667</v>
      </c>
    </row>
    <row r="14" spans="1:3" x14ac:dyDescent="0.2">
      <c r="A14" s="26">
        <v>12</v>
      </c>
      <c r="B14" s="26">
        <f t="shared" si="1"/>
        <v>2029</v>
      </c>
      <c r="C14" s="26">
        <f t="shared" si="0"/>
        <v>0.44401195924073528</v>
      </c>
    </row>
    <row r="15" spans="1:3" x14ac:dyDescent="0.2">
      <c r="A15" s="26">
        <v>13</v>
      </c>
      <c r="B15" s="26">
        <f t="shared" si="1"/>
        <v>2030</v>
      </c>
      <c r="C15" s="26">
        <f t="shared" si="0"/>
        <v>0.41496444788853759</v>
      </c>
    </row>
    <row r="16" spans="1:3" x14ac:dyDescent="0.2">
      <c r="A16" s="26">
        <v>14</v>
      </c>
      <c r="B16" s="26">
        <f t="shared" si="1"/>
        <v>2031</v>
      </c>
      <c r="C16" s="26">
        <f t="shared" si="0"/>
        <v>0.3878172410173249</v>
      </c>
    </row>
    <row r="17" spans="1:3" x14ac:dyDescent="0.2">
      <c r="A17" s="26">
        <v>15</v>
      </c>
      <c r="B17" s="26">
        <f t="shared" si="1"/>
        <v>2032</v>
      </c>
      <c r="C17" s="26">
        <f t="shared" si="0"/>
        <v>0.36244601964235967</v>
      </c>
    </row>
    <row r="18" spans="1:3" x14ac:dyDescent="0.2">
      <c r="A18" s="26">
        <v>16</v>
      </c>
      <c r="B18" s="26">
        <f t="shared" si="1"/>
        <v>2033</v>
      </c>
      <c r="C18" s="26">
        <f t="shared" si="0"/>
        <v>0.33873459779659787</v>
      </c>
    </row>
    <row r="19" spans="1:3" x14ac:dyDescent="0.2">
      <c r="A19" s="26">
        <v>17</v>
      </c>
      <c r="B19" s="26">
        <f t="shared" si="1"/>
        <v>2034</v>
      </c>
      <c r="C19" s="26">
        <f t="shared" si="0"/>
        <v>0.31657439046411018</v>
      </c>
    </row>
    <row r="20" spans="1:3" x14ac:dyDescent="0.2">
      <c r="A20" s="26">
        <v>18</v>
      </c>
      <c r="B20" s="26">
        <f t="shared" si="1"/>
        <v>2035</v>
      </c>
      <c r="C20" s="26">
        <f t="shared" si="0"/>
        <v>0.29586391632159825</v>
      </c>
    </row>
    <row r="21" spans="1:3" x14ac:dyDescent="0.2">
      <c r="A21" s="26">
        <v>19</v>
      </c>
      <c r="B21" s="26">
        <f t="shared" si="1"/>
        <v>2036</v>
      </c>
      <c r="C21" s="26">
        <f t="shared" si="0"/>
        <v>0.27650833301083949</v>
      </c>
    </row>
    <row r="22" spans="1:3" x14ac:dyDescent="0.2">
      <c r="A22" s="26">
        <v>20</v>
      </c>
      <c r="B22" s="26">
        <f t="shared" si="1"/>
        <v>2037</v>
      </c>
      <c r="C22" s="26">
        <f t="shared" si="0"/>
        <v>0.2584190028138687</v>
      </c>
    </row>
    <row r="23" spans="1:3" x14ac:dyDescent="0.2">
      <c r="A23" s="26">
        <v>21</v>
      </c>
      <c r="B23" s="26">
        <f t="shared" si="1"/>
        <v>2038</v>
      </c>
      <c r="C23" s="26">
        <f t="shared" si="0"/>
        <v>0.24151308674193336</v>
      </c>
    </row>
    <row r="24" spans="1:3" x14ac:dyDescent="0.2">
      <c r="A24" s="26">
        <v>22</v>
      </c>
      <c r="B24" s="26">
        <f t="shared" si="1"/>
        <v>2039</v>
      </c>
      <c r="C24" s="26">
        <f t="shared" si="0"/>
        <v>0.22571316517937698</v>
      </c>
    </row>
    <row r="25" spans="1:3" x14ac:dyDescent="0.2">
      <c r="A25" s="27">
        <v>23</v>
      </c>
      <c r="B25" s="27">
        <f t="shared" si="1"/>
        <v>2040</v>
      </c>
      <c r="C25" s="27">
        <f t="shared" si="0"/>
        <v>0.21094688334521211</v>
      </c>
    </row>
    <row r="26" spans="1:3" x14ac:dyDescent="0.2">
      <c r="A26" s="27">
        <v>24</v>
      </c>
      <c r="B26" s="27">
        <f t="shared" si="1"/>
        <v>2041</v>
      </c>
      <c r="C26" s="27">
        <f t="shared" si="0"/>
        <v>0.19714661994879637</v>
      </c>
    </row>
    <row r="27" spans="1:3" x14ac:dyDescent="0.2">
      <c r="A27" s="27">
        <v>25</v>
      </c>
      <c r="B27" s="27">
        <f t="shared" si="1"/>
        <v>2042</v>
      </c>
      <c r="C27" s="27">
        <f t="shared" si="0"/>
        <v>0.18424917752223957</v>
      </c>
    </row>
    <row r="28" spans="1:3" x14ac:dyDescent="0.2">
      <c r="A28" s="27">
        <v>26</v>
      </c>
      <c r="B28" s="27">
        <f t="shared" si="1"/>
        <v>2043</v>
      </c>
      <c r="C28" s="27">
        <f t="shared" si="0"/>
        <v>0.17219549301143888</v>
      </c>
    </row>
    <row r="29" spans="1:3" x14ac:dyDescent="0.2">
      <c r="A29" s="27">
        <v>26</v>
      </c>
      <c r="B29" s="27">
        <f t="shared" si="1"/>
        <v>2044</v>
      </c>
      <c r="C29" s="27">
        <f t="shared" ref="C29" si="2">1/(1+$C$30)^A29</f>
        <v>0.17219549301143888</v>
      </c>
    </row>
    <row r="30" spans="1:3" x14ac:dyDescent="0.2">
      <c r="A30" s="3"/>
      <c r="B30" s="125" t="s">
        <v>10</v>
      </c>
      <c r="C30" s="150">
        <f>0.07</f>
        <v>7.0000000000000007E-2</v>
      </c>
    </row>
  </sheetData>
  <mergeCells count="1">
    <mergeCell ref="A2:C2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I31"/>
  <sheetViews>
    <sheetView zoomScaleNormal="100" workbookViewId="0">
      <selection activeCell="H6" sqref="H6:H10"/>
    </sheetView>
  </sheetViews>
  <sheetFormatPr defaultRowHeight="12.75" x14ac:dyDescent="0.2"/>
  <cols>
    <col min="1" max="1" width="24.7109375" bestFit="1" customWidth="1"/>
    <col min="2" max="2" width="5.7109375" customWidth="1"/>
    <col min="3" max="3" width="15.7109375" customWidth="1"/>
    <col min="6" max="6" width="17.7109375" customWidth="1"/>
    <col min="7" max="7" width="12.28515625" bestFit="1" customWidth="1"/>
    <col min="8" max="8" width="17.28515625" bestFit="1" customWidth="1"/>
    <col min="10" max="10" width="27.5703125" bestFit="1" customWidth="1"/>
    <col min="11" max="11" width="25.28515625" customWidth="1"/>
    <col min="12" max="12" width="10.140625" bestFit="1" customWidth="1"/>
    <col min="13" max="13" width="17.28515625" bestFit="1" customWidth="1"/>
  </cols>
  <sheetData>
    <row r="2" spans="1:9" x14ac:dyDescent="0.2">
      <c r="A2" s="282" t="s">
        <v>153</v>
      </c>
      <c r="B2" s="282"/>
      <c r="C2" s="264">
        <v>18370700</v>
      </c>
      <c r="E2" s="281"/>
      <c r="F2" s="281"/>
      <c r="G2" s="176"/>
      <c r="H2" s="263"/>
      <c r="I2" s="262"/>
    </row>
    <row r="5" spans="1:9" ht="26.25" thickBot="1" x14ac:dyDescent="0.25">
      <c r="E5" s="113" t="s">
        <v>1</v>
      </c>
      <c r="F5" s="112" t="s">
        <v>155</v>
      </c>
      <c r="G5" s="112" t="s">
        <v>154</v>
      </c>
      <c r="H5" s="112" t="s">
        <v>156</v>
      </c>
    </row>
    <row r="6" spans="1:9" ht="13.5" thickTop="1" x14ac:dyDescent="0.2">
      <c r="E6" s="65">
        <v>2019</v>
      </c>
      <c r="F6" s="130">
        <v>0.05</v>
      </c>
      <c r="G6" s="131">
        <f>$C$2*F6</f>
        <v>918535</v>
      </c>
      <c r="H6" s="131">
        <f>ROUND(G6*NPV!C5,0)</f>
        <v>749798</v>
      </c>
    </row>
    <row r="7" spans="1:9" x14ac:dyDescent="0.2">
      <c r="E7" s="26">
        <f>E6+1</f>
        <v>2020</v>
      </c>
      <c r="F7" s="129">
        <v>0.1</v>
      </c>
      <c r="G7" s="132">
        <f t="shared" ref="G7:G26" si="0">$C$2*F7</f>
        <v>1837070</v>
      </c>
      <c r="H7" s="132">
        <f>ROUND(G7*NPV!C6,0)</f>
        <v>1401492</v>
      </c>
    </row>
    <row r="8" spans="1:9" x14ac:dyDescent="0.2">
      <c r="E8" s="26">
        <f t="shared" ref="E8:E30" si="1">E7+1</f>
        <v>2021</v>
      </c>
      <c r="F8" s="129">
        <v>0.35</v>
      </c>
      <c r="G8" s="132">
        <f t="shared" si="0"/>
        <v>6429745</v>
      </c>
      <c r="H8" s="132">
        <f>ROUND(G8*NPV!C7,0)</f>
        <v>4584319</v>
      </c>
    </row>
    <row r="9" spans="1:9" x14ac:dyDescent="0.2">
      <c r="E9" s="26">
        <f t="shared" si="1"/>
        <v>2022</v>
      </c>
      <c r="F9" s="129">
        <v>0.4</v>
      </c>
      <c r="G9" s="132">
        <f t="shared" si="0"/>
        <v>7348280</v>
      </c>
      <c r="H9" s="132">
        <f>ROUND(G9*NPV!C8,0)</f>
        <v>4896469</v>
      </c>
    </row>
    <row r="10" spans="1:9" x14ac:dyDescent="0.2">
      <c r="E10" s="26">
        <f t="shared" si="1"/>
        <v>2023</v>
      </c>
      <c r="F10" s="129">
        <v>0.1</v>
      </c>
      <c r="G10" s="132">
        <f t="shared" si="0"/>
        <v>1837070</v>
      </c>
      <c r="H10" s="132">
        <f>ROUND(G10*NPV!C9,0)</f>
        <v>1144035</v>
      </c>
    </row>
    <row r="11" spans="1:9" x14ac:dyDescent="0.2">
      <c r="E11" s="26">
        <f t="shared" si="1"/>
        <v>2024</v>
      </c>
      <c r="F11" s="129"/>
      <c r="G11" s="132">
        <f t="shared" si="0"/>
        <v>0</v>
      </c>
      <c r="H11" s="132">
        <f>ROUND(G11*NPV!C10,0)</f>
        <v>0</v>
      </c>
    </row>
    <row r="12" spans="1:9" x14ac:dyDescent="0.2">
      <c r="E12" s="26">
        <f t="shared" si="1"/>
        <v>2025</v>
      </c>
      <c r="F12" s="129"/>
      <c r="G12" s="132">
        <f t="shared" si="0"/>
        <v>0</v>
      </c>
      <c r="H12" s="132">
        <f>ROUND(G12*NPV!C11,0)</f>
        <v>0</v>
      </c>
    </row>
    <row r="13" spans="1:9" x14ac:dyDescent="0.2">
      <c r="E13" s="26">
        <f t="shared" si="1"/>
        <v>2026</v>
      </c>
      <c r="F13" s="129"/>
      <c r="G13" s="132">
        <f t="shared" si="0"/>
        <v>0</v>
      </c>
      <c r="H13" s="132">
        <f>ROUND(G13*NPV!C12,0)</f>
        <v>0</v>
      </c>
    </row>
    <row r="14" spans="1:9" x14ac:dyDescent="0.2">
      <c r="E14" s="26">
        <f t="shared" si="1"/>
        <v>2027</v>
      </c>
      <c r="F14" s="129"/>
      <c r="G14" s="132">
        <f t="shared" si="0"/>
        <v>0</v>
      </c>
      <c r="H14" s="132">
        <f>ROUND(G14*NPV!C13,0)</f>
        <v>0</v>
      </c>
    </row>
    <row r="15" spans="1:9" x14ac:dyDescent="0.2">
      <c r="E15" s="26">
        <f t="shared" si="1"/>
        <v>2028</v>
      </c>
      <c r="F15" s="129"/>
      <c r="G15" s="132">
        <f t="shared" si="0"/>
        <v>0</v>
      </c>
      <c r="H15" s="132">
        <f>ROUND(G15*NPV!C14,0)</f>
        <v>0</v>
      </c>
    </row>
    <row r="16" spans="1:9" x14ac:dyDescent="0.2">
      <c r="E16" s="26">
        <f t="shared" si="1"/>
        <v>2029</v>
      </c>
      <c r="F16" s="129"/>
      <c r="G16" s="132">
        <f t="shared" si="0"/>
        <v>0</v>
      </c>
      <c r="H16" s="132">
        <f>ROUND(G16*NPV!C15,0)</f>
        <v>0</v>
      </c>
    </row>
    <row r="17" spans="5:8" x14ac:dyDescent="0.2">
      <c r="E17" s="26">
        <f t="shared" si="1"/>
        <v>2030</v>
      </c>
      <c r="F17" s="129"/>
      <c r="G17" s="132">
        <f t="shared" si="0"/>
        <v>0</v>
      </c>
      <c r="H17" s="132">
        <f>ROUND(G17*NPV!C16,0)</f>
        <v>0</v>
      </c>
    </row>
    <row r="18" spans="5:8" x14ac:dyDescent="0.2">
      <c r="E18" s="26">
        <f t="shared" si="1"/>
        <v>2031</v>
      </c>
      <c r="F18" s="129"/>
      <c r="G18" s="132">
        <f t="shared" si="0"/>
        <v>0</v>
      </c>
      <c r="H18" s="132">
        <f>ROUND(G18*NPV!C17,0)</f>
        <v>0</v>
      </c>
    </row>
    <row r="19" spans="5:8" x14ac:dyDescent="0.2">
      <c r="E19" s="26">
        <f t="shared" si="1"/>
        <v>2032</v>
      </c>
      <c r="F19" s="129"/>
      <c r="G19" s="132">
        <f t="shared" si="0"/>
        <v>0</v>
      </c>
      <c r="H19" s="132">
        <f>ROUND(G19*NPV!C18,0)</f>
        <v>0</v>
      </c>
    </row>
    <row r="20" spans="5:8" x14ac:dyDescent="0.2">
      <c r="E20" s="26">
        <f t="shared" si="1"/>
        <v>2033</v>
      </c>
      <c r="F20" s="129"/>
      <c r="G20" s="132">
        <f t="shared" si="0"/>
        <v>0</v>
      </c>
      <c r="H20" s="132">
        <f>ROUND(G20*NPV!C19,0)</f>
        <v>0</v>
      </c>
    </row>
    <row r="21" spans="5:8" x14ac:dyDescent="0.2">
      <c r="E21" s="26">
        <f t="shared" si="1"/>
        <v>2034</v>
      </c>
      <c r="F21" s="129"/>
      <c r="G21" s="132">
        <f t="shared" si="0"/>
        <v>0</v>
      </c>
      <c r="H21" s="132">
        <f>ROUND(G21*NPV!C20,0)</f>
        <v>0</v>
      </c>
    </row>
    <row r="22" spans="5:8" x14ac:dyDescent="0.2">
      <c r="E22" s="26">
        <f t="shared" si="1"/>
        <v>2035</v>
      </c>
      <c r="F22" s="129"/>
      <c r="G22" s="132">
        <f t="shared" si="0"/>
        <v>0</v>
      </c>
      <c r="H22" s="132">
        <f>ROUND(G22*NPV!C21,0)</f>
        <v>0</v>
      </c>
    </row>
    <row r="23" spans="5:8" x14ac:dyDescent="0.2">
      <c r="E23" s="26">
        <f t="shared" si="1"/>
        <v>2036</v>
      </c>
      <c r="F23" s="129"/>
      <c r="G23" s="132">
        <f t="shared" si="0"/>
        <v>0</v>
      </c>
      <c r="H23" s="132">
        <f>ROUND(G23*NPV!C22,0)</f>
        <v>0</v>
      </c>
    </row>
    <row r="24" spans="5:8" x14ac:dyDescent="0.2">
      <c r="E24" s="26">
        <f t="shared" si="1"/>
        <v>2037</v>
      </c>
      <c r="F24" s="129"/>
      <c r="G24" s="132">
        <f t="shared" si="0"/>
        <v>0</v>
      </c>
      <c r="H24" s="132">
        <f>ROUND(G24*NPV!C23,0)</f>
        <v>0</v>
      </c>
    </row>
    <row r="25" spans="5:8" x14ac:dyDescent="0.2">
      <c r="E25" s="26">
        <f t="shared" si="1"/>
        <v>2038</v>
      </c>
      <c r="F25" s="129"/>
      <c r="G25" s="132">
        <f t="shared" si="0"/>
        <v>0</v>
      </c>
      <c r="H25" s="132">
        <f>ROUND(G25*NPV!C24,0)</f>
        <v>0</v>
      </c>
    </row>
    <row r="26" spans="5:8" x14ac:dyDescent="0.2">
      <c r="E26" s="27">
        <f t="shared" si="1"/>
        <v>2039</v>
      </c>
      <c r="F26" s="28"/>
      <c r="G26" s="133">
        <f t="shared" si="0"/>
        <v>0</v>
      </c>
      <c r="H26" s="133">
        <f>ROUND(G26*NPV!C25,0)</f>
        <v>0</v>
      </c>
    </row>
    <row r="27" spans="5:8" x14ac:dyDescent="0.2">
      <c r="E27" s="27">
        <f t="shared" si="1"/>
        <v>2040</v>
      </c>
      <c r="F27" s="28"/>
      <c r="G27" s="133">
        <f t="shared" ref="G27:G30" si="2">$C$2*F27</f>
        <v>0</v>
      </c>
      <c r="H27" s="133">
        <f>ROUND(G27*NPV!C26,0)</f>
        <v>0</v>
      </c>
    </row>
    <row r="28" spans="5:8" x14ac:dyDescent="0.2">
      <c r="E28" s="27">
        <f t="shared" si="1"/>
        <v>2041</v>
      </c>
      <c r="F28" s="28"/>
      <c r="G28" s="133">
        <f t="shared" si="2"/>
        <v>0</v>
      </c>
      <c r="H28" s="133">
        <f>ROUND(G28*NPV!C27,0)</f>
        <v>0</v>
      </c>
    </row>
    <row r="29" spans="5:8" x14ac:dyDescent="0.2">
      <c r="E29" s="27">
        <f t="shared" si="1"/>
        <v>2042</v>
      </c>
      <c r="F29" s="28"/>
      <c r="G29" s="133">
        <f t="shared" si="2"/>
        <v>0</v>
      </c>
      <c r="H29" s="133">
        <f>ROUND(G29*NPV!C28,0)</f>
        <v>0</v>
      </c>
    </row>
    <row r="30" spans="5:8" x14ac:dyDescent="0.2">
      <c r="E30" s="27">
        <f t="shared" si="1"/>
        <v>2043</v>
      </c>
      <c r="F30" s="28"/>
      <c r="G30" s="133">
        <f t="shared" si="2"/>
        <v>0</v>
      </c>
      <c r="H30" s="133">
        <f>ROUND(G30*NPV!C30,0)</f>
        <v>0</v>
      </c>
    </row>
    <row r="31" spans="5:8" x14ac:dyDescent="0.2">
      <c r="E31" s="111" t="s">
        <v>0</v>
      </c>
      <c r="F31" s="128">
        <f>SUM(F6:F26)</f>
        <v>1</v>
      </c>
      <c r="G31" s="134">
        <f>SUM(G6:G26)</f>
        <v>18370700</v>
      </c>
      <c r="H31" s="134">
        <f>SUM(H6:H26)</f>
        <v>12776113</v>
      </c>
    </row>
  </sheetData>
  <mergeCells count="2">
    <mergeCell ref="E2:F2"/>
    <mergeCell ref="A2:B2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J88"/>
  <sheetViews>
    <sheetView topLeftCell="A41" zoomScale="70" zoomScaleNormal="70" workbookViewId="0">
      <selection activeCell="AA88" sqref="AA88"/>
    </sheetView>
  </sheetViews>
  <sheetFormatPr defaultRowHeight="12.75" x14ac:dyDescent="0.2"/>
  <cols>
    <col min="1" max="1" width="19.7109375" customWidth="1"/>
    <col min="2" max="2" width="18.28515625" customWidth="1"/>
    <col min="3" max="3" width="9.7109375" customWidth="1"/>
    <col min="4" max="4" width="11.42578125" customWidth="1"/>
    <col min="5" max="13" width="9.7109375" customWidth="1"/>
    <col min="14" max="14" width="16.85546875" bestFit="1" customWidth="1"/>
    <col min="15" max="15" width="7.140625" customWidth="1"/>
    <col min="16" max="16" width="11.5703125" customWidth="1"/>
    <col min="17" max="25" width="9.7109375" customWidth="1"/>
    <col min="26" max="26" width="12.85546875" bestFit="1" customWidth="1"/>
    <col min="27" max="28" width="15.7109375" customWidth="1"/>
  </cols>
  <sheetData>
    <row r="1" spans="1:36" x14ac:dyDescent="0.2">
      <c r="A1" s="159" t="s">
        <v>190</v>
      </c>
      <c r="B1" s="159"/>
      <c r="M1" s="159" t="s">
        <v>191</v>
      </c>
      <c r="N1" s="159"/>
      <c r="O1" s="159"/>
      <c r="P1" s="159"/>
      <c r="Q1" s="159"/>
      <c r="AA1" s="159" t="s">
        <v>192</v>
      </c>
      <c r="AB1" s="159"/>
      <c r="AC1" s="159"/>
    </row>
    <row r="2" spans="1:36" x14ac:dyDescent="0.2">
      <c r="A2" s="283" t="s">
        <v>26</v>
      </c>
      <c r="B2" s="283"/>
      <c r="C2" s="283"/>
      <c r="D2" s="283"/>
      <c r="E2" s="283"/>
      <c r="F2" s="283"/>
      <c r="G2" s="283"/>
      <c r="H2" s="283"/>
      <c r="I2" s="283"/>
      <c r="J2" s="283"/>
      <c r="M2" s="283" t="s">
        <v>26</v>
      </c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AA2" s="283" t="s">
        <v>26</v>
      </c>
      <c r="AB2" s="283"/>
      <c r="AC2" s="283"/>
      <c r="AD2" s="283"/>
      <c r="AE2" s="283"/>
      <c r="AF2" s="283"/>
      <c r="AG2" s="283"/>
      <c r="AH2" s="283"/>
      <c r="AI2" s="283"/>
      <c r="AJ2" s="283"/>
    </row>
    <row r="3" spans="1:36" ht="25.5" x14ac:dyDescent="0.2">
      <c r="A3" s="287"/>
      <c r="B3" s="287"/>
      <c r="C3" s="72" t="s">
        <v>71</v>
      </c>
      <c r="D3" s="73">
        <v>2013</v>
      </c>
      <c r="E3" s="72">
        <v>2014</v>
      </c>
      <c r="F3" s="72">
        <v>2015</v>
      </c>
      <c r="G3" s="72">
        <v>2016</v>
      </c>
      <c r="H3" s="72" t="s">
        <v>72</v>
      </c>
      <c r="I3" s="286" t="s">
        <v>43</v>
      </c>
      <c r="J3" s="286"/>
      <c r="M3" s="287"/>
      <c r="N3" s="287"/>
      <c r="O3" s="199"/>
      <c r="P3" s="199"/>
      <c r="Q3" s="72" t="s">
        <v>71</v>
      </c>
      <c r="R3" s="73">
        <v>2013</v>
      </c>
      <c r="S3" s="72">
        <v>2014</v>
      </c>
      <c r="T3" s="72">
        <v>2015</v>
      </c>
      <c r="U3" s="72">
        <v>2016</v>
      </c>
      <c r="V3" s="72" t="s">
        <v>72</v>
      </c>
      <c r="W3" s="286" t="s">
        <v>43</v>
      </c>
      <c r="X3" s="286"/>
      <c r="AA3" s="287"/>
      <c r="AB3" s="287"/>
      <c r="AC3" s="72" t="s">
        <v>71</v>
      </c>
      <c r="AD3" s="73">
        <v>2013</v>
      </c>
      <c r="AE3" s="72">
        <v>2014</v>
      </c>
      <c r="AF3" s="72">
        <v>2015</v>
      </c>
      <c r="AG3" s="72">
        <v>2016</v>
      </c>
      <c r="AH3" s="72" t="s">
        <v>72</v>
      </c>
      <c r="AI3" s="286" t="s">
        <v>43</v>
      </c>
      <c r="AJ3" s="286"/>
    </row>
    <row r="4" spans="1:36" x14ac:dyDescent="0.2">
      <c r="A4" s="288" t="s">
        <v>11</v>
      </c>
      <c r="B4" s="74" t="s">
        <v>23</v>
      </c>
      <c r="C4" s="75">
        <f t="shared" ref="C4:H4" si="0">SUM(Q4,AC4)</f>
        <v>0</v>
      </c>
      <c r="D4" s="75">
        <f t="shared" si="0"/>
        <v>0</v>
      </c>
      <c r="E4" s="75">
        <f t="shared" si="0"/>
        <v>0</v>
      </c>
      <c r="F4" s="75">
        <f t="shared" si="0"/>
        <v>0</v>
      </c>
      <c r="G4" s="75">
        <f t="shared" si="0"/>
        <v>0</v>
      </c>
      <c r="H4" s="75">
        <f t="shared" si="0"/>
        <v>1</v>
      </c>
      <c r="I4" s="76">
        <f>SUM(C4:H4)</f>
        <v>1</v>
      </c>
      <c r="J4" s="77">
        <f>I4/$I$14</f>
        <v>3.90625E-3</v>
      </c>
      <c r="L4">
        <v>5</v>
      </c>
      <c r="M4" s="288" t="s">
        <v>11</v>
      </c>
      <c r="N4" s="74" t="s">
        <v>23</v>
      </c>
      <c r="O4" s="74"/>
      <c r="P4" s="74"/>
      <c r="Q4" s="75">
        <v>0</v>
      </c>
      <c r="R4" s="75">
        <v>0</v>
      </c>
      <c r="S4" s="75">
        <v>0</v>
      </c>
      <c r="T4" s="75">
        <v>0</v>
      </c>
      <c r="U4" s="75">
        <v>0</v>
      </c>
      <c r="V4" s="75">
        <v>1</v>
      </c>
      <c r="W4" s="76">
        <f>SUM(Q4:V4)</f>
        <v>1</v>
      </c>
      <c r="X4" s="77">
        <f>W4/$I$14</f>
        <v>3.90625E-3</v>
      </c>
      <c r="AA4" s="288" t="s">
        <v>11</v>
      </c>
      <c r="AB4" s="74" t="s">
        <v>23</v>
      </c>
      <c r="AC4" s="75">
        <v>0</v>
      </c>
      <c r="AD4" s="75">
        <v>0</v>
      </c>
      <c r="AE4" s="75">
        <v>0</v>
      </c>
      <c r="AF4" s="75">
        <v>0</v>
      </c>
      <c r="AG4" s="75">
        <v>0</v>
      </c>
      <c r="AH4" s="75">
        <v>0</v>
      </c>
      <c r="AI4" s="76">
        <f>SUM(AC4:AH4)</f>
        <v>0</v>
      </c>
      <c r="AJ4" s="77">
        <f>AI4/$I$14</f>
        <v>0</v>
      </c>
    </row>
    <row r="5" spans="1:36" x14ac:dyDescent="0.2">
      <c r="A5" s="288"/>
      <c r="B5" s="17" t="s">
        <v>24</v>
      </c>
      <c r="C5" s="75">
        <f t="shared" ref="C5:C13" si="1">SUM(Q5,AC5)</f>
        <v>0</v>
      </c>
      <c r="D5" s="75">
        <f t="shared" ref="D5:D13" si="2">SUM(R5,AD5)</f>
        <v>0</v>
      </c>
      <c r="E5" s="75">
        <f t="shared" ref="E5:E13" si="3">SUM(S5,AE5)</f>
        <v>0</v>
      </c>
      <c r="F5" s="75">
        <f t="shared" ref="F5:F13" si="4">SUM(T5,AF5)</f>
        <v>0</v>
      </c>
      <c r="G5" s="75">
        <f t="shared" ref="G5:G13" si="5">SUM(U5,AG5)</f>
        <v>0</v>
      </c>
      <c r="H5" s="75">
        <f t="shared" ref="H5:H13" si="6">SUM(V5,AH5)</f>
        <v>1</v>
      </c>
      <c r="I5" s="27"/>
      <c r="J5" s="28"/>
      <c r="M5" s="288"/>
      <c r="N5" s="17" t="s">
        <v>24</v>
      </c>
      <c r="O5" s="17"/>
      <c r="P5" s="17"/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1</v>
      </c>
      <c r="W5" s="27"/>
      <c r="X5" s="28"/>
      <c r="AA5" s="288"/>
      <c r="AB5" s="17" t="s">
        <v>24</v>
      </c>
      <c r="AC5" s="18">
        <v>0</v>
      </c>
      <c r="AD5" s="18">
        <v>0</v>
      </c>
      <c r="AE5" s="18">
        <v>0</v>
      </c>
      <c r="AF5" s="18">
        <v>0</v>
      </c>
      <c r="AG5" s="18">
        <v>0</v>
      </c>
      <c r="AH5" s="18">
        <v>0</v>
      </c>
      <c r="AI5" s="27"/>
      <c r="AJ5" s="28"/>
    </row>
    <row r="6" spans="1:36" x14ac:dyDescent="0.2">
      <c r="A6" s="288" t="s">
        <v>19</v>
      </c>
      <c r="B6" s="74" t="s">
        <v>23</v>
      </c>
      <c r="C6" s="75">
        <f t="shared" si="1"/>
        <v>1</v>
      </c>
      <c r="D6" s="75">
        <f t="shared" si="2"/>
        <v>2</v>
      </c>
      <c r="E6" s="75">
        <f t="shared" si="3"/>
        <v>0</v>
      </c>
      <c r="F6" s="75">
        <f t="shared" si="4"/>
        <v>0</v>
      </c>
      <c r="G6" s="75">
        <f t="shared" si="5"/>
        <v>0</v>
      </c>
      <c r="H6" s="75">
        <f t="shared" si="6"/>
        <v>0</v>
      </c>
      <c r="I6" s="76">
        <f>SUM(C6:H6)</f>
        <v>3</v>
      </c>
      <c r="J6" s="77">
        <f>I6/$I$14</f>
        <v>1.171875E-2</v>
      </c>
      <c r="L6">
        <v>4</v>
      </c>
      <c r="M6" s="288" t="s">
        <v>19</v>
      </c>
      <c r="N6" s="74" t="s">
        <v>23</v>
      </c>
      <c r="O6" s="74"/>
      <c r="P6" s="74"/>
      <c r="Q6" s="75">
        <v>1</v>
      </c>
      <c r="R6" s="75">
        <v>2</v>
      </c>
      <c r="S6" s="75">
        <v>0</v>
      </c>
      <c r="T6" s="75">
        <v>0</v>
      </c>
      <c r="U6" s="75">
        <v>0</v>
      </c>
      <c r="V6" s="75">
        <v>0</v>
      </c>
      <c r="W6" s="76">
        <f>SUM(Q6:V6)</f>
        <v>3</v>
      </c>
      <c r="X6" s="77">
        <f>W6/$I$14</f>
        <v>1.171875E-2</v>
      </c>
      <c r="AA6" s="288" t="s">
        <v>19</v>
      </c>
      <c r="AB6" s="74" t="s">
        <v>23</v>
      </c>
      <c r="AC6" s="75">
        <v>0</v>
      </c>
      <c r="AD6" s="75">
        <v>0</v>
      </c>
      <c r="AE6" s="75">
        <v>0</v>
      </c>
      <c r="AF6" s="75">
        <v>0</v>
      </c>
      <c r="AG6" s="75">
        <v>0</v>
      </c>
      <c r="AH6" s="75">
        <v>0</v>
      </c>
      <c r="AI6" s="76">
        <f>SUM(AC6:AH6)</f>
        <v>0</v>
      </c>
      <c r="AJ6" s="77">
        <f>AI6/$I$14</f>
        <v>0</v>
      </c>
    </row>
    <row r="7" spans="1:36" x14ac:dyDescent="0.2">
      <c r="A7" s="288"/>
      <c r="B7" s="17" t="s">
        <v>24</v>
      </c>
      <c r="C7" s="75">
        <f t="shared" si="1"/>
        <v>1</v>
      </c>
      <c r="D7" s="75">
        <f t="shared" si="2"/>
        <v>3</v>
      </c>
      <c r="E7" s="75">
        <f t="shared" si="3"/>
        <v>0</v>
      </c>
      <c r="F7" s="75">
        <f t="shared" si="4"/>
        <v>0</v>
      </c>
      <c r="G7" s="75">
        <f t="shared" si="5"/>
        <v>0</v>
      </c>
      <c r="H7" s="75">
        <f t="shared" si="6"/>
        <v>0</v>
      </c>
      <c r="I7" s="27"/>
      <c r="J7" s="28"/>
      <c r="M7" s="288"/>
      <c r="N7" s="17" t="s">
        <v>24</v>
      </c>
      <c r="O7" s="17"/>
      <c r="P7" s="17"/>
      <c r="Q7" s="18">
        <v>1</v>
      </c>
      <c r="R7" s="18">
        <v>3</v>
      </c>
      <c r="S7" s="18">
        <v>0</v>
      </c>
      <c r="T7" s="18">
        <v>0</v>
      </c>
      <c r="U7" s="18">
        <v>0</v>
      </c>
      <c r="V7" s="18">
        <v>0</v>
      </c>
      <c r="W7" s="27"/>
      <c r="X7" s="28"/>
      <c r="AA7" s="288"/>
      <c r="AB7" s="17" t="s">
        <v>24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27"/>
      <c r="AJ7" s="28"/>
    </row>
    <row r="8" spans="1:36" x14ac:dyDescent="0.2">
      <c r="A8" s="288" t="s">
        <v>20</v>
      </c>
      <c r="B8" s="74" t="s">
        <v>23</v>
      </c>
      <c r="C8" s="75">
        <f t="shared" si="1"/>
        <v>6</v>
      </c>
      <c r="D8" s="75">
        <f t="shared" si="2"/>
        <v>3</v>
      </c>
      <c r="E8" s="75">
        <f t="shared" si="3"/>
        <v>4</v>
      </c>
      <c r="F8" s="75">
        <f t="shared" si="4"/>
        <v>4</v>
      </c>
      <c r="G8" s="75">
        <f t="shared" si="5"/>
        <v>3</v>
      </c>
      <c r="H8" s="75">
        <f t="shared" si="6"/>
        <v>4</v>
      </c>
      <c r="I8" s="76">
        <f>SUM(C8:H8)</f>
        <v>24</v>
      </c>
      <c r="J8" s="77">
        <f>I8/$I$14</f>
        <v>9.375E-2</v>
      </c>
      <c r="L8">
        <v>3</v>
      </c>
      <c r="M8" s="288" t="s">
        <v>20</v>
      </c>
      <c r="N8" s="74" t="s">
        <v>23</v>
      </c>
      <c r="O8" s="74"/>
      <c r="P8" s="74"/>
      <c r="Q8" s="75">
        <v>5</v>
      </c>
      <c r="R8" s="75">
        <v>1</v>
      </c>
      <c r="S8" s="75">
        <v>4</v>
      </c>
      <c r="T8" s="75">
        <v>3</v>
      </c>
      <c r="U8" s="75">
        <v>3</v>
      </c>
      <c r="V8" s="75">
        <v>3</v>
      </c>
      <c r="W8" s="76">
        <f>SUM(Q8:V8)</f>
        <v>19</v>
      </c>
      <c r="X8" s="77">
        <f>W8/$I$14</f>
        <v>7.421875E-2</v>
      </c>
      <c r="AA8" s="288" t="s">
        <v>20</v>
      </c>
      <c r="AB8" s="74" t="s">
        <v>23</v>
      </c>
      <c r="AC8" s="75">
        <v>1</v>
      </c>
      <c r="AD8" s="75">
        <v>2</v>
      </c>
      <c r="AE8" s="75">
        <v>0</v>
      </c>
      <c r="AF8" s="75">
        <v>1</v>
      </c>
      <c r="AG8" s="75">
        <v>0</v>
      </c>
      <c r="AH8" s="75">
        <v>1</v>
      </c>
      <c r="AI8" s="76">
        <f>SUM(AC8:AH8)</f>
        <v>5</v>
      </c>
      <c r="AJ8" s="77">
        <f>AI8/$I$14</f>
        <v>1.953125E-2</v>
      </c>
    </row>
    <row r="9" spans="1:36" x14ac:dyDescent="0.2">
      <c r="A9" s="288"/>
      <c r="B9" s="17" t="s">
        <v>24</v>
      </c>
      <c r="C9" s="75">
        <f t="shared" si="1"/>
        <v>8</v>
      </c>
      <c r="D9" s="75">
        <f t="shared" si="2"/>
        <v>4</v>
      </c>
      <c r="E9" s="75">
        <f t="shared" si="3"/>
        <v>4</v>
      </c>
      <c r="F9" s="75">
        <f t="shared" si="4"/>
        <v>5</v>
      </c>
      <c r="G9" s="75">
        <f t="shared" si="5"/>
        <v>3</v>
      </c>
      <c r="H9" s="75">
        <f t="shared" si="6"/>
        <v>5</v>
      </c>
      <c r="I9" s="27"/>
      <c r="J9" s="28"/>
      <c r="M9" s="288"/>
      <c r="N9" s="17" t="s">
        <v>24</v>
      </c>
      <c r="O9" s="17"/>
      <c r="P9" s="17"/>
      <c r="Q9" s="18">
        <v>6</v>
      </c>
      <c r="R9" s="18">
        <v>1</v>
      </c>
      <c r="S9" s="18">
        <v>4</v>
      </c>
      <c r="T9" s="18">
        <v>3</v>
      </c>
      <c r="U9" s="18">
        <v>3</v>
      </c>
      <c r="V9" s="18">
        <v>4</v>
      </c>
      <c r="W9" s="27"/>
      <c r="X9" s="28"/>
      <c r="AA9" s="288"/>
      <c r="AB9" s="17" t="s">
        <v>24</v>
      </c>
      <c r="AC9" s="18">
        <v>2</v>
      </c>
      <c r="AD9" s="18">
        <v>3</v>
      </c>
      <c r="AE9" s="18">
        <v>0</v>
      </c>
      <c r="AF9" s="18">
        <v>2</v>
      </c>
      <c r="AG9" s="18">
        <v>0</v>
      </c>
      <c r="AH9" s="18">
        <v>1</v>
      </c>
      <c r="AI9" s="27"/>
      <c r="AJ9" s="28"/>
    </row>
    <row r="10" spans="1:36" x14ac:dyDescent="0.2">
      <c r="A10" s="288" t="s">
        <v>21</v>
      </c>
      <c r="B10" s="74" t="s">
        <v>23</v>
      </c>
      <c r="C10" s="75">
        <f t="shared" si="1"/>
        <v>5</v>
      </c>
      <c r="D10" s="75">
        <f t="shared" si="2"/>
        <v>7</v>
      </c>
      <c r="E10" s="75">
        <f t="shared" si="3"/>
        <v>9</v>
      </c>
      <c r="F10" s="75">
        <f t="shared" si="4"/>
        <v>22</v>
      </c>
      <c r="G10" s="75">
        <f t="shared" si="5"/>
        <v>13</v>
      </c>
      <c r="H10" s="75">
        <f t="shared" si="6"/>
        <v>6</v>
      </c>
      <c r="I10" s="76">
        <f>SUM(C10:H10)</f>
        <v>62</v>
      </c>
      <c r="J10" s="77">
        <f>I10/$I$14</f>
        <v>0.2421875</v>
      </c>
      <c r="L10">
        <v>2</v>
      </c>
      <c r="M10" s="288" t="s">
        <v>21</v>
      </c>
      <c r="N10" s="74" t="s">
        <v>23</v>
      </c>
      <c r="O10" s="74"/>
      <c r="P10" s="74"/>
      <c r="Q10" s="75">
        <v>5</v>
      </c>
      <c r="R10" s="75">
        <v>7</v>
      </c>
      <c r="S10" s="75">
        <v>6</v>
      </c>
      <c r="T10" s="75">
        <v>18</v>
      </c>
      <c r="U10" s="75">
        <v>11</v>
      </c>
      <c r="V10" s="75">
        <v>4</v>
      </c>
      <c r="W10" s="76">
        <f>SUM(Q10:V10)</f>
        <v>51</v>
      </c>
      <c r="X10" s="77">
        <f>W10/$I$14</f>
        <v>0.19921875</v>
      </c>
      <c r="AA10" s="288" t="s">
        <v>21</v>
      </c>
      <c r="AB10" s="74" t="s">
        <v>23</v>
      </c>
      <c r="AC10" s="75">
        <v>0</v>
      </c>
      <c r="AD10" s="75">
        <v>0</v>
      </c>
      <c r="AE10" s="75">
        <v>3</v>
      </c>
      <c r="AF10" s="75">
        <v>4</v>
      </c>
      <c r="AG10" s="75">
        <v>2</v>
      </c>
      <c r="AH10" s="75">
        <v>2</v>
      </c>
      <c r="AI10" s="76">
        <f>SUM(AC10:AH10)</f>
        <v>11</v>
      </c>
      <c r="AJ10" s="77">
        <f>AI10/$I$14</f>
        <v>4.296875E-2</v>
      </c>
    </row>
    <row r="11" spans="1:36" x14ac:dyDescent="0.2">
      <c r="A11" s="288"/>
      <c r="B11" s="17" t="s">
        <v>24</v>
      </c>
      <c r="C11" s="75">
        <f t="shared" si="1"/>
        <v>0</v>
      </c>
      <c r="D11" s="75">
        <f t="shared" si="2"/>
        <v>0</v>
      </c>
      <c r="E11" s="75">
        <f t="shared" si="3"/>
        <v>0</v>
      </c>
      <c r="F11" s="75">
        <f t="shared" si="4"/>
        <v>0</v>
      </c>
      <c r="G11" s="75">
        <f t="shared" si="5"/>
        <v>0</v>
      </c>
      <c r="H11" s="75">
        <f t="shared" si="6"/>
        <v>0</v>
      </c>
      <c r="I11" s="27"/>
      <c r="J11" s="28"/>
      <c r="M11" s="288"/>
      <c r="N11" s="17" t="s">
        <v>24</v>
      </c>
      <c r="O11" s="17"/>
      <c r="P11" s="17"/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27"/>
      <c r="X11" s="28"/>
      <c r="AA11" s="288"/>
      <c r="AB11" s="17" t="s">
        <v>24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27"/>
      <c r="AJ11" s="28"/>
    </row>
    <row r="12" spans="1:36" x14ac:dyDescent="0.2">
      <c r="A12" s="288" t="s">
        <v>22</v>
      </c>
      <c r="B12" s="74" t="s">
        <v>23</v>
      </c>
      <c r="C12" s="75">
        <f t="shared" si="1"/>
        <v>14</v>
      </c>
      <c r="D12" s="75">
        <f t="shared" si="2"/>
        <v>39</v>
      </c>
      <c r="E12" s="75">
        <f t="shared" si="3"/>
        <v>39</v>
      </c>
      <c r="F12" s="75">
        <f t="shared" si="4"/>
        <v>33</v>
      </c>
      <c r="G12" s="75">
        <f t="shared" si="5"/>
        <v>24</v>
      </c>
      <c r="H12" s="75">
        <f t="shared" si="6"/>
        <v>17</v>
      </c>
      <c r="I12" s="76">
        <f>SUM(C12:H12)</f>
        <v>166</v>
      </c>
      <c r="J12" s="77">
        <f>I12/$I$14</f>
        <v>0.6484375</v>
      </c>
      <c r="L12">
        <v>1</v>
      </c>
      <c r="M12" s="288" t="s">
        <v>22</v>
      </c>
      <c r="N12" s="74" t="s">
        <v>23</v>
      </c>
      <c r="O12" s="74"/>
      <c r="P12" s="74"/>
      <c r="Q12" s="75">
        <v>13</v>
      </c>
      <c r="R12" s="75">
        <v>32</v>
      </c>
      <c r="S12" s="75">
        <v>32</v>
      </c>
      <c r="T12" s="75">
        <v>27</v>
      </c>
      <c r="U12" s="75">
        <v>16</v>
      </c>
      <c r="V12" s="75">
        <v>13</v>
      </c>
      <c r="W12" s="76">
        <f>SUM(Q12:V12)</f>
        <v>133</v>
      </c>
      <c r="X12" s="77">
        <f>W12/$I$14</f>
        <v>0.51953125</v>
      </c>
      <c r="AA12" s="288" t="s">
        <v>22</v>
      </c>
      <c r="AB12" s="74" t="s">
        <v>23</v>
      </c>
      <c r="AC12" s="75">
        <v>1</v>
      </c>
      <c r="AD12" s="75">
        <v>7</v>
      </c>
      <c r="AE12" s="75">
        <v>7</v>
      </c>
      <c r="AF12" s="75">
        <v>6</v>
      </c>
      <c r="AG12" s="75">
        <v>8</v>
      </c>
      <c r="AH12" s="75">
        <v>4</v>
      </c>
      <c r="AI12" s="76">
        <f>SUM(AC12:AH12)</f>
        <v>33</v>
      </c>
      <c r="AJ12" s="77">
        <f>AI12/$I$14</f>
        <v>0.12890625</v>
      </c>
    </row>
    <row r="13" spans="1:36" x14ac:dyDescent="0.2">
      <c r="A13" s="288"/>
      <c r="B13" s="17" t="s">
        <v>24</v>
      </c>
      <c r="C13" s="75">
        <f t="shared" si="1"/>
        <v>0</v>
      </c>
      <c r="D13" s="75">
        <f t="shared" si="2"/>
        <v>0</v>
      </c>
      <c r="E13" s="75">
        <f t="shared" si="3"/>
        <v>0</v>
      </c>
      <c r="F13" s="75">
        <f t="shared" si="4"/>
        <v>0</v>
      </c>
      <c r="G13" s="75">
        <f t="shared" si="5"/>
        <v>0</v>
      </c>
      <c r="H13" s="75">
        <f t="shared" si="6"/>
        <v>0</v>
      </c>
      <c r="I13" s="27"/>
      <c r="J13" s="28"/>
      <c r="M13" s="288"/>
      <c r="N13" s="17" t="s">
        <v>24</v>
      </c>
      <c r="O13" s="17"/>
      <c r="P13" s="17"/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27"/>
      <c r="X13" s="28"/>
      <c r="AA13" s="288"/>
      <c r="AB13" s="17" t="s">
        <v>24</v>
      </c>
      <c r="AC13" s="154">
        <v>0</v>
      </c>
      <c r="AD13" s="154">
        <v>0</v>
      </c>
      <c r="AE13" s="154">
        <v>0</v>
      </c>
      <c r="AF13" s="154">
        <v>0</v>
      </c>
      <c r="AG13" s="154">
        <v>0</v>
      </c>
      <c r="AH13" s="154">
        <v>0</v>
      </c>
      <c r="AI13" s="27"/>
      <c r="AJ13" s="28"/>
    </row>
    <row r="14" spans="1:36" x14ac:dyDescent="0.2">
      <c r="A14" s="288" t="s">
        <v>0</v>
      </c>
      <c r="B14" s="74" t="s">
        <v>23</v>
      </c>
      <c r="C14" s="75">
        <f t="shared" ref="C14:H15" si="7">SUM(C4,C6,C8,C10,C12)</f>
        <v>26</v>
      </c>
      <c r="D14" s="75">
        <f t="shared" si="7"/>
        <v>51</v>
      </c>
      <c r="E14" s="75">
        <f t="shared" si="7"/>
        <v>52</v>
      </c>
      <c r="F14" s="75">
        <f t="shared" si="7"/>
        <v>59</v>
      </c>
      <c r="G14" s="75">
        <f t="shared" si="7"/>
        <v>40</v>
      </c>
      <c r="H14" s="75">
        <f t="shared" si="7"/>
        <v>28</v>
      </c>
      <c r="I14" s="76">
        <f>SUM(C14:H14)</f>
        <v>256</v>
      </c>
      <c r="J14" s="77">
        <f>I14/$I$14</f>
        <v>1</v>
      </c>
      <c r="M14" s="288" t="s">
        <v>0</v>
      </c>
      <c r="N14" s="74" t="s">
        <v>23</v>
      </c>
      <c r="O14" s="74"/>
      <c r="P14" s="74"/>
      <c r="Q14" s="75">
        <f t="shared" ref="Q14:V14" si="8">SUM(Q4,Q6,Q8,Q10,Q12)</f>
        <v>24</v>
      </c>
      <c r="R14" s="75">
        <f t="shared" si="8"/>
        <v>42</v>
      </c>
      <c r="S14" s="75">
        <f t="shared" si="8"/>
        <v>42</v>
      </c>
      <c r="T14" s="75">
        <f t="shared" si="8"/>
        <v>48</v>
      </c>
      <c r="U14" s="75">
        <f t="shared" si="8"/>
        <v>30</v>
      </c>
      <c r="V14" s="75">
        <f t="shared" si="8"/>
        <v>21</v>
      </c>
      <c r="W14" s="76">
        <f>SUM(Q14:V14)</f>
        <v>207</v>
      </c>
      <c r="X14" s="77">
        <f>W14/$I$14</f>
        <v>0.80859375</v>
      </c>
      <c r="AA14" s="288" t="s">
        <v>0</v>
      </c>
      <c r="AB14" s="74" t="s">
        <v>23</v>
      </c>
      <c r="AC14" s="75">
        <f t="shared" ref="AC14:AH14" si="9">SUM(AC4,AC6,AC8,AC10,AC12)</f>
        <v>2</v>
      </c>
      <c r="AD14" s="75">
        <f t="shared" si="9"/>
        <v>9</v>
      </c>
      <c r="AE14" s="75">
        <f t="shared" si="9"/>
        <v>10</v>
      </c>
      <c r="AF14" s="75">
        <f t="shared" si="9"/>
        <v>11</v>
      </c>
      <c r="AG14" s="75">
        <f t="shared" si="9"/>
        <v>10</v>
      </c>
      <c r="AH14" s="75">
        <f t="shared" si="9"/>
        <v>7</v>
      </c>
      <c r="AI14" s="76">
        <f>SUM(AC14:AH14)</f>
        <v>49</v>
      </c>
      <c r="AJ14" s="77">
        <f>AI14/$I$14</f>
        <v>0.19140625</v>
      </c>
    </row>
    <row r="15" spans="1:36" x14ac:dyDescent="0.2">
      <c r="A15" s="289"/>
      <c r="B15" s="47" t="s">
        <v>24</v>
      </c>
      <c r="C15" s="48">
        <f t="shared" si="7"/>
        <v>9</v>
      </c>
      <c r="D15" s="48">
        <f t="shared" si="7"/>
        <v>7</v>
      </c>
      <c r="E15" s="48">
        <f t="shared" si="7"/>
        <v>4</v>
      </c>
      <c r="F15" s="48">
        <f t="shared" si="7"/>
        <v>5</v>
      </c>
      <c r="G15" s="48">
        <f t="shared" si="7"/>
        <v>3</v>
      </c>
      <c r="H15" s="48">
        <f t="shared" si="7"/>
        <v>6</v>
      </c>
      <c r="I15" s="27"/>
      <c r="J15" s="28"/>
      <c r="M15" s="289"/>
      <c r="N15" s="47" t="s">
        <v>24</v>
      </c>
      <c r="O15" s="47"/>
      <c r="P15" s="47"/>
      <c r="Q15" s="48">
        <f t="shared" ref="Q15:V15" si="10">SUM(Q5,Q7,Q9,Q11,Q13)</f>
        <v>7</v>
      </c>
      <c r="R15" s="48">
        <f t="shared" si="10"/>
        <v>4</v>
      </c>
      <c r="S15" s="48">
        <f t="shared" si="10"/>
        <v>4</v>
      </c>
      <c r="T15" s="48">
        <f t="shared" si="10"/>
        <v>3</v>
      </c>
      <c r="U15" s="48">
        <f t="shared" si="10"/>
        <v>3</v>
      </c>
      <c r="V15" s="48">
        <f t="shared" si="10"/>
        <v>5</v>
      </c>
      <c r="W15" s="27"/>
      <c r="X15" s="28"/>
      <c r="AA15" s="289"/>
      <c r="AB15" s="47" t="s">
        <v>24</v>
      </c>
      <c r="AC15" s="48">
        <f t="shared" ref="AC15:AH15" si="11">SUM(AC5,AC7,AC9,AC11,AC13)</f>
        <v>2</v>
      </c>
      <c r="AD15" s="48">
        <f t="shared" si="11"/>
        <v>3</v>
      </c>
      <c r="AE15" s="48">
        <f t="shared" si="11"/>
        <v>0</v>
      </c>
      <c r="AF15" s="48">
        <f t="shared" si="11"/>
        <v>2</v>
      </c>
      <c r="AG15" s="48">
        <f t="shared" si="11"/>
        <v>0</v>
      </c>
      <c r="AH15" s="48">
        <f t="shared" si="11"/>
        <v>1</v>
      </c>
      <c r="AI15" s="27"/>
      <c r="AJ15" s="28"/>
    </row>
    <row r="16" spans="1:36" x14ac:dyDescent="0.2">
      <c r="A16" s="285" t="s">
        <v>25</v>
      </c>
      <c r="B16" s="285"/>
      <c r="C16" s="285"/>
      <c r="D16" s="285"/>
      <c r="E16" s="285"/>
      <c r="F16" s="285"/>
      <c r="G16" s="285"/>
      <c r="H16" s="285"/>
      <c r="I16" s="285"/>
      <c r="J16" s="285"/>
      <c r="M16" s="285" t="s">
        <v>25</v>
      </c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AA16" s="285" t="s">
        <v>25</v>
      </c>
      <c r="AB16" s="285"/>
      <c r="AC16" s="285"/>
      <c r="AD16" s="285"/>
      <c r="AE16" s="285"/>
      <c r="AF16" s="285"/>
      <c r="AG16" s="285"/>
      <c r="AH16" s="285"/>
      <c r="AI16" s="285"/>
      <c r="AJ16" s="285"/>
    </row>
    <row r="17" spans="1:19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Q17" s="34"/>
      <c r="R17" s="34"/>
      <c r="S17" s="34"/>
    </row>
    <row r="18" spans="1:19" x14ac:dyDescent="0.2">
      <c r="A18" s="283" t="s">
        <v>39</v>
      </c>
      <c r="B18" s="283"/>
    </row>
    <row r="19" spans="1:19" x14ac:dyDescent="0.2">
      <c r="A19" s="38"/>
      <c r="B19" s="49" t="s">
        <v>28</v>
      </c>
    </row>
    <row r="20" spans="1:19" x14ac:dyDescent="0.2">
      <c r="A20" s="39" t="s">
        <v>40</v>
      </c>
      <c r="B20" s="54">
        <v>4327</v>
      </c>
    </row>
    <row r="21" spans="1:19" x14ac:dyDescent="0.2">
      <c r="A21" s="284" t="s">
        <v>29</v>
      </c>
      <c r="B21" s="284"/>
    </row>
    <row r="22" spans="1:19" x14ac:dyDescent="0.2">
      <c r="A22" s="40"/>
      <c r="B22" s="40"/>
    </row>
    <row r="23" spans="1:19" x14ac:dyDescent="0.2">
      <c r="A23" s="29" t="s">
        <v>27</v>
      </c>
      <c r="B23" s="29"/>
    </row>
    <row r="24" spans="1:19" x14ac:dyDescent="0.2">
      <c r="A24" s="31" t="s">
        <v>30</v>
      </c>
      <c r="B24" s="31" t="s">
        <v>31</v>
      </c>
    </row>
    <row r="25" spans="1:19" x14ac:dyDescent="0.2">
      <c r="A25" s="32" t="s">
        <v>32</v>
      </c>
      <c r="B25" s="51">
        <v>3200</v>
      </c>
    </row>
    <row r="26" spans="1:19" x14ac:dyDescent="0.2">
      <c r="A26" s="33" t="s">
        <v>33</v>
      </c>
      <c r="B26" s="52">
        <v>63900</v>
      </c>
    </row>
    <row r="27" spans="1:19" x14ac:dyDescent="0.2">
      <c r="A27" s="33" t="s">
        <v>34</v>
      </c>
      <c r="B27" s="52">
        <v>125000</v>
      </c>
    </row>
    <row r="28" spans="1:19" x14ac:dyDescent="0.2">
      <c r="A28" s="33" t="s">
        <v>35</v>
      </c>
      <c r="B28" s="52">
        <v>459100</v>
      </c>
    </row>
    <row r="29" spans="1:19" x14ac:dyDescent="0.2">
      <c r="A29" s="33" t="s">
        <v>36</v>
      </c>
      <c r="B29" s="52">
        <v>9600000</v>
      </c>
    </row>
    <row r="30" spans="1:19" ht="25.5" x14ac:dyDescent="0.2">
      <c r="A30" s="36" t="s">
        <v>37</v>
      </c>
      <c r="B30" s="224">
        <v>174000</v>
      </c>
    </row>
    <row r="31" spans="1:19" ht="38.25" x14ac:dyDescent="0.2">
      <c r="A31" s="37" t="s">
        <v>38</v>
      </c>
      <c r="B31" s="225">
        <v>132200</v>
      </c>
    </row>
    <row r="32" spans="1:19" x14ac:dyDescent="0.2">
      <c r="A32" s="284" t="s">
        <v>29</v>
      </c>
      <c r="B32" s="284"/>
    </row>
    <row r="33" spans="1:3" x14ac:dyDescent="0.2">
      <c r="A33" s="40"/>
      <c r="B33" s="40"/>
    </row>
    <row r="34" spans="1:3" x14ac:dyDescent="0.2">
      <c r="A34" s="295" t="s">
        <v>45</v>
      </c>
      <c r="B34" s="295"/>
    </row>
    <row r="35" spans="1:3" x14ac:dyDescent="0.2">
      <c r="A35" s="42" t="s">
        <v>46</v>
      </c>
      <c r="B35" s="42" t="s">
        <v>49</v>
      </c>
    </row>
    <row r="36" spans="1:3" x14ac:dyDescent="0.2">
      <c r="A36" s="43" t="s">
        <v>47</v>
      </c>
      <c r="B36" s="82">
        <v>1.39</v>
      </c>
    </row>
    <row r="37" spans="1:3" x14ac:dyDescent="0.2">
      <c r="A37" s="44" t="s">
        <v>48</v>
      </c>
      <c r="B37" s="226">
        <v>1</v>
      </c>
    </row>
    <row r="38" spans="1:3" x14ac:dyDescent="0.2">
      <c r="A38" s="284" t="s">
        <v>29</v>
      </c>
      <c r="B38" s="284"/>
    </row>
    <row r="39" spans="1:3" x14ac:dyDescent="0.2">
      <c r="A39" s="41"/>
      <c r="B39" s="41"/>
    </row>
    <row r="40" spans="1:3" x14ac:dyDescent="0.2">
      <c r="A40" s="295" t="s">
        <v>52</v>
      </c>
      <c r="B40" s="295"/>
    </row>
    <row r="41" spans="1:3" x14ac:dyDescent="0.2">
      <c r="A41" s="46" t="s">
        <v>53</v>
      </c>
      <c r="B41" s="50">
        <f>772/397</f>
        <v>1.9445843828715366</v>
      </c>
    </row>
    <row r="42" spans="1:3" x14ac:dyDescent="0.2">
      <c r="A42" s="292" t="s">
        <v>25</v>
      </c>
      <c r="B42" s="292"/>
    </row>
    <row r="43" spans="1:3" x14ac:dyDescent="0.2">
      <c r="A43" s="45"/>
      <c r="B43" s="45"/>
    </row>
    <row r="44" spans="1:3" x14ac:dyDescent="0.2">
      <c r="A44" s="295" t="s">
        <v>54</v>
      </c>
      <c r="B44" s="295"/>
    </row>
    <row r="45" spans="1:3" x14ac:dyDescent="0.2">
      <c r="A45" s="53" t="s">
        <v>41</v>
      </c>
      <c r="B45" s="81">
        <f>AVERAGE(G14/D58,F14/D52,E14/D57,D14/D56)</f>
        <v>1.0625062140529064E-3</v>
      </c>
    </row>
    <row r="46" spans="1:3" x14ac:dyDescent="0.2">
      <c r="A46" s="37" t="s">
        <v>55</v>
      </c>
      <c r="B46" s="81">
        <f>B45-(B47*AVERAGE(U14/D58,T14/D52,S14/D57,R14/D56))</f>
        <v>8.0672228454768007E-4</v>
      </c>
      <c r="C46" s="158"/>
    </row>
    <row r="47" spans="1:3" ht="38.25" x14ac:dyDescent="0.2">
      <c r="A47" s="193" t="s">
        <v>213</v>
      </c>
      <c r="B47" s="194">
        <v>0.3</v>
      </c>
      <c r="C47" s="158"/>
    </row>
    <row r="48" spans="1:3" x14ac:dyDescent="0.2">
      <c r="A48" s="284" t="s">
        <v>25</v>
      </c>
      <c r="B48" s="284"/>
    </row>
    <row r="49" spans="1:28" x14ac:dyDescent="0.2">
      <c r="A49" s="35"/>
      <c r="B49" s="40"/>
    </row>
    <row r="50" spans="1:28" x14ac:dyDescent="0.2">
      <c r="A50" s="297" t="s">
        <v>69</v>
      </c>
      <c r="B50" s="297"/>
      <c r="C50" s="297"/>
      <c r="D50" s="297"/>
    </row>
    <row r="51" spans="1:28" x14ac:dyDescent="0.2">
      <c r="A51" s="3"/>
      <c r="B51" s="23" t="s">
        <v>66</v>
      </c>
      <c r="C51" s="23" t="s">
        <v>67</v>
      </c>
      <c r="D51" s="23" t="s">
        <v>68</v>
      </c>
    </row>
    <row r="52" spans="1:28" x14ac:dyDescent="0.2">
      <c r="A52" s="3">
        <v>2015</v>
      </c>
      <c r="B52" s="25">
        <v>23910</v>
      </c>
      <c r="C52" s="25">
        <v>24200</v>
      </c>
      <c r="D52" s="57">
        <f>SUM(B52:C52)</f>
        <v>48110</v>
      </c>
    </row>
    <row r="53" spans="1:28" x14ac:dyDescent="0.2">
      <c r="A53" s="3">
        <v>2040</v>
      </c>
      <c r="B53" s="25">
        <f>40500</f>
        <v>40500</v>
      </c>
      <c r="C53" s="25">
        <v>40980</v>
      </c>
      <c r="D53" s="57">
        <f>SUM(B53:C53)</f>
        <v>81480</v>
      </c>
    </row>
    <row r="54" spans="1:28" x14ac:dyDescent="0.2">
      <c r="A54" s="299" t="s">
        <v>65</v>
      </c>
      <c r="B54" s="300"/>
      <c r="C54" s="301"/>
      <c r="D54" s="83">
        <f>(D53/D52)^(1/(A53-A52))-1</f>
        <v>2.1298341230371109E-2</v>
      </c>
    </row>
    <row r="55" spans="1:28" x14ac:dyDescent="0.2">
      <c r="A55" s="155"/>
      <c r="B55" s="156" t="s">
        <v>68</v>
      </c>
      <c r="C55" s="155">
        <v>2012</v>
      </c>
      <c r="D55" s="56">
        <f t="shared" ref="D55:D59" si="12">ROUND($D$52*(1+$D$54)^(C55-$A$52),0)</f>
        <v>45162</v>
      </c>
    </row>
    <row r="56" spans="1:28" x14ac:dyDescent="0.2">
      <c r="A56" s="155"/>
      <c r="B56" s="220" t="s">
        <v>68</v>
      </c>
      <c r="C56" s="155">
        <v>2013</v>
      </c>
      <c r="D56" s="56">
        <f t="shared" si="12"/>
        <v>46124</v>
      </c>
    </row>
    <row r="57" spans="1:28" x14ac:dyDescent="0.2">
      <c r="A57" s="155"/>
      <c r="B57" s="220" t="s">
        <v>68</v>
      </c>
      <c r="C57" s="155">
        <v>2014</v>
      </c>
      <c r="D57" s="56">
        <f t="shared" si="12"/>
        <v>47107</v>
      </c>
    </row>
    <row r="58" spans="1:28" x14ac:dyDescent="0.2">
      <c r="A58" s="155"/>
      <c r="B58" s="220" t="s">
        <v>68</v>
      </c>
      <c r="C58" s="155">
        <v>2016</v>
      </c>
      <c r="D58" s="56">
        <f t="shared" si="12"/>
        <v>49135</v>
      </c>
    </row>
    <row r="59" spans="1:28" x14ac:dyDescent="0.2">
      <c r="A59" s="155"/>
      <c r="B59" s="220" t="s">
        <v>68</v>
      </c>
      <c r="C59" s="155">
        <v>2017</v>
      </c>
      <c r="D59" s="56">
        <f t="shared" si="12"/>
        <v>50181</v>
      </c>
    </row>
    <row r="60" spans="1:28" x14ac:dyDescent="0.2">
      <c r="A60" s="155"/>
      <c r="B60" s="220" t="s">
        <v>68</v>
      </c>
      <c r="C60" s="155">
        <v>2018</v>
      </c>
      <c r="D60" s="56">
        <f>ROUND($D$52*(1+$D$54)^(C60-$A$52),0)</f>
        <v>51250</v>
      </c>
    </row>
    <row r="61" spans="1:28" x14ac:dyDescent="0.2">
      <c r="B61" s="220" t="s">
        <v>68</v>
      </c>
      <c r="C61" s="157">
        <v>2020</v>
      </c>
      <c r="D61" s="56">
        <f>ROUND(D52*(1+D54)^(C61-A52),0)</f>
        <v>53456</v>
      </c>
    </row>
    <row r="62" spans="1:28" x14ac:dyDescent="0.2">
      <c r="A62" s="298" t="s">
        <v>70</v>
      </c>
      <c r="B62" s="298"/>
      <c r="C62" s="298"/>
      <c r="D62" s="298"/>
    </row>
    <row r="63" spans="1:28" x14ac:dyDescent="0.2">
      <c r="A63" s="35"/>
      <c r="B63" s="40"/>
    </row>
    <row r="64" spans="1:28" x14ac:dyDescent="0.2">
      <c r="C64" s="291" t="s">
        <v>1</v>
      </c>
      <c r="D64" s="273" t="s">
        <v>64</v>
      </c>
      <c r="E64" s="291" t="s">
        <v>42</v>
      </c>
      <c r="F64" s="291"/>
      <c r="G64" s="291"/>
      <c r="H64" s="291"/>
      <c r="I64" s="291"/>
      <c r="J64" s="291"/>
      <c r="K64" s="291"/>
      <c r="L64" s="291"/>
      <c r="M64" s="291"/>
      <c r="N64" s="291"/>
      <c r="O64" s="291" t="s">
        <v>1</v>
      </c>
      <c r="P64" s="273" t="s">
        <v>64</v>
      </c>
      <c r="Q64" s="291" t="s">
        <v>50</v>
      </c>
      <c r="R64" s="291"/>
      <c r="S64" s="291"/>
      <c r="T64" s="291"/>
      <c r="U64" s="291"/>
      <c r="V64" s="291"/>
      <c r="W64" s="291"/>
      <c r="X64" s="291"/>
      <c r="Y64" s="291"/>
      <c r="Z64" s="291"/>
      <c r="AA64" s="273" t="s">
        <v>51</v>
      </c>
      <c r="AB64" s="273" t="s">
        <v>158</v>
      </c>
    </row>
    <row r="65" spans="2:28" x14ac:dyDescent="0.2">
      <c r="C65" s="293"/>
      <c r="D65" s="290"/>
      <c r="E65" s="290" t="s">
        <v>56</v>
      </c>
      <c r="F65" s="290" t="s">
        <v>57</v>
      </c>
      <c r="G65" s="290" t="s">
        <v>58</v>
      </c>
      <c r="H65" s="290" t="s">
        <v>59</v>
      </c>
      <c r="I65" s="290" t="s">
        <v>60</v>
      </c>
      <c r="J65" s="302" t="s">
        <v>220</v>
      </c>
      <c r="K65" s="303"/>
      <c r="L65" s="303"/>
      <c r="M65" s="304"/>
      <c r="N65" s="290" t="s">
        <v>44</v>
      </c>
      <c r="O65" s="293"/>
      <c r="P65" s="290"/>
      <c r="Q65" s="290" t="s">
        <v>56</v>
      </c>
      <c r="R65" s="290" t="s">
        <v>57</v>
      </c>
      <c r="S65" s="290" t="s">
        <v>58</v>
      </c>
      <c r="T65" s="290" t="s">
        <v>59</v>
      </c>
      <c r="U65" s="290" t="s">
        <v>60</v>
      </c>
      <c r="V65" s="302" t="s">
        <v>220</v>
      </c>
      <c r="W65" s="303"/>
      <c r="X65" s="303"/>
      <c r="Y65" s="304"/>
      <c r="Z65" s="261"/>
      <c r="AA65" s="290"/>
      <c r="AB65" s="290"/>
    </row>
    <row r="66" spans="2:28" ht="39" thickBot="1" x14ac:dyDescent="0.25">
      <c r="C66" s="294"/>
      <c r="D66" s="274"/>
      <c r="E66" s="296"/>
      <c r="F66" s="296"/>
      <c r="G66" s="296"/>
      <c r="H66" s="296"/>
      <c r="I66" s="296"/>
      <c r="J66" s="79" t="s">
        <v>61</v>
      </c>
      <c r="K66" s="79" t="s">
        <v>62</v>
      </c>
      <c r="L66" s="79" t="s">
        <v>63</v>
      </c>
      <c r="M66" s="80" t="s">
        <v>11</v>
      </c>
      <c r="N66" s="296"/>
      <c r="O66" s="294"/>
      <c r="P66" s="274"/>
      <c r="Q66" s="296"/>
      <c r="R66" s="296"/>
      <c r="S66" s="296"/>
      <c r="T66" s="296"/>
      <c r="U66" s="296"/>
      <c r="V66" s="79" t="s">
        <v>61</v>
      </c>
      <c r="W66" s="79" t="s">
        <v>62</v>
      </c>
      <c r="X66" s="79" t="s">
        <v>63</v>
      </c>
      <c r="Y66" s="80" t="s">
        <v>11</v>
      </c>
      <c r="Z66" s="222" t="s">
        <v>44</v>
      </c>
      <c r="AA66" s="274"/>
      <c r="AB66" s="274"/>
    </row>
    <row r="67" spans="2:28" ht="13.5" thickTop="1" x14ac:dyDescent="0.2">
      <c r="B67" s="12">
        <f t="shared" ref="B67:B87" si="13">C67-$C$67</f>
        <v>0</v>
      </c>
      <c r="C67" s="65">
        <v>2024</v>
      </c>
      <c r="D67" s="78">
        <f t="shared" ref="D67:D87" si="14">ROUND($D$61*(1+$D$54)^B67,0)</f>
        <v>53456</v>
      </c>
      <c r="E67" s="66">
        <f>ROUND(D67*$B$45,0)</f>
        <v>57</v>
      </c>
      <c r="F67" s="66">
        <f>ROUND(E67*$B$41,0)</f>
        <v>111</v>
      </c>
      <c r="G67" s="67">
        <f>ROUND(F67*$B$36,0)</f>
        <v>154</v>
      </c>
      <c r="H67" s="65">
        <f t="shared" ref="H67:H87" si="15">ROUND(E67*$J$12*$B$41,0)</f>
        <v>72</v>
      </c>
      <c r="I67" s="66">
        <f>ROUND(G67*$J$12,0)</f>
        <v>100</v>
      </c>
      <c r="J67" s="65">
        <f>ROUND(G67*$J$10,0)</f>
        <v>37</v>
      </c>
      <c r="K67" s="65">
        <f>ROUND(G67*$J$8,0)</f>
        <v>14</v>
      </c>
      <c r="L67" s="68">
        <f>ROUND(G67*$J$6,0)</f>
        <v>2</v>
      </c>
      <c r="M67" s="68">
        <f>ROUND(G67*$J$4,0)</f>
        <v>1</v>
      </c>
      <c r="N67" s="69">
        <f t="shared" ref="N67:N87" si="16">H67*$B$20+I67*$B$25+J67*$B$26+K67*$B$27+L67*$B$28+M67*$B$29</f>
        <v>15264044</v>
      </c>
      <c r="O67" s="201">
        <f>C67</f>
        <v>2024</v>
      </c>
      <c r="P67" s="204">
        <f>D67</f>
        <v>53456</v>
      </c>
      <c r="Q67" s="66">
        <f>ROUND(D67*$B$46,0)</f>
        <v>43</v>
      </c>
      <c r="R67" s="66">
        <f>ROUND(Q67*$B$41,0)</f>
        <v>84</v>
      </c>
      <c r="S67" s="67">
        <f>ROUND(R67*$B$36,0)</f>
        <v>117</v>
      </c>
      <c r="T67" s="65">
        <f>ROUND(Q67*$J$12*$B$41,0)</f>
        <v>54</v>
      </c>
      <c r="U67" s="66">
        <f>ROUND(S67*$J$12,0)</f>
        <v>76</v>
      </c>
      <c r="V67" s="65">
        <f>ROUND(S67*$J$10,0)</f>
        <v>28</v>
      </c>
      <c r="W67" s="65">
        <f>ROUND(S67*$J$8,0)</f>
        <v>11</v>
      </c>
      <c r="X67" s="68">
        <f>ROUND(S67*$J$6,0)</f>
        <v>1</v>
      </c>
      <c r="Y67" s="68">
        <f>ROUND(S67*$J$4,0)</f>
        <v>0</v>
      </c>
      <c r="Z67" s="69">
        <f t="shared" ref="Z67:Z87" si="17">T67*$B$20+U67*$B$25+V67*$B$26+W67*$B$27+X67*$B$28+Y67*$B$29</f>
        <v>4100158</v>
      </c>
      <c r="AA67" s="69">
        <f>N67-Z67</f>
        <v>11163886</v>
      </c>
      <c r="AB67" s="69">
        <f>ROUND(AA67*NPV!C9,0)</f>
        <v>6952307</v>
      </c>
    </row>
    <row r="68" spans="2:28" x14ac:dyDescent="0.2">
      <c r="B68" s="12">
        <f t="shared" si="13"/>
        <v>1</v>
      </c>
      <c r="C68" s="26">
        <f>C67+1</f>
        <v>2025</v>
      </c>
      <c r="D68" s="59">
        <f t="shared" si="14"/>
        <v>54595</v>
      </c>
      <c r="E68" s="59">
        <f>ROUND(D68*$B$45,0)</f>
        <v>58</v>
      </c>
      <c r="F68" s="59">
        <f t="shared" ref="F68:F87" si="18">ROUND(E68*$B$41,0)</f>
        <v>113</v>
      </c>
      <c r="G68" s="60">
        <f t="shared" ref="G68:G87" si="19">ROUND(F68*$B$36,0)</f>
        <v>157</v>
      </c>
      <c r="H68" s="26">
        <f t="shared" si="15"/>
        <v>73</v>
      </c>
      <c r="I68" s="59">
        <f t="shared" ref="I68:I87" si="20">ROUND(G68*$J$12,0)</f>
        <v>102</v>
      </c>
      <c r="J68" s="26">
        <f t="shared" ref="J68:J86" si="21">ROUND(G68*$J$10,0)</f>
        <v>38</v>
      </c>
      <c r="K68" s="26">
        <f t="shared" ref="K68:K87" si="22">ROUND(G68*$J$8,0)</f>
        <v>15</v>
      </c>
      <c r="L68" s="20">
        <f t="shared" ref="L68:L87" si="23">ROUND(G68*$J$6,0)</f>
        <v>2</v>
      </c>
      <c r="M68" s="20">
        <f t="shared" ref="M68:M86" si="24">ROUND(G68*$J$4,0)</f>
        <v>1</v>
      </c>
      <c r="N68" s="61">
        <f t="shared" si="16"/>
        <v>15463671</v>
      </c>
      <c r="O68" s="202">
        <f t="shared" ref="O68:O87" si="25">C68</f>
        <v>2025</v>
      </c>
      <c r="P68" s="205">
        <f t="shared" ref="P68:P87" si="26">D68</f>
        <v>54595</v>
      </c>
      <c r="Q68" s="59">
        <f t="shared" ref="Q68:Q87" si="27">ROUND(D68*$B$46,0)</f>
        <v>44</v>
      </c>
      <c r="R68" s="59">
        <f t="shared" ref="R68:R87" si="28">ROUND(Q68*$B$41,0)</f>
        <v>86</v>
      </c>
      <c r="S68" s="60">
        <f t="shared" ref="S68:S87" si="29">ROUND(R68*$B$36,0)</f>
        <v>120</v>
      </c>
      <c r="T68" s="26">
        <f t="shared" ref="T68:T87" si="30">ROUND(Q68*$J$12*$B$41,0)</f>
        <v>55</v>
      </c>
      <c r="U68" s="20">
        <f t="shared" ref="U68:U87" si="31">ROUND(S68*$J$12,0)</f>
        <v>78</v>
      </c>
      <c r="V68" s="20">
        <f t="shared" ref="V68:V87" si="32">ROUND(S68*$J$10,0)</f>
        <v>29</v>
      </c>
      <c r="W68" s="20">
        <f t="shared" ref="W68:W87" si="33">ROUND(S68*$J$8,0)</f>
        <v>11</v>
      </c>
      <c r="X68" s="20">
        <f t="shared" ref="X68:X87" si="34">ROUND(S68*$J$6,0)</f>
        <v>1</v>
      </c>
      <c r="Y68" s="20">
        <f t="shared" ref="Y68:Y87" si="35">ROUND(S68*$J$4,0)</f>
        <v>0</v>
      </c>
      <c r="Z68" s="61">
        <f t="shared" si="17"/>
        <v>4174785</v>
      </c>
      <c r="AA68" s="61">
        <f t="shared" ref="AA68:AA87" si="36">N68-Z68</f>
        <v>11288886</v>
      </c>
      <c r="AB68" s="61">
        <f>ROUND(AA68*NPV!C10,0)</f>
        <v>6570234</v>
      </c>
    </row>
    <row r="69" spans="2:28" x14ac:dyDescent="0.2">
      <c r="B69" s="12">
        <f t="shared" si="13"/>
        <v>2</v>
      </c>
      <c r="C69" s="26">
        <f t="shared" ref="C69:C87" si="37">C68+1</f>
        <v>2026</v>
      </c>
      <c r="D69" s="59">
        <f t="shared" si="14"/>
        <v>55757</v>
      </c>
      <c r="E69" s="59">
        <f t="shared" ref="E69:E87" si="38">ROUND(D69*$B$45,0)</f>
        <v>59</v>
      </c>
      <c r="F69" s="59">
        <f t="shared" si="18"/>
        <v>115</v>
      </c>
      <c r="G69" s="60">
        <f t="shared" si="19"/>
        <v>160</v>
      </c>
      <c r="H69" s="26">
        <f t="shared" si="15"/>
        <v>74</v>
      </c>
      <c r="I69" s="59">
        <f t="shared" si="20"/>
        <v>104</v>
      </c>
      <c r="J69" s="26">
        <f t="shared" si="21"/>
        <v>39</v>
      </c>
      <c r="K69" s="26">
        <f t="shared" si="22"/>
        <v>15</v>
      </c>
      <c r="L69" s="20">
        <f t="shared" si="23"/>
        <v>2</v>
      </c>
      <c r="M69" s="20">
        <f t="shared" si="24"/>
        <v>1</v>
      </c>
      <c r="N69" s="61">
        <f t="shared" si="16"/>
        <v>15538298</v>
      </c>
      <c r="O69" s="202">
        <f t="shared" si="25"/>
        <v>2026</v>
      </c>
      <c r="P69" s="205">
        <f t="shared" si="26"/>
        <v>55757</v>
      </c>
      <c r="Q69" s="59">
        <f t="shared" si="27"/>
        <v>45</v>
      </c>
      <c r="R69" s="59">
        <f t="shared" si="28"/>
        <v>88</v>
      </c>
      <c r="S69" s="60">
        <f t="shared" si="29"/>
        <v>122</v>
      </c>
      <c r="T69" s="26">
        <f t="shared" si="30"/>
        <v>57</v>
      </c>
      <c r="U69" s="20">
        <f t="shared" si="31"/>
        <v>79</v>
      </c>
      <c r="V69" s="20">
        <f t="shared" si="32"/>
        <v>30</v>
      </c>
      <c r="W69" s="20">
        <f t="shared" si="33"/>
        <v>11</v>
      </c>
      <c r="X69" s="20">
        <f t="shared" si="34"/>
        <v>1</v>
      </c>
      <c r="Y69" s="20">
        <f t="shared" si="35"/>
        <v>0</v>
      </c>
      <c r="Z69" s="61">
        <f t="shared" si="17"/>
        <v>4250539</v>
      </c>
      <c r="AA69" s="61">
        <f t="shared" si="36"/>
        <v>11287759</v>
      </c>
      <c r="AB69" s="61">
        <f>ROUND(AA69*NPV!C11,0)</f>
        <v>6139793</v>
      </c>
    </row>
    <row r="70" spans="2:28" x14ac:dyDescent="0.2">
      <c r="B70" s="12">
        <f t="shared" si="13"/>
        <v>3</v>
      </c>
      <c r="C70" s="26">
        <f t="shared" si="37"/>
        <v>2027</v>
      </c>
      <c r="D70" s="59">
        <f t="shared" si="14"/>
        <v>56945</v>
      </c>
      <c r="E70" s="59">
        <f t="shared" si="38"/>
        <v>61</v>
      </c>
      <c r="F70" s="59">
        <f t="shared" si="18"/>
        <v>119</v>
      </c>
      <c r="G70" s="60">
        <f t="shared" si="19"/>
        <v>165</v>
      </c>
      <c r="H70" s="26">
        <f t="shared" si="15"/>
        <v>77</v>
      </c>
      <c r="I70" s="59">
        <f t="shared" si="20"/>
        <v>107</v>
      </c>
      <c r="J70" s="26">
        <f t="shared" si="21"/>
        <v>40</v>
      </c>
      <c r="K70" s="26">
        <f t="shared" si="22"/>
        <v>15</v>
      </c>
      <c r="L70" s="20">
        <f t="shared" si="23"/>
        <v>2</v>
      </c>
      <c r="M70" s="20">
        <f t="shared" si="24"/>
        <v>1</v>
      </c>
      <c r="N70" s="61">
        <f t="shared" si="16"/>
        <v>15624779</v>
      </c>
      <c r="O70" s="202">
        <f t="shared" si="25"/>
        <v>2027</v>
      </c>
      <c r="P70" s="205">
        <f t="shared" si="26"/>
        <v>56945</v>
      </c>
      <c r="Q70" s="59">
        <f t="shared" si="27"/>
        <v>46</v>
      </c>
      <c r="R70" s="59">
        <f t="shared" si="28"/>
        <v>89</v>
      </c>
      <c r="S70" s="60">
        <f t="shared" si="29"/>
        <v>124</v>
      </c>
      <c r="T70" s="26">
        <f t="shared" si="30"/>
        <v>58</v>
      </c>
      <c r="U70" s="20">
        <f t="shared" si="31"/>
        <v>80</v>
      </c>
      <c r="V70" s="20">
        <f t="shared" si="32"/>
        <v>30</v>
      </c>
      <c r="W70" s="20">
        <f t="shared" si="33"/>
        <v>12</v>
      </c>
      <c r="X70" s="20">
        <f t="shared" si="34"/>
        <v>1</v>
      </c>
      <c r="Y70" s="20">
        <f t="shared" si="35"/>
        <v>0</v>
      </c>
      <c r="Z70" s="61">
        <f t="shared" si="17"/>
        <v>4383066</v>
      </c>
      <c r="AA70" s="61">
        <f t="shared" si="36"/>
        <v>11241713</v>
      </c>
      <c r="AB70" s="61">
        <f>ROUND(AA70*NPV!C12,0)</f>
        <v>5714717</v>
      </c>
    </row>
    <row r="71" spans="2:28" x14ac:dyDescent="0.2">
      <c r="B71" s="12">
        <f t="shared" si="13"/>
        <v>4</v>
      </c>
      <c r="C71" s="26">
        <f t="shared" si="37"/>
        <v>2028</v>
      </c>
      <c r="D71" s="59">
        <f t="shared" si="14"/>
        <v>58158</v>
      </c>
      <c r="E71" s="59">
        <f t="shared" si="38"/>
        <v>62</v>
      </c>
      <c r="F71" s="59">
        <f t="shared" si="18"/>
        <v>121</v>
      </c>
      <c r="G71" s="60">
        <f t="shared" si="19"/>
        <v>168</v>
      </c>
      <c r="H71" s="26">
        <f t="shared" si="15"/>
        <v>78</v>
      </c>
      <c r="I71" s="59">
        <f t="shared" si="20"/>
        <v>109</v>
      </c>
      <c r="J71" s="26">
        <f t="shared" si="21"/>
        <v>41</v>
      </c>
      <c r="K71" s="26">
        <f t="shared" si="22"/>
        <v>16</v>
      </c>
      <c r="L71" s="20">
        <f t="shared" si="23"/>
        <v>2</v>
      </c>
      <c r="M71" s="20">
        <f t="shared" si="24"/>
        <v>1</v>
      </c>
      <c r="N71" s="61">
        <f t="shared" si="16"/>
        <v>15824406</v>
      </c>
      <c r="O71" s="202">
        <f t="shared" si="25"/>
        <v>2028</v>
      </c>
      <c r="P71" s="205">
        <f t="shared" si="26"/>
        <v>58158</v>
      </c>
      <c r="Q71" s="59">
        <f t="shared" si="27"/>
        <v>47</v>
      </c>
      <c r="R71" s="59">
        <f t="shared" si="28"/>
        <v>91</v>
      </c>
      <c r="S71" s="60">
        <f t="shared" si="29"/>
        <v>126</v>
      </c>
      <c r="T71" s="26">
        <f t="shared" si="30"/>
        <v>59</v>
      </c>
      <c r="U71" s="20">
        <f t="shared" si="31"/>
        <v>82</v>
      </c>
      <c r="V71" s="20">
        <f t="shared" si="32"/>
        <v>31</v>
      </c>
      <c r="W71" s="20">
        <f t="shared" si="33"/>
        <v>12</v>
      </c>
      <c r="X71" s="20">
        <f t="shared" si="34"/>
        <v>1</v>
      </c>
      <c r="Y71" s="20">
        <f t="shared" si="35"/>
        <v>0</v>
      </c>
      <c r="Z71" s="61">
        <f t="shared" si="17"/>
        <v>4457693</v>
      </c>
      <c r="AA71" s="61">
        <f t="shared" si="36"/>
        <v>11366713</v>
      </c>
      <c r="AB71" s="61">
        <f>ROUND(AA71*NPV!C13,0)</f>
        <v>5400243</v>
      </c>
    </row>
    <row r="72" spans="2:28" x14ac:dyDescent="0.2">
      <c r="B72" s="12">
        <f t="shared" si="13"/>
        <v>5</v>
      </c>
      <c r="C72" s="26">
        <f t="shared" si="37"/>
        <v>2029</v>
      </c>
      <c r="D72" s="59">
        <f t="shared" si="14"/>
        <v>59396</v>
      </c>
      <c r="E72" s="59">
        <f t="shared" si="38"/>
        <v>63</v>
      </c>
      <c r="F72" s="59">
        <f t="shared" si="18"/>
        <v>123</v>
      </c>
      <c r="G72" s="60">
        <f t="shared" si="19"/>
        <v>171</v>
      </c>
      <c r="H72" s="26">
        <f t="shared" si="15"/>
        <v>79</v>
      </c>
      <c r="I72" s="59">
        <f t="shared" si="20"/>
        <v>111</v>
      </c>
      <c r="J72" s="26">
        <f t="shared" si="21"/>
        <v>41</v>
      </c>
      <c r="K72" s="26">
        <f t="shared" si="22"/>
        <v>16</v>
      </c>
      <c r="L72" s="20">
        <f t="shared" si="23"/>
        <v>2</v>
      </c>
      <c r="M72" s="20">
        <f t="shared" si="24"/>
        <v>1</v>
      </c>
      <c r="N72" s="61">
        <f t="shared" si="16"/>
        <v>15835133</v>
      </c>
      <c r="O72" s="202">
        <f t="shared" si="25"/>
        <v>2029</v>
      </c>
      <c r="P72" s="205">
        <f t="shared" si="26"/>
        <v>59396</v>
      </c>
      <c r="Q72" s="59">
        <f t="shared" si="27"/>
        <v>48</v>
      </c>
      <c r="R72" s="59">
        <f t="shared" si="28"/>
        <v>93</v>
      </c>
      <c r="S72" s="60">
        <f t="shared" si="29"/>
        <v>129</v>
      </c>
      <c r="T72" s="26">
        <f t="shared" si="30"/>
        <v>61</v>
      </c>
      <c r="U72" s="20">
        <f t="shared" si="31"/>
        <v>84</v>
      </c>
      <c r="V72" s="20">
        <f t="shared" si="32"/>
        <v>31</v>
      </c>
      <c r="W72" s="20">
        <f t="shared" si="33"/>
        <v>12</v>
      </c>
      <c r="X72" s="20">
        <f t="shared" si="34"/>
        <v>2</v>
      </c>
      <c r="Y72" s="20">
        <f t="shared" si="35"/>
        <v>1</v>
      </c>
      <c r="Z72" s="61">
        <f t="shared" si="17"/>
        <v>14531847</v>
      </c>
      <c r="AA72" s="61">
        <f t="shared" si="36"/>
        <v>1303286</v>
      </c>
      <c r="AB72" s="61">
        <f>ROUND(AA72*NPV!C14,0)</f>
        <v>578675</v>
      </c>
    </row>
    <row r="73" spans="2:28" x14ac:dyDescent="0.2">
      <c r="B73" s="12">
        <f t="shared" si="13"/>
        <v>6</v>
      </c>
      <c r="C73" s="26">
        <f t="shared" si="37"/>
        <v>2030</v>
      </c>
      <c r="D73" s="59">
        <f t="shared" si="14"/>
        <v>60661</v>
      </c>
      <c r="E73" s="59">
        <f t="shared" si="38"/>
        <v>64</v>
      </c>
      <c r="F73" s="59">
        <f t="shared" si="18"/>
        <v>124</v>
      </c>
      <c r="G73" s="60">
        <f t="shared" si="19"/>
        <v>172</v>
      </c>
      <c r="H73" s="26">
        <f t="shared" si="15"/>
        <v>81</v>
      </c>
      <c r="I73" s="59">
        <f t="shared" si="20"/>
        <v>112</v>
      </c>
      <c r="J73" s="26">
        <f t="shared" si="21"/>
        <v>42</v>
      </c>
      <c r="K73" s="26">
        <f t="shared" si="22"/>
        <v>16</v>
      </c>
      <c r="L73" s="20">
        <f t="shared" si="23"/>
        <v>2</v>
      </c>
      <c r="M73" s="20">
        <f t="shared" si="24"/>
        <v>1</v>
      </c>
      <c r="N73" s="61">
        <f t="shared" si="16"/>
        <v>15910887</v>
      </c>
      <c r="O73" s="202">
        <f t="shared" si="25"/>
        <v>2030</v>
      </c>
      <c r="P73" s="205">
        <f t="shared" si="26"/>
        <v>60661</v>
      </c>
      <c r="Q73" s="59">
        <f t="shared" si="27"/>
        <v>49</v>
      </c>
      <c r="R73" s="59">
        <f t="shared" si="28"/>
        <v>95</v>
      </c>
      <c r="S73" s="60">
        <f t="shared" si="29"/>
        <v>132</v>
      </c>
      <c r="T73" s="26">
        <f t="shared" si="30"/>
        <v>62</v>
      </c>
      <c r="U73" s="20">
        <f t="shared" si="31"/>
        <v>86</v>
      </c>
      <c r="V73" s="20">
        <f t="shared" si="32"/>
        <v>32</v>
      </c>
      <c r="W73" s="20">
        <f t="shared" si="33"/>
        <v>12</v>
      </c>
      <c r="X73" s="20">
        <f t="shared" si="34"/>
        <v>2</v>
      </c>
      <c r="Y73" s="20">
        <f t="shared" si="35"/>
        <v>1</v>
      </c>
      <c r="Z73" s="61">
        <f t="shared" si="17"/>
        <v>14606474</v>
      </c>
      <c r="AA73" s="61">
        <f t="shared" si="36"/>
        <v>1304413</v>
      </c>
      <c r="AB73" s="61">
        <f>ROUND(AA73*NPV!C15,0)</f>
        <v>541285</v>
      </c>
    </row>
    <row r="74" spans="2:28" x14ac:dyDescent="0.2">
      <c r="B74" s="12">
        <f t="shared" si="13"/>
        <v>7</v>
      </c>
      <c r="C74" s="26">
        <f t="shared" si="37"/>
        <v>2031</v>
      </c>
      <c r="D74" s="59">
        <f t="shared" si="14"/>
        <v>61953</v>
      </c>
      <c r="E74" s="59">
        <f t="shared" si="38"/>
        <v>66</v>
      </c>
      <c r="F74" s="59">
        <f t="shared" si="18"/>
        <v>128</v>
      </c>
      <c r="G74" s="60">
        <f t="shared" si="19"/>
        <v>178</v>
      </c>
      <c r="H74" s="26">
        <f t="shared" si="15"/>
        <v>83</v>
      </c>
      <c r="I74" s="59">
        <f t="shared" si="20"/>
        <v>115</v>
      </c>
      <c r="J74" s="26">
        <f t="shared" si="21"/>
        <v>43</v>
      </c>
      <c r="K74" s="26">
        <f t="shared" si="22"/>
        <v>17</v>
      </c>
      <c r="L74" s="20">
        <f t="shared" si="23"/>
        <v>2</v>
      </c>
      <c r="M74" s="20">
        <f t="shared" si="24"/>
        <v>1</v>
      </c>
      <c r="N74" s="61">
        <f t="shared" si="16"/>
        <v>16118041</v>
      </c>
      <c r="O74" s="202">
        <f t="shared" si="25"/>
        <v>2031</v>
      </c>
      <c r="P74" s="205">
        <f t="shared" si="26"/>
        <v>61953</v>
      </c>
      <c r="Q74" s="59">
        <f t="shared" si="27"/>
        <v>50</v>
      </c>
      <c r="R74" s="59">
        <f t="shared" si="28"/>
        <v>97</v>
      </c>
      <c r="S74" s="60">
        <f t="shared" si="29"/>
        <v>135</v>
      </c>
      <c r="T74" s="26">
        <f t="shared" si="30"/>
        <v>63</v>
      </c>
      <c r="U74" s="20">
        <f t="shared" si="31"/>
        <v>88</v>
      </c>
      <c r="V74" s="20">
        <f t="shared" si="32"/>
        <v>33</v>
      </c>
      <c r="W74" s="20">
        <f t="shared" si="33"/>
        <v>13</v>
      </c>
      <c r="X74" s="20">
        <f t="shared" si="34"/>
        <v>2</v>
      </c>
      <c r="Y74" s="20">
        <f t="shared" si="35"/>
        <v>1</v>
      </c>
      <c r="Z74" s="61">
        <f t="shared" si="17"/>
        <v>14806101</v>
      </c>
      <c r="AA74" s="61">
        <f t="shared" si="36"/>
        <v>1311940</v>
      </c>
      <c r="AB74" s="61">
        <f>ROUND(AA74*NPV!C16,0)</f>
        <v>508793</v>
      </c>
    </row>
    <row r="75" spans="2:28" x14ac:dyDescent="0.2">
      <c r="B75" s="12">
        <f t="shared" si="13"/>
        <v>8</v>
      </c>
      <c r="C75" s="26">
        <f t="shared" si="37"/>
        <v>2032</v>
      </c>
      <c r="D75" s="59">
        <f t="shared" si="14"/>
        <v>63273</v>
      </c>
      <c r="E75" s="59">
        <f t="shared" si="38"/>
        <v>67</v>
      </c>
      <c r="F75" s="59">
        <f t="shared" si="18"/>
        <v>130</v>
      </c>
      <c r="G75" s="60">
        <f t="shared" si="19"/>
        <v>181</v>
      </c>
      <c r="H75" s="26">
        <f t="shared" si="15"/>
        <v>84</v>
      </c>
      <c r="I75" s="59">
        <f t="shared" si="20"/>
        <v>117</v>
      </c>
      <c r="J75" s="26">
        <f t="shared" si="21"/>
        <v>44</v>
      </c>
      <c r="K75" s="26">
        <f t="shared" si="22"/>
        <v>17</v>
      </c>
      <c r="L75" s="20">
        <f t="shared" si="23"/>
        <v>2</v>
      </c>
      <c r="M75" s="20">
        <f t="shared" si="24"/>
        <v>1</v>
      </c>
      <c r="N75" s="61">
        <f t="shared" si="16"/>
        <v>16192668</v>
      </c>
      <c r="O75" s="202">
        <f t="shared" si="25"/>
        <v>2032</v>
      </c>
      <c r="P75" s="205">
        <f t="shared" si="26"/>
        <v>63273</v>
      </c>
      <c r="Q75" s="59">
        <f t="shared" si="27"/>
        <v>51</v>
      </c>
      <c r="R75" s="59">
        <f t="shared" si="28"/>
        <v>99</v>
      </c>
      <c r="S75" s="60">
        <f t="shared" si="29"/>
        <v>138</v>
      </c>
      <c r="T75" s="26">
        <f t="shared" si="30"/>
        <v>64</v>
      </c>
      <c r="U75" s="20">
        <f t="shared" si="31"/>
        <v>89</v>
      </c>
      <c r="V75" s="20">
        <f t="shared" si="32"/>
        <v>33</v>
      </c>
      <c r="W75" s="20">
        <f t="shared" si="33"/>
        <v>13</v>
      </c>
      <c r="X75" s="20">
        <f t="shared" si="34"/>
        <v>2</v>
      </c>
      <c r="Y75" s="20">
        <f t="shared" si="35"/>
        <v>1</v>
      </c>
      <c r="Z75" s="61">
        <f t="shared" si="17"/>
        <v>14813628</v>
      </c>
      <c r="AA75" s="61">
        <f t="shared" si="36"/>
        <v>1379040</v>
      </c>
      <c r="AB75" s="61">
        <f>ROUND(AA75*NPV!C17,0)</f>
        <v>499828</v>
      </c>
    </row>
    <row r="76" spans="2:28" x14ac:dyDescent="0.2">
      <c r="B76" s="12">
        <f t="shared" si="13"/>
        <v>9</v>
      </c>
      <c r="C76" s="26">
        <f t="shared" si="37"/>
        <v>2033</v>
      </c>
      <c r="D76" s="59">
        <f t="shared" si="14"/>
        <v>64620</v>
      </c>
      <c r="E76" s="59">
        <f t="shared" si="38"/>
        <v>69</v>
      </c>
      <c r="F76" s="59">
        <f t="shared" si="18"/>
        <v>134</v>
      </c>
      <c r="G76" s="60">
        <f t="shared" si="19"/>
        <v>186</v>
      </c>
      <c r="H76" s="26">
        <f t="shared" si="15"/>
        <v>87</v>
      </c>
      <c r="I76" s="59">
        <f t="shared" si="20"/>
        <v>121</v>
      </c>
      <c r="J76" s="26">
        <f t="shared" si="21"/>
        <v>45</v>
      </c>
      <c r="K76" s="26">
        <f t="shared" si="22"/>
        <v>17</v>
      </c>
      <c r="L76" s="20">
        <f t="shared" si="23"/>
        <v>2</v>
      </c>
      <c r="M76" s="20">
        <f t="shared" si="24"/>
        <v>1</v>
      </c>
      <c r="N76" s="61">
        <f t="shared" si="16"/>
        <v>16282349</v>
      </c>
      <c r="O76" s="202">
        <f t="shared" si="25"/>
        <v>2033</v>
      </c>
      <c r="P76" s="205">
        <f t="shared" si="26"/>
        <v>64620</v>
      </c>
      <c r="Q76" s="59">
        <f t="shared" si="27"/>
        <v>52</v>
      </c>
      <c r="R76" s="59">
        <f t="shared" si="28"/>
        <v>101</v>
      </c>
      <c r="S76" s="60">
        <f t="shared" si="29"/>
        <v>140</v>
      </c>
      <c r="T76" s="26">
        <f t="shared" si="30"/>
        <v>66</v>
      </c>
      <c r="U76" s="20">
        <f t="shared" si="31"/>
        <v>91</v>
      </c>
      <c r="V76" s="20">
        <f t="shared" si="32"/>
        <v>34</v>
      </c>
      <c r="W76" s="20">
        <f t="shared" si="33"/>
        <v>13</v>
      </c>
      <c r="X76" s="20">
        <f t="shared" si="34"/>
        <v>2</v>
      </c>
      <c r="Y76" s="20">
        <f t="shared" si="35"/>
        <v>1</v>
      </c>
      <c r="Z76" s="61">
        <f t="shared" si="17"/>
        <v>14892582</v>
      </c>
      <c r="AA76" s="61">
        <f t="shared" si="36"/>
        <v>1389767</v>
      </c>
      <c r="AB76" s="61">
        <f>ROUND(AA76*NPV!C18,0)</f>
        <v>470762</v>
      </c>
    </row>
    <row r="77" spans="2:28" x14ac:dyDescent="0.2">
      <c r="B77" s="12">
        <f t="shared" si="13"/>
        <v>10</v>
      </c>
      <c r="C77" s="26">
        <f t="shared" si="37"/>
        <v>2034</v>
      </c>
      <c r="D77" s="59">
        <f t="shared" si="14"/>
        <v>65997</v>
      </c>
      <c r="E77" s="59">
        <f t="shared" si="38"/>
        <v>70</v>
      </c>
      <c r="F77" s="59">
        <f t="shared" si="18"/>
        <v>136</v>
      </c>
      <c r="G77" s="60">
        <f t="shared" si="19"/>
        <v>189</v>
      </c>
      <c r="H77" s="26">
        <f t="shared" si="15"/>
        <v>88</v>
      </c>
      <c r="I77" s="59">
        <f t="shared" si="20"/>
        <v>123</v>
      </c>
      <c r="J77" s="26">
        <f t="shared" si="21"/>
        <v>46</v>
      </c>
      <c r="K77" s="26">
        <f t="shared" si="22"/>
        <v>18</v>
      </c>
      <c r="L77" s="20">
        <f t="shared" si="23"/>
        <v>2</v>
      </c>
      <c r="M77" s="20">
        <f t="shared" si="24"/>
        <v>1</v>
      </c>
      <c r="N77" s="61">
        <f t="shared" si="16"/>
        <v>16481976</v>
      </c>
      <c r="O77" s="202">
        <f t="shared" si="25"/>
        <v>2034</v>
      </c>
      <c r="P77" s="205">
        <f t="shared" si="26"/>
        <v>65997</v>
      </c>
      <c r="Q77" s="59">
        <f t="shared" si="27"/>
        <v>53</v>
      </c>
      <c r="R77" s="59">
        <f t="shared" si="28"/>
        <v>103</v>
      </c>
      <c r="S77" s="60">
        <f t="shared" si="29"/>
        <v>143</v>
      </c>
      <c r="T77" s="26">
        <f t="shared" si="30"/>
        <v>67</v>
      </c>
      <c r="U77" s="20">
        <f t="shared" si="31"/>
        <v>93</v>
      </c>
      <c r="V77" s="20">
        <f t="shared" si="32"/>
        <v>35</v>
      </c>
      <c r="W77" s="20">
        <f t="shared" si="33"/>
        <v>13</v>
      </c>
      <c r="X77" s="20">
        <f t="shared" si="34"/>
        <v>2</v>
      </c>
      <c r="Y77" s="20">
        <f t="shared" si="35"/>
        <v>1</v>
      </c>
      <c r="Z77" s="61">
        <f t="shared" si="17"/>
        <v>14967209</v>
      </c>
      <c r="AA77" s="61">
        <f t="shared" si="36"/>
        <v>1514767</v>
      </c>
      <c r="AB77" s="61">
        <f>ROUND(AA77*NPV!C19,0)</f>
        <v>479536</v>
      </c>
    </row>
    <row r="78" spans="2:28" x14ac:dyDescent="0.2">
      <c r="B78" s="12">
        <f t="shared" si="13"/>
        <v>11</v>
      </c>
      <c r="C78" s="26">
        <f t="shared" si="37"/>
        <v>2035</v>
      </c>
      <c r="D78" s="59">
        <f t="shared" si="14"/>
        <v>67402</v>
      </c>
      <c r="E78" s="59">
        <f t="shared" si="38"/>
        <v>72</v>
      </c>
      <c r="F78" s="59">
        <f t="shared" si="18"/>
        <v>140</v>
      </c>
      <c r="G78" s="60">
        <f t="shared" si="19"/>
        <v>195</v>
      </c>
      <c r="H78" s="26">
        <f t="shared" si="15"/>
        <v>91</v>
      </c>
      <c r="I78" s="59">
        <f t="shared" si="20"/>
        <v>126</v>
      </c>
      <c r="J78" s="26">
        <f t="shared" si="21"/>
        <v>47</v>
      </c>
      <c r="K78" s="26">
        <f t="shared" si="22"/>
        <v>18</v>
      </c>
      <c r="L78" s="20">
        <f t="shared" si="23"/>
        <v>2</v>
      </c>
      <c r="M78" s="20">
        <f t="shared" si="24"/>
        <v>1</v>
      </c>
      <c r="N78" s="61">
        <f t="shared" si="16"/>
        <v>16568457</v>
      </c>
      <c r="O78" s="202">
        <f t="shared" si="25"/>
        <v>2035</v>
      </c>
      <c r="P78" s="205">
        <f t="shared" si="26"/>
        <v>67402</v>
      </c>
      <c r="Q78" s="59">
        <f t="shared" si="27"/>
        <v>54</v>
      </c>
      <c r="R78" s="59">
        <f t="shared" si="28"/>
        <v>105</v>
      </c>
      <c r="S78" s="60">
        <f t="shared" si="29"/>
        <v>146</v>
      </c>
      <c r="T78" s="26">
        <f t="shared" si="30"/>
        <v>68</v>
      </c>
      <c r="U78" s="20">
        <f t="shared" si="31"/>
        <v>95</v>
      </c>
      <c r="V78" s="20">
        <f t="shared" si="32"/>
        <v>35</v>
      </c>
      <c r="W78" s="20">
        <f t="shared" si="33"/>
        <v>14</v>
      </c>
      <c r="X78" s="20">
        <f t="shared" si="34"/>
        <v>2</v>
      </c>
      <c r="Y78" s="20">
        <f t="shared" si="35"/>
        <v>1</v>
      </c>
      <c r="Z78" s="61">
        <f t="shared" si="17"/>
        <v>15102936</v>
      </c>
      <c r="AA78" s="61">
        <f t="shared" si="36"/>
        <v>1465521</v>
      </c>
      <c r="AB78" s="61">
        <f>ROUND(AA78*NPV!C20,0)</f>
        <v>433595</v>
      </c>
    </row>
    <row r="79" spans="2:28" x14ac:dyDescent="0.2">
      <c r="B79" s="12">
        <f t="shared" si="13"/>
        <v>12</v>
      </c>
      <c r="C79" s="26">
        <f t="shared" si="37"/>
        <v>2036</v>
      </c>
      <c r="D79" s="59">
        <f t="shared" si="14"/>
        <v>68838</v>
      </c>
      <c r="E79" s="59">
        <f t="shared" si="38"/>
        <v>73</v>
      </c>
      <c r="F79" s="59">
        <f t="shared" si="18"/>
        <v>142</v>
      </c>
      <c r="G79" s="60">
        <f t="shared" si="19"/>
        <v>197</v>
      </c>
      <c r="H79" s="26">
        <f t="shared" si="15"/>
        <v>92</v>
      </c>
      <c r="I79" s="59">
        <f t="shared" si="20"/>
        <v>128</v>
      </c>
      <c r="J79" s="26">
        <f t="shared" si="21"/>
        <v>48</v>
      </c>
      <c r="K79" s="26">
        <f t="shared" si="22"/>
        <v>18</v>
      </c>
      <c r="L79" s="20">
        <f t="shared" si="23"/>
        <v>2</v>
      </c>
      <c r="M79" s="20">
        <f t="shared" si="24"/>
        <v>1</v>
      </c>
      <c r="N79" s="61">
        <f t="shared" si="16"/>
        <v>16643084</v>
      </c>
      <c r="O79" s="202">
        <f t="shared" si="25"/>
        <v>2036</v>
      </c>
      <c r="P79" s="205">
        <f t="shared" si="26"/>
        <v>68838</v>
      </c>
      <c r="Q79" s="59">
        <f t="shared" si="27"/>
        <v>56</v>
      </c>
      <c r="R79" s="59">
        <f t="shared" si="28"/>
        <v>109</v>
      </c>
      <c r="S79" s="60">
        <f t="shared" si="29"/>
        <v>152</v>
      </c>
      <c r="T79" s="26">
        <f t="shared" si="30"/>
        <v>71</v>
      </c>
      <c r="U79" s="20">
        <f t="shared" si="31"/>
        <v>99</v>
      </c>
      <c r="V79" s="20">
        <f t="shared" si="32"/>
        <v>37</v>
      </c>
      <c r="W79" s="20">
        <f t="shared" si="33"/>
        <v>14</v>
      </c>
      <c r="X79" s="20">
        <f t="shared" si="34"/>
        <v>2</v>
      </c>
      <c r="Y79" s="20">
        <f t="shared" si="35"/>
        <v>1</v>
      </c>
      <c r="Z79" s="61">
        <f t="shared" si="17"/>
        <v>15256517</v>
      </c>
      <c r="AA79" s="61">
        <f t="shared" si="36"/>
        <v>1386567</v>
      </c>
      <c r="AB79" s="61">
        <f>ROUND(AA79*NPV!C21,0)</f>
        <v>383397</v>
      </c>
    </row>
    <row r="80" spans="2:28" x14ac:dyDescent="0.2">
      <c r="B80" s="12">
        <f t="shared" si="13"/>
        <v>13</v>
      </c>
      <c r="C80" s="26">
        <f t="shared" si="37"/>
        <v>2037</v>
      </c>
      <c r="D80" s="59">
        <f t="shared" si="14"/>
        <v>70304</v>
      </c>
      <c r="E80" s="59">
        <f t="shared" si="38"/>
        <v>75</v>
      </c>
      <c r="F80" s="59">
        <f t="shared" si="18"/>
        <v>146</v>
      </c>
      <c r="G80" s="60">
        <f t="shared" si="19"/>
        <v>203</v>
      </c>
      <c r="H80" s="26">
        <f t="shared" si="15"/>
        <v>95</v>
      </c>
      <c r="I80" s="59">
        <f t="shared" si="20"/>
        <v>132</v>
      </c>
      <c r="J80" s="26">
        <f t="shared" si="21"/>
        <v>49</v>
      </c>
      <c r="K80" s="26">
        <f t="shared" si="22"/>
        <v>19</v>
      </c>
      <c r="L80" s="20">
        <f t="shared" si="23"/>
        <v>2</v>
      </c>
      <c r="M80" s="20">
        <f t="shared" si="24"/>
        <v>1</v>
      </c>
      <c r="N80" s="61">
        <f t="shared" si="16"/>
        <v>16857765</v>
      </c>
      <c r="O80" s="202">
        <f t="shared" si="25"/>
        <v>2037</v>
      </c>
      <c r="P80" s="205">
        <f t="shared" si="26"/>
        <v>70304</v>
      </c>
      <c r="Q80" s="59">
        <f t="shared" si="27"/>
        <v>57</v>
      </c>
      <c r="R80" s="59">
        <f t="shared" si="28"/>
        <v>111</v>
      </c>
      <c r="S80" s="60">
        <f t="shared" si="29"/>
        <v>154</v>
      </c>
      <c r="T80" s="26">
        <f t="shared" si="30"/>
        <v>72</v>
      </c>
      <c r="U80" s="20">
        <f t="shared" si="31"/>
        <v>100</v>
      </c>
      <c r="V80" s="20">
        <f t="shared" si="32"/>
        <v>37</v>
      </c>
      <c r="W80" s="20">
        <f t="shared" si="33"/>
        <v>14</v>
      </c>
      <c r="X80" s="20">
        <f t="shared" si="34"/>
        <v>2</v>
      </c>
      <c r="Y80" s="20">
        <f t="shared" si="35"/>
        <v>1</v>
      </c>
      <c r="Z80" s="61">
        <f t="shared" si="17"/>
        <v>15264044</v>
      </c>
      <c r="AA80" s="61">
        <f t="shared" si="36"/>
        <v>1593721</v>
      </c>
      <c r="AB80" s="61">
        <f>ROUND(AA80*NPV!C22,0)</f>
        <v>411848</v>
      </c>
    </row>
    <row r="81" spans="2:28" x14ac:dyDescent="0.2">
      <c r="B81" s="12">
        <f t="shared" si="13"/>
        <v>14</v>
      </c>
      <c r="C81" s="26">
        <f t="shared" si="37"/>
        <v>2038</v>
      </c>
      <c r="D81" s="59">
        <f t="shared" si="14"/>
        <v>71801</v>
      </c>
      <c r="E81" s="59">
        <f t="shared" si="38"/>
        <v>76</v>
      </c>
      <c r="F81" s="59">
        <f t="shared" si="18"/>
        <v>148</v>
      </c>
      <c r="G81" s="60">
        <f t="shared" si="19"/>
        <v>206</v>
      </c>
      <c r="H81" s="26">
        <f t="shared" si="15"/>
        <v>96</v>
      </c>
      <c r="I81" s="59">
        <f t="shared" si="20"/>
        <v>134</v>
      </c>
      <c r="J81" s="26">
        <f t="shared" si="21"/>
        <v>50</v>
      </c>
      <c r="K81" s="26">
        <f t="shared" si="22"/>
        <v>19</v>
      </c>
      <c r="L81" s="20">
        <f t="shared" si="23"/>
        <v>2</v>
      </c>
      <c r="M81" s="20">
        <f t="shared" si="24"/>
        <v>1</v>
      </c>
      <c r="N81" s="61">
        <f t="shared" si="16"/>
        <v>16932392</v>
      </c>
      <c r="O81" s="202">
        <f t="shared" si="25"/>
        <v>2038</v>
      </c>
      <c r="P81" s="205">
        <f t="shared" si="26"/>
        <v>71801</v>
      </c>
      <c r="Q81" s="59">
        <f t="shared" si="27"/>
        <v>58</v>
      </c>
      <c r="R81" s="59">
        <f t="shared" si="28"/>
        <v>113</v>
      </c>
      <c r="S81" s="60">
        <f t="shared" si="29"/>
        <v>157</v>
      </c>
      <c r="T81" s="26">
        <f t="shared" si="30"/>
        <v>73</v>
      </c>
      <c r="U81" s="20">
        <f t="shared" si="31"/>
        <v>102</v>
      </c>
      <c r="V81" s="20">
        <f t="shared" si="32"/>
        <v>38</v>
      </c>
      <c r="W81" s="20">
        <f t="shared" si="33"/>
        <v>15</v>
      </c>
      <c r="X81" s="20">
        <f t="shared" si="34"/>
        <v>2</v>
      </c>
      <c r="Y81" s="20">
        <f t="shared" si="35"/>
        <v>1</v>
      </c>
      <c r="Z81" s="61">
        <f t="shared" si="17"/>
        <v>15463671</v>
      </c>
      <c r="AA81" s="61">
        <f t="shared" si="36"/>
        <v>1468721</v>
      </c>
      <c r="AB81" s="61">
        <f>ROUND(AA81*NPV!C23,0)</f>
        <v>354715</v>
      </c>
    </row>
    <row r="82" spans="2:28" x14ac:dyDescent="0.2">
      <c r="B82" s="12">
        <f t="shared" si="13"/>
        <v>15</v>
      </c>
      <c r="C82" s="26">
        <f t="shared" si="37"/>
        <v>2039</v>
      </c>
      <c r="D82" s="59">
        <f t="shared" si="14"/>
        <v>73331</v>
      </c>
      <c r="E82" s="59">
        <f t="shared" si="38"/>
        <v>78</v>
      </c>
      <c r="F82" s="59">
        <f t="shared" si="18"/>
        <v>152</v>
      </c>
      <c r="G82" s="60">
        <f t="shared" si="19"/>
        <v>211</v>
      </c>
      <c r="H82" s="26">
        <f t="shared" si="15"/>
        <v>98</v>
      </c>
      <c r="I82" s="59">
        <f t="shared" si="20"/>
        <v>137</v>
      </c>
      <c r="J82" s="26">
        <f t="shared" si="21"/>
        <v>51</v>
      </c>
      <c r="K82" s="26">
        <f t="shared" si="22"/>
        <v>20</v>
      </c>
      <c r="L82" s="20">
        <f t="shared" si="23"/>
        <v>2</v>
      </c>
      <c r="M82" s="20">
        <f t="shared" si="24"/>
        <v>1</v>
      </c>
      <c r="N82" s="61">
        <f t="shared" si="16"/>
        <v>17139546</v>
      </c>
      <c r="O82" s="202">
        <f t="shared" si="25"/>
        <v>2039</v>
      </c>
      <c r="P82" s="205">
        <f t="shared" si="26"/>
        <v>73331</v>
      </c>
      <c r="Q82" s="59">
        <f t="shared" si="27"/>
        <v>59</v>
      </c>
      <c r="R82" s="59">
        <f t="shared" si="28"/>
        <v>115</v>
      </c>
      <c r="S82" s="60">
        <f t="shared" si="29"/>
        <v>160</v>
      </c>
      <c r="T82" s="26">
        <f t="shared" si="30"/>
        <v>74</v>
      </c>
      <c r="U82" s="20">
        <f t="shared" si="31"/>
        <v>104</v>
      </c>
      <c r="V82" s="20">
        <f t="shared" si="32"/>
        <v>39</v>
      </c>
      <c r="W82" s="20">
        <f t="shared" si="33"/>
        <v>15</v>
      </c>
      <c r="X82" s="20">
        <f t="shared" si="34"/>
        <v>2</v>
      </c>
      <c r="Y82" s="20">
        <f t="shared" si="35"/>
        <v>1</v>
      </c>
      <c r="Z82" s="61">
        <f t="shared" si="17"/>
        <v>15538298</v>
      </c>
      <c r="AA82" s="61">
        <f t="shared" si="36"/>
        <v>1601248</v>
      </c>
      <c r="AB82" s="61">
        <f>ROUND(AA82*NPV!C24,0)</f>
        <v>361423</v>
      </c>
    </row>
    <row r="83" spans="2:28" x14ac:dyDescent="0.2">
      <c r="B83" s="12">
        <f t="shared" si="13"/>
        <v>16</v>
      </c>
      <c r="C83" s="26">
        <f t="shared" si="37"/>
        <v>2040</v>
      </c>
      <c r="D83" s="59">
        <f t="shared" si="14"/>
        <v>74893</v>
      </c>
      <c r="E83" s="59">
        <f t="shared" si="38"/>
        <v>80</v>
      </c>
      <c r="F83" s="59">
        <f t="shared" si="18"/>
        <v>156</v>
      </c>
      <c r="G83" s="60">
        <f t="shared" si="19"/>
        <v>217</v>
      </c>
      <c r="H83" s="26">
        <f t="shared" si="15"/>
        <v>101</v>
      </c>
      <c r="I83" s="59">
        <f t="shared" si="20"/>
        <v>141</v>
      </c>
      <c r="J83" s="26">
        <f t="shared" si="21"/>
        <v>53</v>
      </c>
      <c r="K83" s="26">
        <f t="shared" si="22"/>
        <v>20</v>
      </c>
      <c r="L83" s="20">
        <f t="shared" si="23"/>
        <v>3</v>
      </c>
      <c r="M83" s="20">
        <f t="shared" si="24"/>
        <v>1</v>
      </c>
      <c r="N83" s="61">
        <f t="shared" si="16"/>
        <v>17752227</v>
      </c>
      <c r="O83" s="202">
        <f t="shared" si="25"/>
        <v>2040</v>
      </c>
      <c r="P83" s="205">
        <f t="shared" si="26"/>
        <v>74893</v>
      </c>
      <c r="Q83" s="59">
        <f t="shared" si="27"/>
        <v>60</v>
      </c>
      <c r="R83" s="59">
        <f t="shared" si="28"/>
        <v>117</v>
      </c>
      <c r="S83" s="60">
        <f t="shared" si="29"/>
        <v>163</v>
      </c>
      <c r="T83" s="26">
        <f t="shared" si="30"/>
        <v>76</v>
      </c>
      <c r="U83" s="20">
        <f t="shared" si="31"/>
        <v>106</v>
      </c>
      <c r="V83" s="20">
        <f t="shared" si="32"/>
        <v>39</v>
      </c>
      <c r="W83" s="20">
        <f t="shared" si="33"/>
        <v>15</v>
      </c>
      <c r="X83" s="20">
        <f t="shared" si="34"/>
        <v>2</v>
      </c>
      <c r="Y83" s="20">
        <f t="shared" si="35"/>
        <v>1</v>
      </c>
      <c r="Z83" s="61">
        <f t="shared" si="17"/>
        <v>15553352</v>
      </c>
      <c r="AA83" s="61">
        <f t="shared" si="36"/>
        <v>2198875</v>
      </c>
      <c r="AB83" s="61">
        <f>ROUND(AA83*NPV!C25,0)</f>
        <v>463846</v>
      </c>
    </row>
    <row r="84" spans="2:28" x14ac:dyDescent="0.2">
      <c r="B84" s="12">
        <f t="shared" si="13"/>
        <v>17</v>
      </c>
      <c r="C84" s="26">
        <f t="shared" si="37"/>
        <v>2041</v>
      </c>
      <c r="D84" s="59">
        <f t="shared" si="14"/>
        <v>76488</v>
      </c>
      <c r="E84" s="59">
        <f t="shared" si="38"/>
        <v>81</v>
      </c>
      <c r="F84" s="59">
        <f t="shared" si="18"/>
        <v>158</v>
      </c>
      <c r="G84" s="60">
        <f t="shared" si="19"/>
        <v>220</v>
      </c>
      <c r="H84" s="26">
        <f t="shared" si="15"/>
        <v>102</v>
      </c>
      <c r="I84" s="59">
        <f t="shared" si="20"/>
        <v>143</v>
      </c>
      <c r="J84" s="26">
        <f t="shared" si="21"/>
        <v>53</v>
      </c>
      <c r="K84" s="26">
        <f t="shared" si="22"/>
        <v>21</v>
      </c>
      <c r="L84" s="20">
        <f t="shared" si="23"/>
        <v>3</v>
      </c>
      <c r="M84" s="20">
        <f t="shared" si="24"/>
        <v>1</v>
      </c>
      <c r="N84" s="61">
        <f t="shared" si="16"/>
        <v>17887954</v>
      </c>
      <c r="O84" s="202">
        <f t="shared" si="25"/>
        <v>2041</v>
      </c>
      <c r="P84" s="205">
        <f t="shared" si="26"/>
        <v>76488</v>
      </c>
      <c r="Q84" s="59">
        <f t="shared" si="27"/>
        <v>62</v>
      </c>
      <c r="R84" s="59">
        <f t="shared" si="28"/>
        <v>121</v>
      </c>
      <c r="S84" s="60">
        <f t="shared" si="29"/>
        <v>168</v>
      </c>
      <c r="T84" s="26">
        <f t="shared" si="30"/>
        <v>78</v>
      </c>
      <c r="U84" s="20">
        <f t="shared" si="31"/>
        <v>109</v>
      </c>
      <c r="V84" s="20">
        <f t="shared" si="32"/>
        <v>41</v>
      </c>
      <c r="W84" s="20">
        <f t="shared" si="33"/>
        <v>16</v>
      </c>
      <c r="X84" s="20">
        <f t="shared" si="34"/>
        <v>2</v>
      </c>
      <c r="Y84" s="20">
        <f t="shared" si="35"/>
        <v>1</v>
      </c>
      <c r="Z84" s="61">
        <f t="shared" si="17"/>
        <v>15824406</v>
      </c>
      <c r="AA84" s="61">
        <f t="shared" si="36"/>
        <v>2063548</v>
      </c>
      <c r="AB84" s="61">
        <f>ROUND(AA84*NPV!C26,0)</f>
        <v>406822</v>
      </c>
    </row>
    <row r="85" spans="2:28" x14ac:dyDescent="0.2">
      <c r="B85" s="12">
        <f t="shared" si="13"/>
        <v>18</v>
      </c>
      <c r="C85" s="26">
        <f t="shared" si="37"/>
        <v>2042</v>
      </c>
      <c r="D85" s="59">
        <f t="shared" si="14"/>
        <v>78117</v>
      </c>
      <c r="E85" s="59">
        <f t="shared" si="38"/>
        <v>83</v>
      </c>
      <c r="F85" s="59">
        <f t="shared" si="18"/>
        <v>161</v>
      </c>
      <c r="G85" s="60">
        <f t="shared" si="19"/>
        <v>224</v>
      </c>
      <c r="H85" s="26">
        <f t="shared" si="15"/>
        <v>105</v>
      </c>
      <c r="I85" s="59">
        <f t="shared" si="20"/>
        <v>145</v>
      </c>
      <c r="J85" s="26">
        <f t="shared" si="21"/>
        <v>54</v>
      </c>
      <c r="K85" s="26">
        <f t="shared" si="22"/>
        <v>21</v>
      </c>
      <c r="L85" s="20">
        <f t="shared" si="23"/>
        <v>3</v>
      </c>
      <c r="M85" s="20">
        <f t="shared" si="24"/>
        <v>1</v>
      </c>
      <c r="N85" s="61">
        <f t="shared" si="16"/>
        <v>17971235</v>
      </c>
      <c r="O85" s="202">
        <f t="shared" si="25"/>
        <v>2042</v>
      </c>
      <c r="P85" s="205">
        <f t="shared" si="26"/>
        <v>78117</v>
      </c>
      <c r="Q85" s="59">
        <f t="shared" si="27"/>
        <v>63</v>
      </c>
      <c r="R85" s="59">
        <f t="shared" si="28"/>
        <v>123</v>
      </c>
      <c r="S85" s="60">
        <f t="shared" si="29"/>
        <v>171</v>
      </c>
      <c r="T85" s="26">
        <f t="shared" si="30"/>
        <v>79</v>
      </c>
      <c r="U85" s="20">
        <f t="shared" si="31"/>
        <v>111</v>
      </c>
      <c r="V85" s="20">
        <f t="shared" si="32"/>
        <v>41</v>
      </c>
      <c r="W85" s="20">
        <f t="shared" si="33"/>
        <v>16</v>
      </c>
      <c r="X85" s="20">
        <f t="shared" si="34"/>
        <v>2</v>
      </c>
      <c r="Y85" s="20">
        <f t="shared" si="35"/>
        <v>1</v>
      </c>
      <c r="Z85" s="61">
        <f t="shared" si="17"/>
        <v>15835133</v>
      </c>
      <c r="AA85" s="61">
        <f t="shared" si="36"/>
        <v>2136102</v>
      </c>
      <c r="AB85" s="61">
        <f>ROUND(AA85*NPV!C27,0)</f>
        <v>393575</v>
      </c>
    </row>
    <row r="86" spans="2:28" x14ac:dyDescent="0.2">
      <c r="B86" s="12">
        <f t="shared" si="13"/>
        <v>19</v>
      </c>
      <c r="C86" s="26">
        <f t="shared" si="37"/>
        <v>2043</v>
      </c>
      <c r="D86" s="59">
        <f t="shared" si="14"/>
        <v>79780</v>
      </c>
      <c r="E86" s="59">
        <f t="shared" si="38"/>
        <v>85</v>
      </c>
      <c r="F86" s="59">
        <f t="shared" si="18"/>
        <v>165</v>
      </c>
      <c r="G86" s="60">
        <f t="shared" si="19"/>
        <v>229</v>
      </c>
      <c r="H86" s="26">
        <f t="shared" si="15"/>
        <v>107</v>
      </c>
      <c r="I86" s="59">
        <f t="shared" si="20"/>
        <v>148</v>
      </c>
      <c r="J86" s="26">
        <f t="shared" si="21"/>
        <v>55</v>
      </c>
      <c r="K86" s="26">
        <f t="shared" si="22"/>
        <v>21</v>
      </c>
      <c r="L86" s="20">
        <f t="shared" si="23"/>
        <v>3</v>
      </c>
      <c r="M86" s="20">
        <f t="shared" si="24"/>
        <v>1</v>
      </c>
      <c r="N86" s="61">
        <f t="shared" si="16"/>
        <v>18053389</v>
      </c>
      <c r="O86" s="202">
        <f t="shared" si="25"/>
        <v>2043</v>
      </c>
      <c r="P86" s="205">
        <f t="shared" si="26"/>
        <v>79780</v>
      </c>
      <c r="Q86" s="59">
        <f t="shared" si="27"/>
        <v>64</v>
      </c>
      <c r="R86" s="59">
        <f t="shared" si="28"/>
        <v>124</v>
      </c>
      <c r="S86" s="60">
        <f t="shared" si="29"/>
        <v>172</v>
      </c>
      <c r="T86" s="26">
        <f t="shared" si="30"/>
        <v>81</v>
      </c>
      <c r="U86" s="20">
        <f t="shared" si="31"/>
        <v>112</v>
      </c>
      <c r="V86" s="20">
        <f t="shared" si="32"/>
        <v>42</v>
      </c>
      <c r="W86" s="20">
        <f t="shared" si="33"/>
        <v>16</v>
      </c>
      <c r="X86" s="20">
        <f t="shared" si="34"/>
        <v>2</v>
      </c>
      <c r="Y86" s="20">
        <f t="shared" si="35"/>
        <v>1</v>
      </c>
      <c r="Z86" s="61">
        <f t="shared" si="17"/>
        <v>15910887</v>
      </c>
      <c r="AA86" s="61">
        <f t="shared" si="36"/>
        <v>2142502</v>
      </c>
      <c r="AB86" s="61">
        <f>ROUND(AA86*NPV!C28,0)</f>
        <v>368929</v>
      </c>
    </row>
    <row r="87" spans="2:28" x14ac:dyDescent="0.2">
      <c r="B87" s="12">
        <f t="shared" si="13"/>
        <v>20</v>
      </c>
      <c r="C87" s="27">
        <f t="shared" si="37"/>
        <v>2044</v>
      </c>
      <c r="D87" s="62">
        <f t="shared" si="14"/>
        <v>81480</v>
      </c>
      <c r="E87" s="62">
        <f t="shared" si="38"/>
        <v>87</v>
      </c>
      <c r="F87" s="62">
        <f t="shared" si="18"/>
        <v>169</v>
      </c>
      <c r="G87" s="63">
        <f t="shared" si="19"/>
        <v>235</v>
      </c>
      <c r="H87" s="27">
        <f t="shared" si="15"/>
        <v>110</v>
      </c>
      <c r="I87" s="62">
        <f t="shared" si="20"/>
        <v>152</v>
      </c>
      <c r="J87" s="27">
        <f>ROUND(G87*$J$10,0)</f>
        <v>57</v>
      </c>
      <c r="K87" s="27">
        <f t="shared" si="22"/>
        <v>22</v>
      </c>
      <c r="L87" s="18">
        <f t="shared" si="23"/>
        <v>3</v>
      </c>
      <c r="M87" s="18">
        <f>ROUND(G87*$J$4,0)</f>
        <v>1</v>
      </c>
      <c r="N87" s="64">
        <f t="shared" si="16"/>
        <v>18331970</v>
      </c>
      <c r="O87" s="203">
        <f t="shared" si="25"/>
        <v>2044</v>
      </c>
      <c r="P87" s="206">
        <f t="shared" si="26"/>
        <v>81480</v>
      </c>
      <c r="Q87" s="62">
        <f t="shared" si="27"/>
        <v>66</v>
      </c>
      <c r="R87" s="62">
        <f t="shared" si="28"/>
        <v>128</v>
      </c>
      <c r="S87" s="63">
        <f t="shared" si="29"/>
        <v>178</v>
      </c>
      <c r="T87" s="27">
        <f t="shared" si="30"/>
        <v>83</v>
      </c>
      <c r="U87" s="18">
        <f t="shared" si="31"/>
        <v>115</v>
      </c>
      <c r="V87" s="18">
        <f t="shared" si="32"/>
        <v>43</v>
      </c>
      <c r="W87" s="18">
        <f t="shared" si="33"/>
        <v>17</v>
      </c>
      <c r="X87" s="18">
        <f t="shared" si="34"/>
        <v>2</v>
      </c>
      <c r="Y87" s="18">
        <f t="shared" si="35"/>
        <v>1</v>
      </c>
      <c r="Z87" s="64">
        <f t="shared" si="17"/>
        <v>16118041</v>
      </c>
      <c r="AA87" s="64">
        <f t="shared" si="36"/>
        <v>2213929</v>
      </c>
      <c r="AB87" s="64">
        <f>ROUND(AA87*NPV!C29,0)</f>
        <v>381229</v>
      </c>
    </row>
    <row r="88" spans="2:28" x14ac:dyDescent="0.2">
      <c r="C88" s="305" t="s">
        <v>0</v>
      </c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195">
        <f>SUM(N67:N87)</f>
        <v>348674271</v>
      </c>
      <c r="O88" s="200"/>
      <c r="P88" s="200"/>
      <c r="Q88" s="306" t="s">
        <v>0</v>
      </c>
      <c r="R88" s="306"/>
      <c r="S88" s="306"/>
      <c r="T88" s="306"/>
      <c r="U88" s="306"/>
      <c r="V88" s="306"/>
      <c r="W88" s="306"/>
      <c r="X88" s="306"/>
      <c r="Y88" s="306"/>
      <c r="Z88" s="307"/>
      <c r="AA88" s="58">
        <f>SUM(AA67:AA87)</f>
        <v>82822904</v>
      </c>
      <c r="AB88" s="58">
        <f>SUM(AB67:AB87)</f>
        <v>37815552</v>
      </c>
    </row>
  </sheetData>
  <mergeCells count="65">
    <mergeCell ref="AA8:AA9"/>
    <mergeCell ref="AA10:AA11"/>
    <mergeCell ref="AA12:AA13"/>
    <mergeCell ref="AA14:AA15"/>
    <mergeCell ref="AA16:AJ16"/>
    <mergeCell ref="AA2:AJ2"/>
    <mergeCell ref="AA3:AB3"/>
    <mergeCell ref="AI3:AJ3"/>
    <mergeCell ref="AA4:AA5"/>
    <mergeCell ref="AA6:AA7"/>
    <mergeCell ref="C88:M88"/>
    <mergeCell ref="Q88:Z88"/>
    <mergeCell ref="M2:X2"/>
    <mergeCell ref="M3:N3"/>
    <mergeCell ref="W3:X3"/>
    <mergeCell ref="M4:M5"/>
    <mergeCell ref="M6:M7"/>
    <mergeCell ref="M8:M9"/>
    <mergeCell ref="M10:M11"/>
    <mergeCell ref="M12:M13"/>
    <mergeCell ref="M14:M15"/>
    <mergeCell ref="M16:X16"/>
    <mergeCell ref="O64:O66"/>
    <mergeCell ref="P64:P66"/>
    <mergeCell ref="AB64:AB66"/>
    <mergeCell ref="D64:D66"/>
    <mergeCell ref="A50:D50"/>
    <mergeCell ref="A62:D62"/>
    <mergeCell ref="A54:C54"/>
    <mergeCell ref="N65:N66"/>
    <mergeCell ref="J65:M65"/>
    <mergeCell ref="Q65:Q66"/>
    <mergeCell ref="R65:R66"/>
    <mergeCell ref="S65:S66"/>
    <mergeCell ref="T65:T66"/>
    <mergeCell ref="U65:U66"/>
    <mergeCell ref="V65:Y65"/>
    <mergeCell ref="A32:B32"/>
    <mergeCell ref="AA64:AA66"/>
    <mergeCell ref="E64:N64"/>
    <mergeCell ref="Q64:Z64"/>
    <mergeCell ref="A42:B42"/>
    <mergeCell ref="C64:C66"/>
    <mergeCell ref="A40:B40"/>
    <mergeCell ref="A44:B44"/>
    <mergeCell ref="A34:B34"/>
    <mergeCell ref="A38:B38"/>
    <mergeCell ref="A48:B48"/>
    <mergeCell ref="E65:E66"/>
    <mergeCell ref="F65:F66"/>
    <mergeCell ref="G65:G66"/>
    <mergeCell ref="H65:H66"/>
    <mergeCell ref="I65:I66"/>
    <mergeCell ref="A18:B18"/>
    <mergeCell ref="A21:B21"/>
    <mergeCell ref="A2:J2"/>
    <mergeCell ref="A16:J16"/>
    <mergeCell ref="I3:J3"/>
    <mergeCell ref="A3:B3"/>
    <mergeCell ref="A4:A5"/>
    <mergeCell ref="A6:A7"/>
    <mergeCell ref="A8:A9"/>
    <mergeCell ref="A10:A11"/>
    <mergeCell ref="A12:A13"/>
    <mergeCell ref="A14:A15"/>
  </mergeCells>
  <pageMargins left="0.25" right="0.25" top="0.75" bottom="0.75" header="0.3" footer="0.3"/>
  <pageSetup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46"/>
  <sheetViews>
    <sheetView topLeftCell="A25" workbookViewId="0">
      <selection activeCell="O24" sqref="O24"/>
    </sheetView>
  </sheetViews>
  <sheetFormatPr defaultRowHeight="12.75" x14ac:dyDescent="0.2"/>
  <cols>
    <col min="1" max="1" width="15.7109375" customWidth="1"/>
    <col min="2" max="2" width="18.140625" bestFit="1" customWidth="1"/>
    <col min="5" max="6" width="12.5703125" customWidth="1"/>
    <col min="7" max="7" width="20.7109375" bestFit="1" customWidth="1"/>
    <col min="8" max="8" width="18.140625" bestFit="1" customWidth="1"/>
    <col min="9" max="9" width="18.140625" customWidth="1"/>
    <col min="10" max="10" width="5.7109375" customWidth="1"/>
    <col min="11" max="11" width="11.140625" bestFit="1" customWidth="1"/>
  </cols>
  <sheetData>
    <row r="1" spans="1:12" x14ac:dyDescent="0.2">
      <c r="A1" s="297" t="s">
        <v>68</v>
      </c>
      <c r="B1" s="297"/>
      <c r="D1" s="126"/>
      <c r="E1" s="126"/>
      <c r="F1" s="126"/>
      <c r="G1" s="126"/>
      <c r="L1" s="6"/>
    </row>
    <row r="2" spans="1:12" x14ac:dyDescent="0.2">
      <c r="A2" s="55" t="s">
        <v>152</v>
      </c>
      <c r="B2" s="91">
        <f>Safety!D61</f>
        <v>53456</v>
      </c>
      <c r="D2" s="126"/>
      <c r="E2" s="126"/>
      <c r="F2" s="126"/>
      <c r="G2" s="126"/>
      <c r="K2" s="126"/>
    </row>
    <row r="3" spans="1:12" x14ac:dyDescent="0.2">
      <c r="A3" s="55" t="s">
        <v>79</v>
      </c>
      <c r="B3" s="92">
        <f>Safety!D54</f>
        <v>2.1298341230371109E-2</v>
      </c>
      <c r="D3" s="126"/>
      <c r="E3" s="126"/>
      <c r="F3" s="126"/>
      <c r="G3" s="126"/>
    </row>
    <row r="4" spans="1:12" x14ac:dyDescent="0.2">
      <c r="A4" s="314" t="s">
        <v>80</v>
      </c>
      <c r="B4" s="314"/>
      <c r="D4" s="126"/>
      <c r="E4" s="126"/>
      <c r="F4" s="126"/>
      <c r="G4" s="126"/>
    </row>
    <row r="5" spans="1:12" x14ac:dyDescent="0.2">
      <c r="A5" s="30"/>
      <c r="B5" s="93"/>
      <c r="D5" s="126"/>
      <c r="E5" s="126"/>
      <c r="F5" s="126"/>
      <c r="G5" s="126"/>
    </row>
    <row r="6" spans="1:12" ht="25.5" customHeight="1" x14ac:dyDescent="0.2">
      <c r="A6" s="310" t="s">
        <v>81</v>
      </c>
      <c r="B6" s="310"/>
      <c r="D6" s="313"/>
      <c r="E6" s="313"/>
      <c r="F6" s="313"/>
      <c r="G6" s="313"/>
      <c r="H6" s="313"/>
      <c r="I6" s="313"/>
      <c r="J6" s="313"/>
    </row>
    <row r="7" spans="1:12" ht="25.5" x14ac:dyDescent="0.2">
      <c r="A7" s="55" t="s">
        <v>83</v>
      </c>
      <c r="B7" s="97">
        <v>457</v>
      </c>
      <c r="C7" s="6"/>
      <c r="D7" s="313"/>
      <c r="E7" s="313"/>
      <c r="F7" s="313"/>
      <c r="G7" s="313"/>
      <c r="H7" s="313"/>
      <c r="I7" s="313"/>
      <c r="J7" s="313"/>
    </row>
    <row r="8" spans="1:12" ht="27" customHeight="1" x14ac:dyDescent="0.2">
      <c r="A8" s="315" t="s">
        <v>82</v>
      </c>
      <c r="B8" s="316"/>
    </row>
    <row r="9" spans="1:12" ht="38.25" x14ac:dyDescent="0.2">
      <c r="A9" s="55" t="s">
        <v>84</v>
      </c>
      <c r="B9" s="236">
        <v>0.02</v>
      </c>
      <c r="C9" s="6"/>
    </row>
    <row r="10" spans="1:12" ht="25.5" x14ac:dyDescent="0.2">
      <c r="A10" s="55" t="s">
        <v>85</v>
      </c>
      <c r="B10" s="98">
        <f>B9*B7</f>
        <v>9.14</v>
      </c>
      <c r="C10" s="6"/>
    </row>
    <row r="11" spans="1:12" x14ac:dyDescent="0.2">
      <c r="A11" s="30"/>
      <c r="B11" s="135"/>
      <c r="C11" s="6"/>
    </row>
    <row r="12" spans="1:12" x14ac:dyDescent="0.2">
      <c r="A12" s="310" t="s">
        <v>179</v>
      </c>
      <c r="B12" s="310"/>
      <c r="C12" s="6"/>
    </row>
    <row r="13" spans="1:12" x14ac:dyDescent="0.2">
      <c r="A13" s="55" t="s">
        <v>152</v>
      </c>
      <c r="B13" s="161">
        <f>B2</f>
        <v>53456</v>
      </c>
      <c r="C13" s="6"/>
    </row>
    <row r="14" spans="1:12" x14ac:dyDescent="0.2">
      <c r="A14" s="137" t="s">
        <v>160</v>
      </c>
      <c r="B14" s="138"/>
    </row>
    <row r="15" spans="1:12" x14ac:dyDescent="0.2">
      <c r="A15" s="137" t="s">
        <v>161</v>
      </c>
      <c r="B15" s="160">
        <v>0.1</v>
      </c>
      <c r="C15" s="6" t="s">
        <v>218</v>
      </c>
    </row>
    <row r="16" spans="1:12" x14ac:dyDescent="0.2">
      <c r="A16" s="311" t="s">
        <v>162</v>
      </c>
      <c r="B16" s="312"/>
    </row>
    <row r="17" spans="1:10" ht="13.5" thickBot="1" x14ac:dyDescent="0.25">
      <c r="A17" s="136"/>
    </row>
    <row r="18" spans="1:10" ht="39" thickBot="1" x14ac:dyDescent="0.25">
      <c r="C18" s="1"/>
      <c r="D18" s="227"/>
      <c r="F18" s="230" t="s">
        <v>1</v>
      </c>
      <c r="G18" s="231" t="s">
        <v>78</v>
      </c>
      <c r="H18" s="231" t="s">
        <v>93</v>
      </c>
      <c r="I18" s="232" t="s">
        <v>170</v>
      </c>
      <c r="J18" s="1"/>
    </row>
    <row r="19" spans="1:10" ht="13.5" thickTop="1" x14ac:dyDescent="0.2">
      <c r="C19" s="228"/>
      <c r="D19" s="228"/>
      <c r="E19" s="12">
        <f t="shared" ref="E19:E39" si="0">F19-$F$19</f>
        <v>0</v>
      </c>
      <c r="F19" s="207">
        <v>2024</v>
      </c>
      <c r="G19" s="94">
        <f>ROUND($B$2*(1+$B$3)^E19,0)</f>
        <v>53456</v>
      </c>
      <c r="H19" s="86">
        <f>ROUND(G19*$B$10,0)</f>
        <v>488588</v>
      </c>
      <c r="I19" s="208">
        <f>H19*NPV!C9</f>
        <v>304268.05088790861</v>
      </c>
      <c r="J19" s="1"/>
    </row>
    <row r="20" spans="1:10" x14ac:dyDescent="0.2">
      <c r="C20" s="228"/>
      <c r="D20" s="228"/>
      <c r="E20" s="12">
        <f t="shared" si="0"/>
        <v>1</v>
      </c>
      <c r="F20" s="209">
        <f>F19+1</f>
        <v>2025</v>
      </c>
      <c r="G20" s="95">
        <f t="shared" ref="G20:G39" si="1">ROUND($B$2*(1+$B$3)^E20,0)</f>
        <v>54595</v>
      </c>
      <c r="H20" s="84">
        <f t="shared" ref="H20:H39" si="2">ROUND(G20*$B$10,0)</f>
        <v>498998</v>
      </c>
      <c r="I20" s="210">
        <f>H20*NPV!C10</f>
        <v>290421.37915974506</v>
      </c>
      <c r="J20" s="1"/>
    </row>
    <row r="21" spans="1:10" x14ac:dyDescent="0.2">
      <c r="C21" s="228"/>
      <c r="D21" s="228"/>
      <c r="E21" s="12">
        <f t="shared" si="0"/>
        <v>2</v>
      </c>
      <c r="F21" s="209">
        <f t="shared" ref="F21:F39" si="3">F20+1</f>
        <v>2026</v>
      </c>
      <c r="G21" s="95">
        <f t="shared" si="1"/>
        <v>55757</v>
      </c>
      <c r="H21" s="84">
        <f t="shared" si="2"/>
        <v>509619</v>
      </c>
      <c r="I21" s="210">
        <f>H21*NPV!C11</f>
        <v>277198.96996199095</v>
      </c>
      <c r="J21" s="1"/>
    </row>
    <row r="22" spans="1:10" x14ac:dyDescent="0.2">
      <c r="C22" s="228"/>
      <c r="D22" s="228"/>
      <c r="E22" s="12">
        <f t="shared" si="0"/>
        <v>3</v>
      </c>
      <c r="F22" s="209">
        <f t="shared" si="3"/>
        <v>2027</v>
      </c>
      <c r="G22" s="95">
        <f t="shared" si="1"/>
        <v>56945</v>
      </c>
      <c r="H22" s="84">
        <f t="shared" si="2"/>
        <v>520477</v>
      </c>
      <c r="I22" s="210">
        <f>H22*NPV!C12</f>
        <v>264584.11452240153</v>
      </c>
      <c r="J22" s="1"/>
    </row>
    <row r="23" spans="1:10" x14ac:dyDescent="0.2">
      <c r="C23" s="228"/>
      <c r="D23" s="228"/>
      <c r="E23" s="12">
        <f t="shared" si="0"/>
        <v>4</v>
      </c>
      <c r="F23" s="209">
        <f t="shared" si="3"/>
        <v>2028</v>
      </c>
      <c r="G23" s="95">
        <f t="shared" si="1"/>
        <v>58158</v>
      </c>
      <c r="H23" s="84">
        <f t="shared" si="2"/>
        <v>531564</v>
      </c>
      <c r="I23" s="210">
        <f>H23*NPV!C13</f>
        <v>252542.22721897112</v>
      </c>
      <c r="J23" s="1"/>
    </row>
    <row r="24" spans="1:10" x14ac:dyDescent="0.2">
      <c r="C24" s="228"/>
      <c r="D24" s="228"/>
      <c r="E24" s="12">
        <f t="shared" si="0"/>
        <v>5</v>
      </c>
      <c r="F24" s="209">
        <f t="shared" si="3"/>
        <v>2029</v>
      </c>
      <c r="G24" s="95">
        <f t="shared" si="1"/>
        <v>59396</v>
      </c>
      <c r="H24" s="84">
        <f t="shared" si="2"/>
        <v>542879</v>
      </c>
      <c r="I24" s="210">
        <f>H24*NPV!C14</f>
        <v>241044.76842065112</v>
      </c>
      <c r="J24" s="1"/>
    </row>
    <row r="25" spans="1:10" x14ac:dyDescent="0.2">
      <c r="C25" s="228"/>
      <c r="D25" s="228"/>
      <c r="E25" s="12">
        <f t="shared" si="0"/>
        <v>6</v>
      </c>
      <c r="F25" s="209">
        <f t="shared" si="3"/>
        <v>2030</v>
      </c>
      <c r="G25" s="95">
        <f t="shared" si="1"/>
        <v>60661</v>
      </c>
      <c r="H25" s="84">
        <f t="shared" si="2"/>
        <v>554442</v>
      </c>
      <c r="I25" s="210">
        <f>H25*NPV!C15</f>
        <v>230073.71841621655</v>
      </c>
      <c r="J25" s="1"/>
    </row>
    <row r="26" spans="1:10" x14ac:dyDescent="0.2">
      <c r="C26" s="228"/>
      <c r="D26" s="228"/>
      <c r="E26" s="12">
        <f t="shared" si="0"/>
        <v>7</v>
      </c>
      <c r="F26" s="209">
        <f t="shared" si="3"/>
        <v>2031</v>
      </c>
      <c r="G26" s="95">
        <f t="shared" si="1"/>
        <v>61953</v>
      </c>
      <c r="H26" s="84">
        <f t="shared" si="2"/>
        <v>566250</v>
      </c>
      <c r="I26" s="210">
        <f>H26*NPV!C16</f>
        <v>219601.51272606023</v>
      </c>
      <c r="J26" s="1"/>
    </row>
    <row r="27" spans="1:10" x14ac:dyDescent="0.2">
      <c r="C27" s="228"/>
      <c r="D27" s="228"/>
      <c r="E27" s="12">
        <f t="shared" si="0"/>
        <v>8</v>
      </c>
      <c r="F27" s="209">
        <f t="shared" si="3"/>
        <v>2032</v>
      </c>
      <c r="G27" s="95">
        <f t="shared" si="1"/>
        <v>63273</v>
      </c>
      <c r="H27" s="84">
        <f t="shared" si="2"/>
        <v>578315</v>
      </c>
      <c r="I27" s="210">
        <f>H27*NPV!C17</f>
        <v>209607.96984947124</v>
      </c>
      <c r="J27" s="1"/>
    </row>
    <row r="28" spans="1:10" x14ac:dyDescent="0.2">
      <c r="C28" s="228"/>
      <c r="D28" s="228"/>
      <c r="E28" s="12">
        <f t="shared" si="0"/>
        <v>9</v>
      </c>
      <c r="F28" s="209">
        <f t="shared" si="3"/>
        <v>2033</v>
      </c>
      <c r="G28" s="95">
        <f t="shared" si="1"/>
        <v>64620</v>
      </c>
      <c r="H28" s="84">
        <f t="shared" si="2"/>
        <v>590627</v>
      </c>
      <c r="I28" s="210">
        <f>H28*NPV!C18</f>
        <v>200065.79929281122</v>
      </c>
      <c r="J28" s="1"/>
    </row>
    <row r="29" spans="1:10" x14ac:dyDescent="0.2">
      <c r="C29" s="228"/>
      <c r="D29" s="228"/>
      <c r="E29" s="12">
        <f t="shared" si="0"/>
        <v>10</v>
      </c>
      <c r="F29" s="209">
        <f t="shared" si="3"/>
        <v>2034</v>
      </c>
      <c r="G29" s="95">
        <f t="shared" si="1"/>
        <v>65997</v>
      </c>
      <c r="H29" s="84">
        <f t="shared" si="2"/>
        <v>603213</v>
      </c>
      <c r="I29" s="210">
        <f>H29*NPV!C19</f>
        <v>190961.78779502728</v>
      </c>
      <c r="J29" s="1"/>
    </row>
    <row r="30" spans="1:10" x14ac:dyDescent="0.2">
      <c r="C30" s="228"/>
      <c r="D30" s="228"/>
      <c r="E30" s="12">
        <f t="shared" si="0"/>
        <v>11</v>
      </c>
      <c r="F30" s="209">
        <f t="shared" si="3"/>
        <v>2035</v>
      </c>
      <c r="G30" s="95">
        <f t="shared" si="1"/>
        <v>67402</v>
      </c>
      <c r="H30" s="84">
        <f t="shared" si="2"/>
        <v>616054</v>
      </c>
      <c r="I30" s="210">
        <f>H30*NPV!C20</f>
        <v>182268.14910558588</v>
      </c>
      <c r="J30" s="1"/>
    </row>
    <row r="31" spans="1:10" x14ac:dyDescent="0.2">
      <c r="C31" s="228"/>
      <c r="D31" s="228"/>
      <c r="E31" s="12">
        <f t="shared" si="0"/>
        <v>12</v>
      </c>
      <c r="F31" s="209">
        <f t="shared" si="3"/>
        <v>2036</v>
      </c>
      <c r="G31" s="95">
        <f t="shared" si="1"/>
        <v>68838</v>
      </c>
      <c r="H31" s="84">
        <f t="shared" si="2"/>
        <v>629179</v>
      </c>
      <c r="I31" s="210">
        <f>H31*NPV!C21</f>
        <v>173973.23645542699</v>
      </c>
      <c r="J31" s="1"/>
    </row>
    <row r="32" spans="1:10" x14ac:dyDescent="0.2">
      <c r="C32" s="228"/>
      <c r="D32" s="228"/>
      <c r="E32" s="12">
        <f t="shared" si="0"/>
        <v>13</v>
      </c>
      <c r="F32" s="209">
        <f t="shared" si="3"/>
        <v>2037</v>
      </c>
      <c r="G32" s="95">
        <f t="shared" si="1"/>
        <v>70304</v>
      </c>
      <c r="H32" s="84">
        <f t="shared" si="2"/>
        <v>642579</v>
      </c>
      <c r="I32" s="210">
        <f>H32*NPV!C22</f>
        <v>166054.62440913293</v>
      </c>
      <c r="J32" s="1"/>
    </row>
    <row r="33" spans="3:10" x14ac:dyDescent="0.2">
      <c r="C33" s="228"/>
      <c r="D33" s="228"/>
      <c r="E33" s="12">
        <f t="shared" si="0"/>
        <v>14</v>
      </c>
      <c r="F33" s="209">
        <f t="shared" si="3"/>
        <v>2038</v>
      </c>
      <c r="G33" s="95">
        <f t="shared" si="1"/>
        <v>71801</v>
      </c>
      <c r="H33" s="84">
        <f t="shared" si="2"/>
        <v>656261</v>
      </c>
      <c r="I33" s="210">
        <f>H33*NPV!C23</f>
        <v>158495.61981834794</v>
      </c>
      <c r="J33" s="1"/>
    </row>
    <row r="34" spans="3:10" x14ac:dyDescent="0.2">
      <c r="C34" s="228"/>
      <c r="D34" s="228"/>
      <c r="E34" s="12">
        <f t="shared" si="0"/>
        <v>15</v>
      </c>
      <c r="F34" s="209">
        <f t="shared" si="3"/>
        <v>2039</v>
      </c>
      <c r="G34" s="95">
        <f t="shared" si="1"/>
        <v>73331</v>
      </c>
      <c r="H34" s="84">
        <f t="shared" si="2"/>
        <v>670245</v>
      </c>
      <c r="I34" s="210">
        <f>H34*NPV!C24</f>
        <v>151283.12039565152</v>
      </c>
      <c r="J34" s="1"/>
    </row>
    <row r="35" spans="3:10" x14ac:dyDescent="0.2">
      <c r="C35" s="228"/>
      <c r="D35" s="228"/>
      <c r="E35" s="12">
        <f t="shared" si="0"/>
        <v>16</v>
      </c>
      <c r="F35" s="209">
        <f t="shared" si="3"/>
        <v>2040</v>
      </c>
      <c r="G35" s="95">
        <f t="shared" si="1"/>
        <v>74893</v>
      </c>
      <c r="H35" s="84">
        <f t="shared" si="2"/>
        <v>684522</v>
      </c>
      <c r="I35" s="210">
        <f>H35*NPV!C25</f>
        <v>144397.78248123129</v>
      </c>
      <c r="J35" s="1"/>
    </row>
    <row r="36" spans="3:10" x14ac:dyDescent="0.2">
      <c r="C36" s="228"/>
      <c r="D36" s="228"/>
      <c r="E36" s="12">
        <f t="shared" si="0"/>
        <v>17</v>
      </c>
      <c r="F36" s="209">
        <f t="shared" si="3"/>
        <v>2041</v>
      </c>
      <c r="G36" s="95">
        <f t="shared" si="1"/>
        <v>76488</v>
      </c>
      <c r="H36" s="84">
        <f t="shared" si="2"/>
        <v>699100</v>
      </c>
      <c r="I36" s="210">
        <f>H36*NPV!C26</f>
        <v>137825.20200620353</v>
      </c>
      <c r="J36" s="1"/>
    </row>
    <row r="37" spans="3:10" x14ac:dyDescent="0.2">
      <c r="C37" s="228"/>
      <c r="D37" s="228"/>
      <c r="E37" s="12">
        <f t="shared" si="0"/>
        <v>18</v>
      </c>
      <c r="F37" s="209">
        <f t="shared" si="3"/>
        <v>2042</v>
      </c>
      <c r="G37" s="95">
        <f t="shared" si="1"/>
        <v>78117</v>
      </c>
      <c r="H37" s="84">
        <f t="shared" si="2"/>
        <v>713989</v>
      </c>
      <c r="I37" s="210">
        <f>H37*NPV!C27</f>
        <v>131551.8860099263</v>
      </c>
      <c r="J37" s="1"/>
    </row>
    <row r="38" spans="3:10" x14ac:dyDescent="0.2">
      <c r="C38" s="228"/>
      <c r="D38" s="228"/>
      <c r="E38" s="12">
        <f t="shared" si="0"/>
        <v>19</v>
      </c>
      <c r="F38" s="209">
        <f t="shared" si="3"/>
        <v>2043</v>
      </c>
      <c r="G38" s="95">
        <f t="shared" si="1"/>
        <v>79780</v>
      </c>
      <c r="H38" s="84">
        <f t="shared" si="2"/>
        <v>729189</v>
      </c>
      <c r="I38" s="210">
        <f>H38*NPV!C28</f>
        <v>125563.05935351811</v>
      </c>
      <c r="J38" s="1"/>
    </row>
    <row r="39" spans="3:10" x14ac:dyDescent="0.2">
      <c r="C39" s="228"/>
      <c r="D39" s="228"/>
      <c r="E39" s="12">
        <f t="shared" si="0"/>
        <v>20</v>
      </c>
      <c r="F39" s="233">
        <f t="shared" si="3"/>
        <v>2044</v>
      </c>
      <c r="G39" s="96">
        <f t="shared" si="1"/>
        <v>81480</v>
      </c>
      <c r="H39" s="85">
        <f t="shared" si="2"/>
        <v>744727</v>
      </c>
      <c r="I39" s="211">
        <f>H39*NPV!C29</f>
        <v>128238.63292392985</v>
      </c>
      <c r="J39" s="1"/>
    </row>
    <row r="40" spans="3:10" ht="13.5" thickBot="1" x14ac:dyDescent="0.25">
      <c r="C40" s="1"/>
      <c r="D40" s="229"/>
      <c r="F40" s="308" t="s">
        <v>0</v>
      </c>
      <c r="G40" s="309"/>
      <c r="H40" s="234">
        <f>SUM(H19:H39)</f>
        <v>12770817</v>
      </c>
      <c r="I40" s="235">
        <f>SUM(I19:I39)</f>
        <v>4180021.6112102098</v>
      </c>
      <c r="J40" s="1"/>
    </row>
    <row r="45" spans="3:10" x14ac:dyDescent="0.2">
      <c r="G45" s="6"/>
    </row>
    <row r="46" spans="3:10" x14ac:dyDescent="0.2">
      <c r="G46" s="152"/>
    </row>
  </sheetData>
  <mergeCells count="8">
    <mergeCell ref="F40:G40"/>
    <mergeCell ref="A12:B12"/>
    <mergeCell ref="A16:B16"/>
    <mergeCell ref="D6:J7"/>
    <mergeCell ref="A1:B1"/>
    <mergeCell ref="A4:B4"/>
    <mergeCell ref="A6:B6"/>
    <mergeCell ref="A8:B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Y62"/>
  <sheetViews>
    <sheetView topLeftCell="E34" zoomScaleNormal="100" workbookViewId="0">
      <selection activeCell="M38" sqref="M38:M40"/>
    </sheetView>
  </sheetViews>
  <sheetFormatPr defaultRowHeight="12.75" x14ac:dyDescent="0.2"/>
  <cols>
    <col min="1" max="1" width="19.5703125" customWidth="1"/>
    <col min="2" max="2" width="27.140625" bestFit="1" customWidth="1"/>
    <col min="3" max="10" width="12.5703125" customWidth="1"/>
    <col min="11" max="12" width="10.7109375" customWidth="1"/>
    <col min="13" max="13" width="7.42578125" style="87" customWidth="1"/>
    <col min="14" max="14" width="10.7109375" customWidth="1"/>
    <col min="15" max="15" width="6.85546875" customWidth="1"/>
    <col min="16" max="16" width="11.140625" customWidth="1"/>
    <col min="17" max="17" width="8.28515625" customWidth="1"/>
    <col min="18" max="18" width="10.28515625" customWidth="1"/>
    <col min="19" max="19" width="7.5703125" customWidth="1"/>
    <col min="20" max="20" width="11.7109375" customWidth="1"/>
    <col min="21" max="21" width="10.42578125" customWidth="1"/>
    <col min="22" max="22" width="12.42578125" customWidth="1"/>
    <col min="23" max="23" width="10.7109375" customWidth="1"/>
    <col min="24" max="24" width="15.28515625" customWidth="1"/>
    <col min="25" max="25" width="14.85546875" customWidth="1"/>
    <col min="26" max="27" width="15.7109375" customWidth="1"/>
  </cols>
  <sheetData>
    <row r="1" spans="1:22" x14ac:dyDescent="0.2">
      <c r="A1" s="297" t="s">
        <v>108</v>
      </c>
      <c r="B1" s="335" t="s">
        <v>107</v>
      </c>
      <c r="C1" s="337" t="s">
        <v>195</v>
      </c>
      <c r="D1" s="338"/>
      <c r="E1" s="338"/>
      <c r="F1" s="339"/>
      <c r="G1" s="331" t="s">
        <v>196</v>
      </c>
      <c r="H1" s="332"/>
      <c r="I1" s="332"/>
      <c r="J1" s="333"/>
      <c r="K1" s="337" t="s">
        <v>193</v>
      </c>
      <c r="L1" s="338"/>
      <c r="M1" s="338"/>
      <c r="N1" s="339"/>
      <c r="O1" s="331" t="s">
        <v>194</v>
      </c>
      <c r="P1" s="332"/>
      <c r="Q1" s="332"/>
      <c r="R1" s="333"/>
      <c r="S1" s="336" t="s">
        <v>111</v>
      </c>
      <c r="T1" s="310" t="s">
        <v>112</v>
      </c>
    </row>
    <row r="2" spans="1:22" ht="38.25" x14ac:dyDescent="0.2">
      <c r="A2" s="297"/>
      <c r="B2" s="335"/>
      <c r="C2" s="167" t="s">
        <v>109</v>
      </c>
      <c r="D2" s="104" t="s">
        <v>180</v>
      </c>
      <c r="E2" s="104" t="s">
        <v>110</v>
      </c>
      <c r="F2" s="168" t="s">
        <v>181</v>
      </c>
      <c r="G2" s="167" t="s">
        <v>109</v>
      </c>
      <c r="H2" s="104" t="s">
        <v>180</v>
      </c>
      <c r="I2" s="104" t="s">
        <v>110</v>
      </c>
      <c r="J2" s="168" t="s">
        <v>181</v>
      </c>
      <c r="K2" s="167" t="s">
        <v>109</v>
      </c>
      <c r="L2" s="104" t="s">
        <v>180</v>
      </c>
      <c r="M2" s="104" t="s">
        <v>110</v>
      </c>
      <c r="N2" s="168" t="s">
        <v>181</v>
      </c>
      <c r="O2" s="167" t="s">
        <v>109</v>
      </c>
      <c r="P2" s="104" t="s">
        <v>180</v>
      </c>
      <c r="Q2" s="104" t="s">
        <v>110</v>
      </c>
      <c r="R2" s="168" t="s">
        <v>181</v>
      </c>
      <c r="S2" s="336"/>
      <c r="T2" s="310"/>
    </row>
    <row r="3" spans="1:22" x14ac:dyDescent="0.2">
      <c r="A3" s="23">
        <v>1</v>
      </c>
      <c r="B3" s="165" t="s">
        <v>187</v>
      </c>
      <c r="C3" s="175">
        <f>90+576+30+25+5+15+35+1198+30+31+5+90</f>
        <v>2130</v>
      </c>
      <c r="D3" s="145">
        <v>14</v>
      </c>
      <c r="E3" s="145">
        <f>200+1202+40+35+10+25+15+903+45+45+10+150</f>
        <v>2680</v>
      </c>
      <c r="F3" s="174">
        <v>15.6</v>
      </c>
      <c r="G3" s="175">
        <f>29+566+30+25+5+15+35+1260+30+90+5+31</f>
        <v>2121</v>
      </c>
      <c r="H3" s="145">
        <v>18</v>
      </c>
      <c r="I3" s="145">
        <f>65+1225+40+35+10+25+15+963+45+45+10+150</f>
        <v>2628</v>
      </c>
      <c r="J3" s="174">
        <v>17.7</v>
      </c>
      <c r="K3" s="175">
        <f>127+1109+54+45+6+26+78+2100+53+69+6+127</f>
        <v>3800</v>
      </c>
      <c r="L3" s="145">
        <v>106.7</v>
      </c>
      <c r="M3" s="145">
        <f>292+2203+71+62+13+44+26+1727+100+100+13+212</f>
        <v>4863</v>
      </c>
      <c r="N3" s="174">
        <v>120</v>
      </c>
      <c r="O3" s="175">
        <f>45+1067+60+50+8+30+60+2191+50+45+8+130</f>
        <v>3744</v>
      </c>
      <c r="P3" s="145">
        <v>34.6</v>
      </c>
      <c r="Q3" s="145">
        <f>110+2191+80+70+15+50+85+1641+30+75+15+250</f>
        <v>4612</v>
      </c>
      <c r="R3" s="174">
        <v>48.8</v>
      </c>
      <c r="S3" s="166">
        <f t="shared" ref="S3:S9" si="0">L3-P3</f>
        <v>72.099999999999994</v>
      </c>
      <c r="T3" s="25">
        <f t="shared" ref="T3:T9" si="1">N3-R3</f>
        <v>71.2</v>
      </c>
    </row>
    <row r="4" spans="1:22" x14ac:dyDescent="0.2">
      <c r="A4" s="23">
        <f>A3+1</f>
        <v>2</v>
      </c>
      <c r="B4" s="165" t="s">
        <v>188</v>
      </c>
      <c r="C4" s="175">
        <f>22+934+59+49+2+19+25+1533+10+6+2+22</f>
        <v>2683</v>
      </c>
      <c r="D4" s="145">
        <v>19.7</v>
      </c>
      <c r="E4" s="145">
        <f>32+1928+53+63+3+24+24+1522+10+8+2+29</f>
        <v>3698</v>
      </c>
      <c r="F4" s="174">
        <v>14.2</v>
      </c>
      <c r="G4" s="175">
        <f>149+598+22+7+2+168+45+1383+7+49+2+19</f>
        <v>2451</v>
      </c>
      <c r="H4" s="145">
        <v>13</v>
      </c>
      <c r="I4" s="145">
        <f>85+3+24+45+1185+8+15+2+340+175+1306+32</f>
        <v>3220</v>
      </c>
      <c r="J4" s="174">
        <v>17.899999999999999</v>
      </c>
      <c r="K4" s="175">
        <f>70+1495+100+2+40+30+2445+52+69+2+18</f>
        <v>4323</v>
      </c>
      <c r="L4" s="145">
        <v>81.900000000000006</v>
      </c>
      <c r="M4" s="145">
        <f>102+3040+109+129+3+50+50+2389+30+24+2+92</f>
        <v>6020</v>
      </c>
      <c r="N4" s="174">
        <v>164.7</v>
      </c>
      <c r="O4" s="175">
        <f>67+1112+230+49+2+40+75+2397+34+20+2+288</f>
        <v>4316</v>
      </c>
      <c r="P4" s="145">
        <v>64.8</v>
      </c>
      <c r="Q4" s="145">
        <f>103+2216+255+85+3+40+75+2046+35+30+2+618</f>
        <v>5508</v>
      </c>
      <c r="R4" s="174">
        <v>137.4</v>
      </c>
      <c r="S4" s="166">
        <f t="shared" ref="S4:S5" si="2">L4-P4</f>
        <v>17.100000000000009</v>
      </c>
      <c r="T4" s="163">
        <f t="shared" ref="T4:T5" si="3">N4-R4</f>
        <v>27.299999999999983</v>
      </c>
    </row>
    <row r="5" spans="1:22" x14ac:dyDescent="0.2">
      <c r="A5" s="122">
        <f t="shared" ref="A5" si="4">A4+1</f>
        <v>3</v>
      </c>
      <c r="B5" s="165" t="s">
        <v>189</v>
      </c>
      <c r="C5" s="175">
        <f>20+210+80+1+805+1344+260</f>
        <v>2720</v>
      </c>
      <c r="D5" s="145">
        <v>10.8</v>
      </c>
      <c r="E5" s="145">
        <f>300+20+90+1+1713+1334+280</f>
        <v>3738</v>
      </c>
      <c r="F5" s="174">
        <v>38.299999999999997</v>
      </c>
      <c r="G5" s="175">
        <f>210+20+599+1+80+1340+260</f>
        <v>2510</v>
      </c>
      <c r="H5" s="145">
        <v>6.6</v>
      </c>
      <c r="I5" s="145">
        <f>300+20+90+1+1215+1330+280</f>
        <v>3236</v>
      </c>
      <c r="J5" s="174">
        <v>15.4</v>
      </c>
      <c r="K5" s="175">
        <f>40+422+176+1+1264+499+2115</f>
        <v>4517</v>
      </c>
      <c r="L5" s="145">
        <v>101.3</v>
      </c>
      <c r="M5" s="145">
        <f>40+564+198+1+2687+2099+511</f>
        <v>6100</v>
      </c>
      <c r="N5" s="174">
        <v>293.10000000000002</v>
      </c>
      <c r="O5" s="175">
        <f>30+445+175+1+964+2235+499</f>
        <v>4349</v>
      </c>
      <c r="P5" s="145">
        <v>103.9</v>
      </c>
      <c r="Q5" s="145">
        <f>40+590+200+1+1984+2225+524</f>
        <v>5564</v>
      </c>
      <c r="R5" s="174">
        <v>182.6</v>
      </c>
      <c r="S5" s="166">
        <f t="shared" si="2"/>
        <v>-2.6000000000000085</v>
      </c>
      <c r="T5" s="163">
        <f t="shared" si="3"/>
        <v>110.50000000000003</v>
      </c>
    </row>
    <row r="6" spans="1:22" x14ac:dyDescent="0.2">
      <c r="A6" s="122"/>
      <c r="B6" s="165"/>
      <c r="C6" s="169"/>
      <c r="D6" s="162"/>
      <c r="E6" s="162"/>
      <c r="F6" s="170"/>
      <c r="G6" s="169"/>
      <c r="H6" s="162"/>
      <c r="I6" s="162"/>
      <c r="J6" s="170"/>
      <c r="K6" s="169"/>
      <c r="L6" s="162"/>
      <c r="M6" s="162"/>
      <c r="N6" s="170"/>
      <c r="O6" s="169"/>
      <c r="P6" s="162"/>
      <c r="Q6" s="162"/>
      <c r="R6" s="170"/>
      <c r="S6" s="342" t="s">
        <v>201</v>
      </c>
      <c r="T6" s="343"/>
    </row>
    <row r="7" spans="1:22" x14ac:dyDescent="0.2">
      <c r="A7" s="122"/>
      <c r="B7" s="165"/>
      <c r="C7" s="169"/>
      <c r="D7" s="162"/>
      <c r="E7" s="162"/>
      <c r="F7" s="170"/>
      <c r="G7" s="169"/>
      <c r="H7" s="162"/>
      <c r="I7" s="162"/>
      <c r="J7" s="170"/>
      <c r="K7" s="169"/>
      <c r="L7" s="162"/>
      <c r="M7" s="162"/>
      <c r="N7" s="170"/>
      <c r="O7" s="169"/>
      <c r="P7" s="162"/>
      <c r="Q7" s="162"/>
      <c r="R7" s="170"/>
      <c r="S7" s="164">
        <f>+D9-H9</f>
        <v>6.8999999999999986</v>
      </c>
      <c r="T7" s="164">
        <f>+F9-J9</f>
        <v>17.100000000000001</v>
      </c>
    </row>
    <row r="8" spans="1:22" x14ac:dyDescent="0.2">
      <c r="A8" s="122"/>
      <c r="B8" s="165"/>
      <c r="C8" s="169"/>
      <c r="D8" s="162"/>
      <c r="E8" s="162"/>
      <c r="F8" s="170"/>
      <c r="G8" s="169"/>
      <c r="H8" s="162"/>
      <c r="I8" s="162"/>
      <c r="J8" s="170"/>
      <c r="K8" s="169"/>
      <c r="L8" s="162"/>
      <c r="M8" s="162"/>
      <c r="N8" s="170"/>
      <c r="O8" s="169"/>
      <c r="P8" s="162"/>
      <c r="Q8" s="162"/>
      <c r="R8" s="170"/>
      <c r="S8" s="342" t="s">
        <v>202</v>
      </c>
      <c r="T8" s="343"/>
    </row>
    <row r="9" spans="1:22" ht="13.5" thickBot="1" x14ac:dyDescent="0.25">
      <c r="A9" s="305" t="s">
        <v>0</v>
      </c>
      <c r="B9" s="306"/>
      <c r="C9" s="173">
        <f>+C5</f>
        <v>2720</v>
      </c>
      <c r="D9" s="171">
        <f>SUM(D3:D8)</f>
        <v>44.5</v>
      </c>
      <c r="E9" s="173">
        <f>+E5</f>
        <v>3738</v>
      </c>
      <c r="F9" s="172">
        <f>SUM(F3:F8)</f>
        <v>68.099999999999994</v>
      </c>
      <c r="G9" s="173">
        <f>+G5</f>
        <v>2510</v>
      </c>
      <c r="H9" s="171">
        <f>SUM(H3:H8)</f>
        <v>37.6</v>
      </c>
      <c r="I9" s="173">
        <f>+I5</f>
        <v>3236</v>
      </c>
      <c r="J9" s="172">
        <f>SUM(J3:J8)</f>
        <v>50.999999999999993</v>
      </c>
      <c r="K9" s="173">
        <f>+K5</f>
        <v>4517</v>
      </c>
      <c r="L9" s="171">
        <f>SUM(L3:L8)</f>
        <v>289.90000000000003</v>
      </c>
      <c r="M9" s="173">
        <f>+M5</f>
        <v>6100</v>
      </c>
      <c r="N9" s="172">
        <f>SUM(N3:N8)</f>
        <v>577.79999999999995</v>
      </c>
      <c r="O9" s="173">
        <f>+O5</f>
        <v>4349</v>
      </c>
      <c r="P9" s="171">
        <f>SUM(P3:P8)</f>
        <v>203.3</v>
      </c>
      <c r="Q9" s="173">
        <f>+Q5</f>
        <v>5564</v>
      </c>
      <c r="R9" s="172">
        <f>SUM(R3:R8)</f>
        <v>368.79999999999995</v>
      </c>
      <c r="S9" s="164">
        <f t="shared" si="0"/>
        <v>86.600000000000023</v>
      </c>
      <c r="T9" s="114">
        <f t="shared" si="1"/>
        <v>209</v>
      </c>
    </row>
    <row r="10" spans="1:22" x14ac:dyDescent="0.2">
      <c r="A10" s="298" t="s">
        <v>214</v>
      </c>
      <c r="B10" s="298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298"/>
      <c r="T10" s="298"/>
      <c r="U10" s="141"/>
      <c r="V10" s="141"/>
    </row>
    <row r="11" spans="1:22" x14ac:dyDescent="0.2">
      <c r="A11" s="6"/>
    </row>
    <row r="12" spans="1:22" ht="30.75" customHeight="1" x14ac:dyDescent="0.2">
      <c r="A12" s="310" t="s">
        <v>95</v>
      </c>
      <c r="B12" s="310"/>
      <c r="C12" s="101"/>
      <c r="D12" s="139"/>
      <c r="E12" s="139"/>
      <c r="F12" s="139"/>
      <c r="G12" s="139"/>
      <c r="H12" s="139"/>
      <c r="I12" s="101"/>
      <c r="J12" s="101"/>
      <c r="L12" s="101"/>
      <c r="R12" t="s">
        <v>203</v>
      </c>
      <c r="S12" s="188">
        <f>+AVERAGE(S9,S7)</f>
        <v>46.750000000000014</v>
      </c>
      <c r="T12" s="188">
        <f>+AVERAGE(T9,T7)</f>
        <v>113.05</v>
      </c>
    </row>
    <row r="13" spans="1:22" x14ac:dyDescent="0.2">
      <c r="A13" s="23" t="s">
        <v>96</v>
      </c>
      <c r="B13" s="15" t="s">
        <v>97</v>
      </c>
      <c r="C13" s="153"/>
      <c r="D13" s="183"/>
      <c r="E13" s="83">
        <f>(E39/E17)^(1/($D$39-$D$17))-1</f>
        <v>2.3323108046233942E-2</v>
      </c>
      <c r="F13" s="83">
        <f>(F39/F17)^(1/($D$39-$D$17))-1</f>
        <v>2.2510441896744116E-2</v>
      </c>
      <c r="H13" s="83">
        <f>(H39/H17)^(1/($D$39-$D$17))-1</f>
        <v>2.5299423092086437E-2</v>
      </c>
      <c r="I13" s="83">
        <f>(I39/I17)^(1/($D$39-$D$17))-1</f>
        <v>2.4941380895517673E-2</v>
      </c>
      <c r="J13" s="83">
        <f>(J39/J17)^(1/($D$39-$D$17))-1</f>
        <v>0.1218621375058786</v>
      </c>
      <c r="K13" s="83">
        <f>(K39/K17)^(1/($D$39-$D$17))-1</f>
        <v>0.12051046525207099</v>
      </c>
      <c r="L13" s="153"/>
      <c r="R13" t="s">
        <v>204</v>
      </c>
      <c r="S13">
        <f>+S12/60</f>
        <v>0.7791666666666669</v>
      </c>
      <c r="T13">
        <f>+T12/60</f>
        <v>1.8841666666666665</v>
      </c>
      <c r="U13">
        <f>AVERAGE(S13:T13)</f>
        <v>1.3316666666666668</v>
      </c>
    </row>
    <row r="14" spans="1:22" ht="13.5" thickBot="1" x14ac:dyDescent="0.25">
      <c r="A14" s="321" t="s">
        <v>98</v>
      </c>
      <c r="B14" s="323"/>
      <c r="C14" s="177"/>
      <c r="D14" s="180"/>
      <c r="I14" s="177"/>
      <c r="J14" s="177"/>
      <c r="K14" s="177"/>
      <c r="L14" s="177"/>
    </row>
    <row r="15" spans="1:22" ht="27.75" customHeight="1" x14ac:dyDescent="0.2">
      <c r="A15" s="100" t="s">
        <v>99</v>
      </c>
      <c r="B15" s="237">
        <v>14.2</v>
      </c>
      <c r="C15" s="140"/>
      <c r="D15" s="238" t="s">
        <v>1</v>
      </c>
      <c r="E15" s="340" t="s">
        <v>216</v>
      </c>
      <c r="F15" s="341"/>
      <c r="G15" s="250" t="s">
        <v>1</v>
      </c>
      <c r="H15" s="340" t="s">
        <v>215</v>
      </c>
      <c r="I15" s="341"/>
      <c r="J15" s="344" t="s">
        <v>217</v>
      </c>
      <c r="K15" s="345"/>
      <c r="L15" s="178"/>
    </row>
    <row r="16" spans="1:22" x14ac:dyDescent="0.2">
      <c r="A16" s="19" t="s">
        <v>100</v>
      </c>
      <c r="B16" s="118">
        <v>26.5</v>
      </c>
      <c r="C16" s="140"/>
      <c r="D16" s="239"/>
      <c r="E16" s="244" t="s">
        <v>198</v>
      </c>
      <c r="F16" s="245" t="s">
        <v>199</v>
      </c>
      <c r="G16" s="251"/>
      <c r="H16" s="244" t="s">
        <v>198</v>
      </c>
      <c r="I16" s="245" t="s">
        <v>199</v>
      </c>
      <c r="J16" s="244" t="s">
        <v>197</v>
      </c>
      <c r="K16" s="168" t="s">
        <v>200</v>
      </c>
      <c r="L16" s="178"/>
    </row>
    <row r="17" spans="1:15" x14ac:dyDescent="0.2">
      <c r="A17" s="17" t="s">
        <v>101</v>
      </c>
      <c r="B17" s="119">
        <v>14.8</v>
      </c>
      <c r="C17" s="140"/>
      <c r="D17" s="240">
        <v>2018</v>
      </c>
      <c r="E17" s="256">
        <f>+C9</f>
        <v>2720</v>
      </c>
      <c r="F17" s="174">
        <f>+E9</f>
        <v>3738</v>
      </c>
      <c r="G17" s="252">
        <v>2018</v>
      </c>
      <c r="H17" s="256">
        <f>+G9</f>
        <v>2510</v>
      </c>
      <c r="I17" s="174">
        <f>+I9</f>
        <v>3236</v>
      </c>
      <c r="J17" s="257">
        <f>+S7</f>
        <v>6.8999999999999986</v>
      </c>
      <c r="K17" s="258">
        <f>+T7</f>
        <v>17.100000000000001</v>
      </c>
      <c r="L17" s="178"/>
    </row>
    <row r="18" spans="1:15" x14ac:dyDescent="0.2">
      <c r="A18" s="321" t="s">
        <v>102</v>
      </c>
      <c r="B18" s="322"/>
      <c r="C18" s="177"/>
      <c r="D18" s="241">
        <v>2019</v>
      </c>
      <c r="E18" s="246">
        <f>+$E$17*(1+E$13)^(D18-D$17)</f>
        <v>2783.4388538857565</v>
      </c>
      <c r="F18" s="247">
        <f>+F$17*(1+F$13)^(D18-D$17)</f>
        <v>3822.1440318100294</v>
      </c>
      <c r="G18" s="253">
        <v>2019</v>
      </c>
      <c r="H18" s="246">
        <f>+$H$17*(1+H$13)^(G18-G$17)</f>
        <v>2573.501551961137</v>
      </c>
      <c r="I18" s="247">
        <f>+$I$17*(1+I$13)^(G18-G$17)</f>
        <v>3316.7103085778954</v>
      </c>
      <c r="J18" s="246">
        <f>+$J$17*(1+J$13)^(G18-G$17)</f>
        <v>7.7408487487905608</v>
      </c>
      <c r="K18" s="247">
        <f>+$K$17*(1+K$13)^(G18-G$17)</f>
        <v>19.160728955810416</v>
      </c>
      <c r="L18" s="177"/>
    </row>
    <row r="19" spans="1:15" x14ac:dyDescent="0.2">
      <c r="A19" s="16" t="s">
        <v>103</v>
      </c>
      <c r="B19" s="144">
        <v>28.6</v>
      </c>
      <c r="C19" s="140"/>
      <c r="D19" s="242">
        <f>+D18+1</f>
        <v>2020</v>
      </c>
      <c r="E19" s="246">
        <f t="shared" ref="E19:E38" si="5">+$E$17*(1+E$13)^(D19-D$17)</f>
        <v>2848.3572990150192</v>
      </c>
      <c r="F19" s="247">
        <f t="shared" ref="F19:F40" si="6">+F$17*(1+F$13)^(D19-D$17)</f>
        <v>3908.1821829590763</v>
      </c>
      <c r="G19" s="254">
        <f>+G18+1</f>
        <v>2020</v>
      </c>
      <c r="H19" s="246">
        <f t="shared" ref="H19" si="7">+$E$17*(1+H$13)^(G19-G$17)</f>
        <v>2859.3698270208656</v>
      </c>
      <c r="I19" s="247">
        <f t="shared" ref="I19:I38" si="8">+$I$17*(1+I$13)^(G19-G$17)</f>
        <v>3399.4336437042266</v>
      </c>
      <c r="J19" s="246">
        <f t="shared" ref="J19:J38" si="9">+$J$17*(1+J$13)^(G19-G$17)</f>
        <v>8.6841651234278849</v>
      </c>
      <c r="K19" s="247">
        <f t="shared" ref="K19:K38" si="10">+$K$17*(1+K$13)^(G19-G$17)</f>
        <v>21.469797316843955</v>
      </c>
      <c r="L19" s="179"/>
    </row>
    <row r="20" spans="1:15" x14ac:dyDescent="0.2">
      <c r="A20" s="19" t="s">
        <v>104</v>
      </c>
      <c r="B20" s="118">
        <v>30</v>
      </c>
      <c r="C20" s="140"/>
      <c r="D20" s="242">
        <f t="shared" ref="D20:D37" si="11">+D19+1</f>
        <v>2021</v>
      </c>
      <c r="E20" s="246">
        <f t="shared" si="5"/>
        <v>2914.7898440542258</v>
      </c>
      <c r="F20" s="247">
        <f t="shared" si="6"/>
        <v>3996.1570909104671</v>
      </c>
      <c r="G20" s="254">
        <f t="shared" ref="G20:G37" si="12">+G19+1</f>
        <v>2021</v>
      </c>
      <c r="H20" s="246">
        <f t="shared" ref="H20" si="13">+$E$17*(1+H$13)^(G20-G$17)</f>
        <v>2931.7102340514125</v>
      </c>
      <c r="I20" s="247">
        <f t="shared" si="8"/>
        <v>3484.2202130408914</v>
      </c>
      <c r="J20" s="246">
        <f t="shared" si="9"/>
        <v>9.7424360478228085</v>
      </c>
      <c r="K20" s="247">
        <f t="shared" si="10"/>
        <v>24.057132580364488</v>
      </c>
      <c r="L20" s="178"/>
    </row>
    <row r="21" spans="1:15" x14ac:dyDescent="0.2">
      <c r="A21" s="19" t="s">
        <v>105</v>
      </c>
      <c r="B21" s="118">
        <v>48.9</v>
      </c>
      <c r="C21" s="140"/>
      <c r="D21" s="242">
        <f t="shared" si="11"/>
        <v>2022</v>
      </c>
      <c r="E21" s="246">
        <f t="shared" si="5"/>
        <v>2982.7718025191675</v>
      </c>
      <c r="F21" s="247">
        <f t="shared" si="6"/>
        <v>4086.1123529156689</v>
      </c>
      <c r="G21" s="254">
        <f t="shared" si="12"/>
        <v>2022</v>
      </c>
      <c r="H21" s="246">
        <f t="shared" ref="H21" si="14">+$E$17*(1+H$13)^(G21-G$17)</f>
        <v>3005.8808116460787</v>
      </c>
      <c r="I21" s="247">
        <f t="shared" si="8"/>
        <v>3571.121476498206</v>
      </c>
      <c r="J21" s="246">
        <f t="shared" si="9"/>
        <v>10.929670129124823</v>
      </c>
      <c r="K21" s="247">
        <f t="shared" si="10"/>
        <v>26.956268820254962</v>
      </c>
      <c r="L21" s="178"/>
    </row>
    <row r="22" spans="1:15" x14ac:dyDescent="0.2">
      <c r="A22" s="17" t="s">
        <v>106</v>
      </c>
      <c r="B22" s="119">
        <v>44.9</v>
      </c>
      <c r="C22" s="140"/>
      <c r="D22" s="242">
        <f t="shared" si="11"/>
        <v>2023</v>
      </c>
      <c r="E22" s="246">
        <f t="shared" si="5"/>
        <v>3052.3393115465819</v>
      </c>
      <c r="F22" s="247">
        <f t="shared" si="6"/>
        <v>4178.0925476195453</v>
      </c>
      <c r="G22" s="254">
        <f t="shared" si="12"/>
        <v>2023</v>
      </c>
      <c r="H22" s="246">
        <f t="shared" ref="H22" si="15">+$E$17*(1+H$13)^(G22-G$17)</f>
        <v>3081.9278620642972</v>
      </c>
      <c r="I22" s="247">
        <f t="shared" si="8"/>
        <v>3660.1901774677112</v>
      </c>
      <c r="J22" s="246">
        <f t="shared" si="9"/>
        <v>12.261583093294126</v>
      </c>
      <c r="K22" s="247">
        <f t="shared" si="10"/>
        <v>30.204781317243786</v>
      </c>
      <c r="L22" s="178"/>
    </row>
    <row r="23" spans="1:15" x14ac:dyDescent="0.2">
      <c r="A23" s="285" t="s">
        <v>29</v>
      </c>
      <c r="B23" s="285"/>
      <c r="C23" s="34"/>
      <c r="D23" s="242">
        <f t="shared" si="11"/>
        <v>2024</v>
      </c>
      <c r="E23" s="246">
        <f t="shared" si="5"/>
        <v>3123.5293511035502</v>
      </c>
      <c r="F23" s="247">
        <f t="shared" si="6"/>
        <v>4272.1432571519554</v>
      </c>
      <c r="G23" s="254">
        <f t="shared" si="12"/>
        <v>2024</v>
      </c>
      <c r="H23" s="246">
        <f t="shared" ref="H23" si="16">+$E$17*(1+H$13)^(G23-G$17)</f>
        <v>3159.8988589859509</v>
      </c>
      <c r="I23" s="247">
        <f t="shared" si="8"/>
        <v>3751.4803748339659</v>
      </c>
      <c r="J23" s="246">
        <f t="shared" si="9"/>
        <v>13.755805818248891</v>
      </c>
      <c r="K23" s="247">
        <f t="shared" si="10"/>
        <v>33.844773566621889</v>
      </c>
      <c r="L23" s="34"/>
    </row>
    <row r="24" spans="1:15" x14ac:dyDescent="0.2">
      <c r="A24" s="34"/>
      <c r="B24" s="34"/>
      <c r="C24" s="34"/>
      <c r="D24" s="242">
        <f t="shared" si="11"/>
        <v>2025</v>
      </c>
      <c r="E24" s="246">
        <f t="shared" si="5"/>
        <v>3196.3797636449208</v>
      </c>
      <c r="F24" s="247">
        <f t="shared" si="6"/>
        <v>4368.3110897166407</v>
      </c>
      <c r="G24" s="254">
        <f t="shared" si="12"/>
        <v>2025</v>
      </c>
      <c r="H24" s="246">
        <f t="shared" ref="H24" si="17">+$E$17*(1+H$13)^(G24-G$17)</f>
        <v>3239.842477147638</v>
      </c>
      <c r="I24" s="247">
        <f t="shared" si="8"/>
        <v>3845.0474757847592</v>
      </c>
      <c r="J24" s="246">
        <f t="shared" si="9"/>
        <v>15.432117718376501</v>
      </c>
      <c r="K24" s="247">
        <f t="shared" si="10"/>
        <v>37.923422975486488</v>
      </c>
      <c r="L24" s="34"/>
    </row>
    <row r="25" spans="1:15" x14ac:dyDescent="0.2">
      <c r="A25" s="115" t="s">
        <v>134</v>
      </c>
      <c r="B25" s="143">
        <v>261</v>
      </c>
      <c r="C25" s="177"/>
      <c r="D25" s="242">
        <f t="shared" si="11"/>
        <v>2026</v>
      </c>
      <c r="E25" s="246">
        <f t="shared" si="5"/>
        <v>3270.9292742292068</v>
      </c>
      <c r="F25" s="247">
        <f t="shared" si="6"/>
        <v>4466.6437026886106</v>
      </c>
      <c r="G25" s="254">
        <f t="shared" si="12"/>
        <v>2026</v>
      </c>
      <c r="H25" s="246">
        <f t="shared" ref="H25" si="18">+$E$17*(1+H$13)^(G25-G$17)</f>
        <v>3321.8086227287095</v>
      </c>
      <c r="I25" s="247">
        <f t="shared" si="8"/>
        <v>3940.9482694396565</v>
      </c>
      <c r="J25" s="246">
        <f t="shared" si="9"/>
        <v>17.312708569780209</v>
      </c>
      <c r="K25" s="247">
        <f t="shared" si="10"/>
        <v>42.493592322213445</v>
      </c>
      <c r="L25" s="127"/>
      <c r="N25" s="126"/>
      <c r="O25" s="126"/>
    </row>
    <row r="26" spans="1:15" ht="25.5" x14ac:dyDescent="0.2">
      <c r="A26" s="142" t="s">
        <v>164</v>
      </c>
      <c r="B26" s="145">
        <v>52</v>
      </c>
      <c r="C26" s="180"/>
      <c r="D26" s="242">
        <f t="shared" si="11"/>
        <v>2027</v>
      </c>
      <c r="E26" s="246">
        <f t="shared" si="5"/>
        <v>3347.217511103644</v>
      </c>
      <c r="F26" s="247">
        <f t="shared" si="6"/>
        <v>4567.1898262314407</v>
      </c>
      <c r="G26" s="254">
        <f t="shared" si="12"/>
        <v>2027</v>
      </c>
      <c r="H26" s="246">
        <f t="shared" ref="H26" si="19">+$E$17*(1+H$13)^(G26-G$17)</f>
        <v>3405.8484645060644</v>
      </c>
      <c r="I26" s="247">
        <f t="shared" si="8"/>
        <v>4039.2409613172817</v>
      </c>
      <c r="J26" s="246">
        <f t="shared" si="9"/>
        <v>19.422472242109965</v>
      </c>
      <c r="K26" s="247">
        <f t="shared" si="10"/>
        <v>47.614514903195222</v>
      </c>
      <c r="L26" s="127"/>
      <c r="N26" s="126"/>
      <c r="O26" s="126"/>
    </row>
    <row r="27" spans="1:15" x14ac:dyDescent="0.2">
      <c r="A27" s="115" t="s">
        <v>165</v>
      </c>
      <c r="B27" s="143">
        <f>B25+B26</f>
        <v>313</v>
      </c>
      <c r="C27" s="177"/>
      <c r="D27" s="242">
        <f t="shared" si="11"/>
        <v>2028</v>
      </c>
      <c r="E27" s="246">
        <f t="shared" si="5"/>
        <v>3425.2850267693607</v>
      </c>
      <c r="F27" s="247">
        <f t="shared" si="6"/>
        <v>4669.9992874462232</v>
      </c>
      <c r="G27" s="254">
        <f t="shared" si="12"/>
        <v>2028</v>
      </c>
      <c r="H27" s="246">
        <f t="shared" ref="H27" si="20">+$E$17*(1+H$13)^(G27-G$17)</f>
        <v>3492.0144657971364</v>
      </c>
      <c r="I27" s="247">
        <f t="shared" si="8"/>
        <v>4139.9852086622732</v>
      </c>
      <c r="J27" s="246">
        <f t="shared" si="9"/>
        <v>21.789336225182083</v>
      </c>
      <c r="K27" s="247">
        <f t="shared" si="10"/>
        <v>53.352562246930937</v>
      </c>
      <c r="L27" s="127"/>
      <c r="N27" s="126"/>
      <c r="O27" s="126"/>
    </row>
    <row r="28" spans="1:15" x14ac:dyDescent="0.2">
      <c r="A28" s="34"/>
      <c r="B28" s="34"/>
      <c r="C28" s="34"/>
      <c r="D28" s="242">
        <f t="shared" si="11"/>
        <v>2029</v>
      </c>
      <c r="E28" s="246">
        <f t="shared" si="5"/>
        <v>3505.1733195378497</v>
      </c>
      <c r="F28" s="247">
        <f t="shared" si="6"/>
        <v>4775.1230350641181</v>
      </c>
      <c r="G28" s="254">
        <f t="shared" si="12"/>
        <v>2029</v>
      </c>
      <c r="H28" s="246">
        <f t="shared" ref="H28" si="21">+$E$17*(1+H$13)^(G28-G$17)</f>
        <v>3580.360417211024</v>
      </c>
      <c r="I28" s="247">
        <f t="shared" si="8"/>
        <v>4243.2421566533285</v>
      </c>
      <c r="J28" s="246">
        <f t="shared" si="9"/>
        <v>24.444631312417044</v>
      </c>
      <c r="K28" s="247">
        <f t="shared" si="10"/>
        <v>59.782104345698663</v>
      </c>
      <c r="L28" s="34"/>
      <c r="N28" s="126"/>
      <c r="O28" s="126"/>
    </row>
    <row r="29" spans="1:15" x14ac:dyDescent="0.2">
      <c r="A29" s="38" t="s">
        <v>79</v>
      </c>
      <c r="B29" s="105">
        <f>Safety!D54</f>
        <v>2.1298341230371109E-2</v>
      </c>
      <c r="C29" s="181"/>
      <c r="D29" s="242">
        <f t="shared" si="11"/>
        <v>2030</v>
      </c>
      <c r="E29" s="246">
        <f t="shared" si="5"/>
        <v>3586.9248555902068</v>
      </c>
      <c r="F29" s="247">
        <f t="shared" si="6"/>
        <v>4882.6131646947333</v>
      </c>
      <c r="G29" s="254">
        <f t="shared" si="12"/>
        <v>2030</v>
      </c>
      <c r="H29" s="246">
        <f t="shared" ref="H29" si="22">+$E$17*(1+H$13)^(G29-G$17)</f>
        <v>3670.9414702282047</v>
      </c>
      <c r="I29" s="247">
        <f t="shared" si="8"/>
        <v>4349.0744755143378</v>
      </c>
      <c r="J29" s="246">
        <f t="shared" si="9"/>
        <v>27.423506334691318</v>
      </c>
      <c r="K29" s="247">
        <f t="shared" si="10"/>
        <v>66.986473554146656</v>
      </c>
      <c r="L29" s="34"/>
    </row>
    <row r="30" spans="1:15" x14ac:dyDescent="0.2">
      <c r="A30" s="285" t="s">
        <v>80</v>
      </c>
      <c r="B30" s="285"/>
      <c r="C30" s="34"/>
      <c r="D30" s="242">
        <f t="shared" si="11"/>
        <v>2031</v>
      </c>
      <c r="E30" s="246">
        <f t="shared" si="5"/>
        <v>3670.5830915508595</v>
      </c>
      <c r="F30" s="247">
        <f t="shared" si="6"/>
        <v>4992.5229446428721</v>
      </c>
      <c r="G30" s="254">
        <f t="shared" si="12"/>
        <v>2031</v>
      </c>
      <c r="H30" s="246">
        <f t="shared" ref="H30" si="23">+$E$17*(1+H$13)^(G30-G$17)</f>
        <v>3763.8141716297941</v>
      </c>
      <c r="I30" s="247">
        <f t="shared" si="8"/>
        <v>4457.5463985511142</v>
      </c>
      <c r="J30" s="246">
        <f t="shared" si="9"/>
        <v>30.765393434542808</v>
      </c>
      <c r="K30" s="247">
        <f t="shared" si="10"/>
        <v>75.05904464775243</v>
      </c>
      <c r="L30" s="34"/>
    </row>
    <row r="31" spans="1:15" x14ac:dyDescent="0.2">
      <c r="A31" s="34"/>
      <c r="B31" s="34"/>
      <c r="C31" s="34"/>
      <c r="D31" s="242">
        <f t="shared" si="11"/>
        <v>2032</v>
      </c>
      <c r="E31" s="246">
        <f t="shared" si="5"/>
        <v>3756.1924975877796</v>
      </c>
      <c r="F31" s="247">
        <f t="shared" si="6"/>
        <v>5104.9068423064173</v>
      </c>
      <c r="G31" s="254">
        <f t="shared" si="12"/>
        <v>2032</v>
      </c>
      <c r="H31" s="246">
        <f t="shared" ref="H31" si="24">+$E$17*(1+H$13)^(G31-G$17)</f>
        <v>3859.0364987978469</v>
      </c>
      <c r="I31" s="247">
        <f t="shared" si="8"/>
        <v>4568.7237611368209</v>
      </c>
      <c r="J31" s="246">
        <f t="shared" si="9"/>
        <v>34.514530039685518</v>
      </c>
      <c r="K31" s="247">
        <f t="shared" si="10"/>
        <v>84.104445039629027</v>
      </c>
      <c r="L31" s="34"/>
    </row>
    <row r="32" spans="1:15" x14ac:dyDescent="0.2">
      <c r="A32" s="283" t="s">
        <v>159</v>
      </c>
      <c r="B32" s="283"/>
      <c r="C32" s="176"/>
      <c r="D32" s="242">
        <f t="shared" si="11"/>
        <v>2033</v>
      </c>
      <c r="E32" s="246">
        <f t="shared" si="5"/>
        <v>3843.7985810514724</v>
      </c>
      <c r="F32" s="247">
        <f t="shared" si="6"/>
        <v>5219.8205511684464</v>
      </c>
      <c r="G32" s="254">
        <f t="shared" si="12"/>
        <v>2033</v>
      </c>
      <c r="H32" s="246">
        <f t="shared" ref="H32" si="25">+$E$17*(1+H$13)^(G32-G$17)</f>
        <v>3956.6678959087371</v>
      </c>
      <c r="I32" s="247">
        <f t="shared" si="8"/>
        <v>4682.6740406697363</v>
      </c>
      <c r="J32" s="246">
        <f t="shared" si="9"/>
        <v>38.72054444533245</v>
      </c>
      <c r="K32" s="247">
        <f t="shared" si="10"/>
        <v>94.239910841121954</v>
      </c>
      <c r="L32" s="34"/>
    </row>
    <row r="33" spans="1:25" x14ac:dyDescent="0.2">
      <c r="A33" s="115" t="s">
        <v>161</v>
      </c>
      <c r="B33" s="160">
        <f>+'State of Good Repair'!B15</f>
        <v>0.1</v>
      </c>
      <c r="C33" s="182"/>
      <c r="D33" s="242">
        <f t="shared" si="11"/>
        <v>2034</v>
      </c>
      <c r="E33" s="246">
        <f t="shared" si="5"/>
        <v>3933.4479106652961</v>
      </c>
      <c r="F33" s="247">
        <f t="shared" si="6"/>
        <v>5337.321018396955</v>
      </c>
      <c r="G33" s="254">
        <f t="shared" si="12"/>
        <v>2034</v>
      </c>
      <c r="H33" s="246">
        <f t="shared" ref="H33" si="26">+$E$17*(1+H$13)^(G33-G$17)</f>
        <v>4056.7693110422083</v>
      </c>
      <c r="I33" s="247">
        <f t="shared" si="8"/>
        <v>4799.4663975276335</v>
      </c>
      <c r="J33" s="246">
        <f t="shared" si="9"/>
        <v>43.439112756832046</v>
      </c>
      <c r="K33" s="247">
        <f t="shared" si="10"/>
        <v>105.59680634189924</v>
      </c>
      <c r="L33" s="34"/>
    </row>
    <row r="34" spans="1:25" x14ac:dyDescent="0.2">
      <c r="A34" s="329" t="s">
        <v>163</v>
      </c>
      <c r="B34" s="330"/>
      <c r="C34" s="34"/>
      <c r="D34" s="242">
        <f t="shared" si="11"/>
        <v>2035</v>
      </c>
      <c r="E34" s="246">
        <f t="shared" si="5"/>
        <v>4025.1881412799758</v>
      </c>
      <c r="F34" s="247">
        <f t="shared" si="6"/>
        <v>5457.4664730658506</v>
      </c>
      <c r="G34" s="254">
        <f t="shared" si="12"/>
        <v>2035</v>
      </c>
      <c r="H34" s="246">
        <f t="shared" ref="H34" si="27">+$E$17*(1+H$13)^(G34-G$17)</f>
        <v>4159.4032342292576</v>
      </c>
      <c r="I34" s="247">
        <f t="shared" si="8"/>
        <v>4919.1717170436086</v>
      </c>
      <c r="J34" s="246">
        <f t="shared" si="9"/>
        <v>48.732695888738483</v>
      </c>
      <c r="K34" s="247">
        <f t="shared" si="10"/>
        <v>118.32232660329434</v>
      </c>
      <c r="L34" s="34"/>
    </row>
    <row r="35" spans="1:25" x14ac:dyDescent="0.2">
      <c r="A35" s="34"/>
      <c r="B35" s="34"/>
      <c r="C35" s="34"/>
      <c r="D35" s="242">
        <f t="shared" si="11"/>
        <v>2036</v>
      </c>
      <c r="E35" s="246">
        <f t="shared" si="5"/>
        <v>4119.0680392054683</v>
      </c>
      <c r="F35" s="247">
        <f t="shared" si="6"/>
        <v>5580.3164550112288</v>
      </c>
      <c r="G35" s="254">
        <f t="shared" si="12"/>
        <v>2036</v>
      </c>
      <c r="H35" s="246">
        <f t="shared" ref="H35" si="28">+$E$17*(1+H$13)^(G35-G$17)</f>
        <v>4264.6337364626161</v>
      </c>
      <c r="I35" s="247">
        <f t="shared" si="8"/>
        <v>5041.862652528851</v>
      </c>
      <c r="J35" s="246">
        <f t="shared" si="9"/>
        <v>54.671366376164094</v>
      </c>
      <c r="K35" s="247">
        <f t="shared" si="10"/>
        <v>132.58140523196485</v>
      </c>
      <c r="L35" s="34"/>
    </row>
    <row r="36" spans="1:25" x14ac:dyDescent="0.2">
      <c r="A36" s="34"/>
      <c r="B36" s="34"/>
      <c r="C36" s="34"/>
      <c r="D36" s="242">
        <f t="shared" si="11"/>
        <v>2037</v>
      </c>
      <c r="E36" s="246">
        <f t="shared" si="5"/>
        <v>4215.1375081336464</v>
      </c>
      <c r="F36" s="247">
        <f t="shared" si="6"/>
        <v>5705.931844337204</v>
      </c>
      <c r="G36" s="254">
        <f t="shared" si="12"/>
        <v>2037</v>
      </c>
      <c r="H36" s="246">
        <f t="shared" ref="H36" si="29">+$E$17*(1+H$13)^(G36-G$17)</f>
        <v>4372.5265096941685</v>
      </c>
      <c r="I36" s="247">
        <f t="shared" si="8"/>
        <v>5167.6136693684584</v>
      </c>
      <c r="J36" s="246">
        <f t="shared" si="9"/>
        <v>61.333735943130471</v>
      </c>
      <c r="K36" s="247">
        <f t="shared" si="10"/>
        <v>148.55885206024229</v>
      </c>
      <c r="L36" s="34"/>
    </row>
    <row r="37" spans="1:25" x14ac:dyDescent="0.2">
      <c r="A37" s="34"/>
      <c r="B37" s="34"/>
      <c r="C37" s="34"/>
      <c r="D37" s="242">
        <f t="shared" si="11"/>
        <v>2038</v>
      </c>
      <c r="E37" s="246">
        <f t="shared" si="5"/>
        <v>4313.4476156655801</v>
      </c>
      <c r="F37" s="247">
        <f t="shared" si="6"/>
        <v>5834.3748915859378</v>
      </c>
      <c r="G37" s="254">
        <f t="shared" si="12"/>
        <v>2038</v>
      </c>
      <c r="H37" s="246">
        <f t="shared" ref="H37" si="30">+$E$17*(1+H$13)^(G37-G$17)</f>
        <v>4483.1489078442855</v>
      </c>
      <c r="I37" s="247">
        <f t="shared" si="8"/>
        <v>5296.5010902170607</v>
      </c>
      <c r="J37" s="246">
        <f t="shared" si="9"/>
        <v>68.807996106381495</v>
      </c>
      <c r="K37" s="247">
        <f t="shared" si="10"/>
        <v>166.46174843933565</v>
      </c>
      <c r="L37" s="34"/>
    </row>
    <row r="38" spans="1:25" x14ac:dyDescent="0.2">
      <c r="A38" s="6"/>
      <c r="D38" s="242">
        <f>+D37+1</f>
        <v>2039</v>
      </c>
      <c r="E38" s="246">
        <f t="shared" si="5"/>
        <v>4414.0506204575186</v>
      </c>
      <c r="F38" s="247">
        <f t="shared" si="6"/>
        <v>5965.7092485868061</v>
      </c>
      <c r="G38" s="254">
        <f>+G37+1</f>
        <v>2039</v>
      </c>
      <c r="H38" s="246">
        <f t="shared" ref="H38:H40" si="31">+$E$17*(1+H$13)^(G38-G$17)</f>
        <v>4596.5699888486643</v>
      </c>
      <c r="I38" s="247">
        <f t="shared" si="8"/>
        <v>5428.6031413216888</v>
      </c>
      <c r="J38" s="246">
        <f t="shared" si="9"/>
        <v>77.193085589401321</v>
      </c>
      <c r="K38" s="247">
        <f t="shared" si="10"/>
        <v>186.52213119043321</v>
      </c>
      <c r="M38" s="317" t="s">
        <v>1</v>
      </c>
      <c r="N38" s="321" t="s">
        <v>86</v>
      </c>
      <c r="O38" s="322"/>
      <c r="P38" s="322"/>
      <c r="Q38" s="323"/>
      <c r="R38" s="321" t="s">
        <v>89</v>
      </c>
      <c r="S38" s="322"/>
      <c r="T38" s="322"/>
      <c r="U38" s="323"/>
      <c r="V38" s="290" t="s">
        <v>91</v>
      </c>
      <c r="W38" s="290" t="s">
        <v>92</v>
      </c>
      <c r="X38" s="273" t="s">
        <v>94</v>
      </c>
      <c r="Y38" s="273" t="s">
        <v>171</v>
      </c>
    </row>
    <row r="39" spans="1:25" x14ac:dyDescent="0.2">
      <c r="A39" s="6"/>
      <c r="D39" s="242">
        <v>2040</v>
      </c>
      <c r="E39" s="256">
        <f>+K9</f>
        <v>4517</v>
      </c>
      <c r="F39" s="174">
        <f>+M9</f>
        <v>6100</v>
      </c>
      <c r="G39" s="254">
        <v>2040</v>
      </c>
      <c r="H39" s="256">
        <f>+O9</f>
        <v>4349</v>
      </c>
      <c r="I39" s="174">
        <f>+Q9</f>
        <v>5564</v>
      </c>
      <c r="J39" s="259">
        <f>+S9</f>
        <v>86.600000000000023</v>
      </c>
      <c r="K39" s="260">
        <f>+T9</f>
        <v>209</v>
      </c>
      <c r="M39" s="318"/>
      <c r="N39" s="321" t="s">
        <v>87</v>
      </c>
      <c r="O39" s="323"/>
      <c r="P39" s="324" t="s">
        <v>90</v>
      </c>
      <c r="Q39" s="327" t="s">
        <v>88</v>
      </c>
      <c r="R39" s="321" t="s">
        <v>87</v>
      </c>
      <c r="S39" s="323"/>
      <c r="T39" s="324" t="s">
        <v>90</v>
      </c>
      <c r="U39" s="327" t="s">
        <v>88</v>
      </c>
      <c r="V39" s="320"/>
      <c r="W39" s="320"/>
      <c r="X39" s="290"/>
      <c r="Y39" s="290"/>
    </row>
    <row r="40" spans="1:25" ht="40.5" customHeight="1" thickBot="1" x14ac:dyDescent="0.25">
      <c r="A40" s="6"/>
      <c r="D40" s="243">
        <v>2041</v>
      </c>
      <c r="E40" s="246">
        <f>+$E$17*(1+E$13)^(D40-D$17)</f>
        <v>4622.3504790448333</v>
      </c>
      <c r="F40" s="247">
        <f t="shared" si="6"/>
        <v>6237.3136955701266</v>
      </c>
      <c r="G40" s="255">
        <v>2041</v>
      </c>
      <c r="H40" s="246">
        <f t="shared" si="31"/>
        <v>4832.0932109939358</v>
      </c>
      <c r="I40" s="247">
        <f t="shared" ref="I40" si="32">+$I$17*(1+I$13)^(G40-G$17)</f>
        <v>5702.773843302658</v>
      </c>
      <c r="J40" s="246">
        <f t="shared" ref="J40" si="33">+$J$17*(1+J$13)^(G40-G$17)</f>
        <v>97.15326110800909</v>
      </c>
      <c r="K40" s="247">
        <f t="shared" ref="K40" si="34">+$K$17*(1+K$13)^(G40-G$17)</f>
        <v>234.18668723768297</v>
      </c>
      <c r="M40" s="319"/>
      <c r="N40" s="79" t="s">
        <v>47</v>
      </c>
      <c r="O40" s="112" t="s">
        <v>48</v>
      </c>
      <c r="P40" s="325"/>
      <c r="Q40" s="328"/>
      <c r="R40" s="112" t="s">
        <v>47</v>
      </c>
      <c r="S40" s="113" t="s">
        <v>48</v>
      </c>
      <c r="T40" s="325"/>
      <c r="U40" s="328"/>
      <c r="V40" s="296"/>
      <c r="W40" s="296"/>
      <c r="X40" s="274"/>
      <c r="Y40" s="274"/>
    </row>
    <row r="41" spans="1:25" ht="12.75" customHeight="1" thickTop="1" x14ac:dyDescent="0.2">
      <c r="D41" s="243">
        <v>2042</v>
      </c>
      <c r="E41" s="246">
        <f t="shared" ref="E41:E43" si="35">+$E$17*(1+E$13)^(D41-D$17)</f>
        <v>4730.1580586951568</v>
      </c>
      <c r="F41" s="247">
        <f t="shared" ref="F41:F43" si="36">+F$17*(1+F$13)^(D41-D$17)</f>
        <v>6377.7183831060238</v>
      </c>
      <c r="G41" s="255">
        <v>2042</v>
      </c>
      <c r="H41" s="246">
        <f t="shared" ref="H41" si="37">+$E$17*(1+H$13)^(G41-G$17)</f>
        <v>4954.3423815592696</v>
      </c>
      <c r="I41" s="247">
        <f t="shared" ref="I41:I43" si="38">+$I$17*(1+I$13)^(G41-G$17)</f>
        <v>5845.0088978894655</v>
      </c>
      <c r="J41" s="246">
        <f t="shared" ref="J41:J43" si="39">+$J$17*(1+J$13)^(G41-G$17)</f>
        <v>108.99256517229784</v>
      </c>
      <c r="K41" s="247">
        <f t="shared" ref="K41:K43" si="40">+$K$17*(1+K$13)^(G41-G$17)</f>
        <v>262.40863387253734</v>
      </c>
      <c r="L41" s="116">
        <v>0</v>
      </c>
      <c r="M41" s="65">
        <v>2024</v>
      </c>
      <c r="N41" s="66">
        <f>+H23</f>
        <v>3159.8988589859509</v>
      </c>
      <c r="O41" s="66">
        <f>ROUND(($O$9*$B$33)*(1+$B$29)^L41,0)</f>
        <v>435</v>
      </c>
      <c r="P41" s="66">
        <f>+J23</f>
        <v>13.755805818248891</v>
      </c>
      <c r="Q41" s="66">
        <f>(N41+O41)*P41</f>
        <v>49450.730640455244</v>
      </c>
      <c r="R41" s="66">
        <f>+I23</f>
        <v>3751.4803748339659</v>
      </c>
      <c r="S41" s="66">
        <f t="shared" ref="S41:S61" si="41">ROUND(($Q$9*$B$33)*(1+$B$29)^L41,0)</f>
        <v>556</v>
      </c>
      <c r="T41" s="66">
        <f>+K23</f>
        <v>33.844773566621889</v>
      </c>
      <c r="U41" s="66">
        <f>(R41+S41)*T41</f>
        <v>145785.69792892315</v>
      </c>
      <c r="V41" s="66">
        <f>Q41+U41</f>
        <v>195236.42856937839</v>
      </c>
      <c r="W41" s="66">
        <f>ROUND(V41/3600*$B$25,0)</f>
        <v>14155</v>
      </c>
      <c r="X41" s="88">
        <f>ROUND(W41*($B$17*(1-$B$33)+($B$19*$B$33)),0)</f>
        <v>229028</v>
      </c>
      <c r="Y41" s="88">
        <f>X41*NPV!C9</f>
        <v>142627.12788434414</v>
      </c>
    </row>
    <row r="42" spans="1:25" x14ac:dyDescent="0.2">
      <c r="D42" s="243">
        <v>2043</v>
      </c>
      <c r="E42" s="246">
        <f t="shared" si="35"/>
        <v>4840.4800461738687</v>
      </c>
      <c r="F42" s="247">
        <f t="shared" si="36"/>
        <v>6521.2836422027294</v>
      </c>
      <c r="G42" s="255">
        <v>2043</v>
      </c>
      <c r="H42" s="246">
        <f t="shared" ref="H42" si="42">+$E$17*(1+H$13)^(G42-G$17)</f>
        <v>5079.6843856133937</v>
      </c>
      <c r="I42" s="247">
        <f t="shared" si="38"/>
        <v>5990.7914911494154</v>
      </c>
      <c r="J42" s="246">
        <f t="shared" si="39"/>
        <v>122.27463213644283</v>
      </c>
      <c r="K42" s="247">
        <f t="shared" si="40"/>
        <v>294.03162042667719</v>
      </c>
      <c r="L42" s="116">
        <v>1</v>
      </c>
      <c r="M42" s="26">
        <f>M41+1</f>
        <v>2025</v>
      </c>
      <c r="N42" s="66">
        <f t="shared" ref="N42:N61" si="43">+H24</f>
        <v>3239.842477147638</v>
      </c>
      <c r="O42" s="59">
        <f t="shared" ref="O42:O61" si="44">ROUND(($O$9*$B$33)*(1+$B$29)^L42,0)</f>
        <v>444</v>
      </c>
      <c r="P42" s="59">
        <f t="shared" ref="P42:P61" si="45">+J24</f>
        <v>15.432117718376501</v>
      </c>
      <c r="Q42" s="59">
        <f t="shared" ref="Q42:Q61" si="46">(N42+O42)*P42</f>
        <v>56849.490763298047</v>
      </c>
      <c r="R42" s="66">
        <f t="shared" ref="R42:R61" si="47">+I24</f>
        <v>3845.0474757847592</v>
      </c>
      <c r="S42" s="59">
        <f t="shared" si="41"/>
        <v>568</v>
      </c>
      <c r="T42" s="59">
        <f t="shared" ref="T42:T61" si="48">+K24</f>
        <v>37.923422975486488</v>
      </c>
      <c r="U42" s="59">
        <f t="shared" ref="U42:U61" si="49">(R42+S42)*T42</f>
        <v>167357.86603508837</v>
      </c>
      <c r="V42" s="66">
        <f t="shared" ref="V42:V61" si="50">Q42+U42</f>
        <v>224207.35679838643</v>
      </c>
      <c r="W42" s="59">
        <f t="shared" ref="W42:W61" si="51">ROUND(V42/3600*$B$25,0)</f>
        <v>16255</v>
      </c>
      <c r="X42" s="89">
        <f t="shared" ref="X42:X61" si="52">ROUND(W42*($B$17*(1-$B$33)+($B$19*$B$33)),0)</f>
        <v>263006</v>
      </c>
      <c r="Y42" s="89">
        <f>X42*NPV!C10</f>
        <v>153071.88655523249</v>
      </c>
    </row>
    <row r="43" spans="1:25" ht="13.5" thickBot="1" x14ac:dyDescent="0.25">
      <c r="D43" s="243">
        <v>2044</v>
      </c>
      <c r="E43" s="248">
        <f t="shared" si="35"/>
        <v>4953.3750852864214</v>
      </c>
      <c r="F43" s="249">
        <f t="shared" si="36"/>
        <v>6668.0806187227217</v>
      </c>
      <c r="G43" s="255">
        <v>2044</v>
      </c>
      <c r="H43" s="248">
        <f t="shared" ref="H43" si="53">+$E$17*(1+H$13)^(G43-G$17)</f>
        <v>5208.1974700592918</v>
      </c>
      <c r="I43" s="249">
        <f t="shared" si="38"/>
        <v>6140.2101035958003</v>
      </c>
      <c r="J43" s="248">
        <f t="shared" si="39"/>
        <v>137.17528017133478</v>
      </c>
      <c r="K43" s="249">
        <f t="shared" si="40"/>
        <v>329.46550780311634</v>
      </c>
      <c r="L43" s="116">
        <v>2</v>
      </c>
      <c r="M43" s="26">
        <f t="shared" ref="M43:M61" si="54">M42+1</f>
        <v>2026</v>
      </c>
      <c r="N43" s="66">
        <f t="shared" si="43"/>
        <v>3321.8086227287095</v>
      </c>
      <c r="O43" s="59">
        <f t="shared" si="44"/>
        <v>454</v>
      </c>
      <c r="P43" s="59">
        <f t="shared" si="45"/>
        <v>17.312708569780209</v>
      </c>
      <c r="Q43" s="59">
        <f t="shared" si="46"/>
        <v>65369.474300565336</v>
      </c>
      <c r="R43" s="66">
        <f t="shared" si="47"/>
        <v>3940.9482694396565</v>
      </c>
      <c r="S43" s="59">
        <f t="shared" si="41"/>
        <v>580</v>
      </c>
      <c r="T43" s="59">
        <f t="shared" si="48"/>
        <v>42.493592322213445</v>
      </c>
      <c r="U43" s="59">
        <f t="shared" si="49"/>
        <v>192111.33267138514</v>
      </c>
      <c r="V43" s="66">
        <f t="shared" si="50"/>
        <v>257480.80697195049</v>
      </c>
      <c r="W43" s="59">
        <f t="shared" si="51"/>
        <v>18667</v>
      </c>
      <c r="X43" s="89">
        <f t="shared" si="52"/>
        <v>302032</v>
      </c>
      <c r="Y43" s="89">
        <f>X43*NPV!C11</f>
        <v>164285.39614017541</v>
      </c>
    </row>
    <row r="44" spans="1:25" x14ac:dyDescent="0.2">
      <c r="L44" s="116">
        <v>3</v>
      </c>
      <c r="M44" s="26">
        <f t="shared" si="54"/>
        <v>2027</v>
      </c>
      <c r="N44" s="66">
        <f t="shared" si="43"/>
        <v>3405.8484645060644</v>
      </c>
      <c r="O44" s="59">
        <f t="shared" si="44"/>
        <v>463</v>
      </c>
      <c r="P44" s="59">
        <f t="shared" si="45"/>
        <v>19.422472242109965</v>
      </c>
      <c r="Q44" s="59">
        <f t="shared" si="46"/>
        <v>75142.601910798796</v>
      </c>
      <c r="R44" s="66">
        <f t="shared" si="47"/>
        <v>4039.2409613172817</v>
      </c>
      <c r="S44" s="59">
        <f t="shared" si="41"/>
        <v>593</v>
      </c>
      <c r="T44" s="59">
        <f t="shared" si="48"/>
        <v>47.614514903195222</v>
      </c>
      <c r="U44" s="59">
        <f t="shared" si="49"/>
        <v>220561.90628783309</v>
      </c>
      <c r="V44" s="66">
        <f t="shared" si="50"/>
        <v>295704.50819863187</v>
      </c>
      <c r="W44" s="59">
        <f t="shared" si="51"/>
        <v>21439</v>
      </c>
      <c r="X44" s="89">
        <f t="shared" si="52"/>
        <v>346883</v>
      </c>
      <c r="Y44" s="89">
        <f>X44*NPV!C12</f>
        <v>176337.72750356732</v>
      </c>
    </row>
    <row r="45" spans="1:25" x14ac:dyDescent="0.2">
      <c r="L45" s="116">
        <v>4</v>
      </c>
      <c r="M45" s="26">
        <f t="shared" si="54"/>
        <v>2028</v>
      </c>
      <c r="N45" s="66">
        <f t="shared" si="43"/>
        <v>3492.0144657971364</v>
      </c>
      <c r="O45" s="59">
        <f t="shared" si="44"/>
        <v>473</v>
      </c>
      <c r="P45" s="59">
        <f t="shared" si="45"/>
        <v>21.789336225182083</v>
      </c>
      <c r="Q45" s="59">
        <f t="shared" si="46"/>
        <v>86395.033332964536</v>
      </c>
      <c r="R45" s="66">
        <f t="shared" si="47"/>
        <v>4139.9852086622732</v>
      </c>
      <c r="S45" s="59">
        <f t="shared" si="41"/>
        <v>605</v>
      </c>
      <c r="T45" s="59">
        <f t="shared" si="48"/>
        <v>53.352562246930937</v>
      </c>
      <c r="U45" s="59">
        <f t="shared" si="49"/>
        <v>253157.1187059205</v>
      </c>
      <c r="V45" s="66">
        <f t="shared" si="50"/>
        <v>339552.15203888505</v>
      </c>
      <c r="W45" s="59">
        <f t="shared" si="51"/>
        <v>24618</v>
      </c>
      <c r="X45" s="89">
        <f t="shared" si="52"/>
        <v>398319</v>
      </c>
      <c r="Y45" s="89">
        <f>X45*NPV!C13</f>
        <v>189238.48756430714</v>
      </c>
    </row>
    <row r="46" spans="1:25" x14ac:dyDescent="0.2">
      <c r="L46" s="116">
        <v>5</v>
      </c>
      <c r="M46" s="26">
        <f t="shared" si="54"/>
        <v>2029</v>
      </c>
      <c r="N46" s="66">
        <f t="shared" si="43"/>
        <v>3580.360417211024</v>
      </c>
      <c r="O46" s="59">
        <f t="shared" si="44"/>
        <v>483</v>
      </c>
      <c r="P46" s="59">
        <f t="shared" si="45"/>
        <v>24.444631312417044</v>
      </c>
      <c r="Q46" s="59">
        <f t="shared" si="46"/>
        <v>99327.347288192585</v>
      </c>
      <c r="R46" s="66">
        <f t="shared" si="47"/>
        <v>4243.2421566533285</v>
      </c>
      <c r="S46" s="59">
        <f t="shared" si="41"/>
        <v>618</v>
      </c>
      <c r="T46" s="59">
        <f t="shared" si="48"/>
        <v>59.782104345698663</v>
      </c>
      <c r="U46" s="59">
        <f t="shared" si="49"/>
        <v>290615.28585875849</v>
      </c>
      <c r="V46" s="66">
        <f t="shared" si="50"/>
        <v>389942.63314695109</v>
      </c>
      <c r="W46" s="59">
        <f t="shared" si="51"/>
        <v>28271</v>
      </c>
      <c r="X46" s="89">
        <f t="shared" si="52"/>
        <v>457425</v>
      </c>
      <c r="Y46" s="89">
        <f>X46*NPV!C14</f>
        <v>203102.17045569333</v>
      </c>
    </row>
    <row r="47" spans="1:25" x14ac:dyDescent="0.2">
      <c r="L47" s="116">
        <v>6</v>
      </c>
      <c r="M47" s="26">
        <f t="shared" si="54"/>
        <v>2030</v>
      </c>
      <c r="N47" s="66">
        <f t="shared" si="43"/>
        <v>3670.9414702282047</v>
      </c>
      <c r="O47" s="59">
        <f t="shared" si="44"/>
        <v>494</v>
      </c>
      <c r="P47" s="59">
        <f t="shared" si="45"/>
        <v>27.423506334691318</v>
      </c>
      <c r="Q47" s="59">
        <f t="shared" si="46"/>
        <v>114217.29879242175</v>
      </c>
      <c r="R47" s="66">
        <f t="shared" si="47"/>
        <v>4349.0744755143378</v>
      </c>
      <c r="S47" s="59">
        <f t="shared" si="41"/>
        <v>631</v>
      </c>
      <c r="T47" s="59">
        <f t="shared" si="48"/>
        <v>66.986473554146656</v>
      </c>
      <c r="U47" s="59">
        <f t="shared" si="49"/>
        <v>333597.62715172197</v>
      </c>
      <c r="V47" s="66">
        <f t="shared" si="50"/>
        <v>447814.92594414373</v>
      </c>
      <c r="W47" s="59">
        <f t="shared" si="51"/>
        <v>32467</v>
      </c>
      <c r="X47" s="89">
        <f t="shared" si="52"/>
        <v>525316</v>
      </c>
      <c r="Y47" s="89">
        <f>X47*NPV!C15</f>
        <v>217987.46390701502</v>
      </c>
    </row>
    <row r="48" spans="1:25" x14ac:dyDescent="0.2">
      <c r="L48" s="116">
        <v>7</v>
      </c>
      <c r="M48" s="26">
        <f t="shared" si="54"/>
        <v>2031</v>
      </c>
      <c r="N48" s="66">
        <f t="shared" si="43"/>
        <v>3763.8141716297941</v>
      </c>
      <c r="O48" s="59">
        <f t="shared" si="44"/>
        <v>504</v>
      </c>
      <c r="P48" s="59">
        <f t="shared" si="45"/>
        <v>30.765393434542808</v>
      </c>
      <c r="Q48" s="59">
        <f t="shared" si="46"/>
        <v>131300.98209570802</v>
      </c>
      <c r="R48" s="66">
        <f t="shared" si="47"/>
        <v>4457.5463985511142</v>
      </c>
      <c r="S48" s="59">
        <f t="shared" si="41"/>
        <v>645</v>
      </c>
      <c r="T48" s="59">
        <f t="shared" si="48"/>
        <v>75.05904464775243</v>
      </c>
      <c r="U48" s="59">
        <f t="shared" si="49"/>
        <v>382992.25794607645</v>
      </c>
      <c r="V48" s="66">
        <f t="shared" si="50"/>
        <v>514293.24004178448</v>
      </c>
      <c r="W48" s="59">
        <f t="shared" si="51"/>
        <v>37286</v>
      </c>
      <c r="X48" s="89">
        <f t="shared" si="52"/>
        <v>603287</v>
      </c>
      <c r="Y48" s="89">
        <f>X48*NPV!C16</f>
        <v>233965.09988161889</v>
      </c>
    </row>
    <row r="49" spans="12:25" x14ac:dyDescent="0.2">
      <c r="L49" s="116">
        <v>8</v>
      </c>
      <c r="M49" s="26">
        <f t="shared" si="54"/>
        <v>2032</v>
      </c>
      <c r="N49" s="66">
        <f t="shared" si="43"/>
        <v>3859.0364987978469</v>
      </c>
      <c r="O49" s="59">
        <f t="shared" si="44"/>
        <v>515</v>
      </c>
      <c r="P49" s="59">
        <f t="shared" si="45"/>
        <v>34.514530039685518</v>
      </c>
      <c r="Q49" s="59">
        <f t="shared" si="46"/>
        <v>150967.81413243915</v>
      </c>
      <c r="R49" s="66">
        <f t="shared" si="47"/>
        <v>4568.7237611368209</v>
      </c>
      <c r="S49" s="59">
        <f t="shared" si="41"/>
        <v>659</v>
      </c>
      <c r="T49" s="59">
        <f t="shared" si="48"/>
        <v>84.104445039629027</v>
      </c>
      <c r="U49" s="59">
        <f t="shared" si="49"/>
        <v>439674.80575089448</v>
      </c>
      <c r="V49" s="66">
        <f t="shared" si="50"/>
        <v>590642.61988333357</v>
      </c>
      <c r="W49" s="59">
        <f t="shared" si="51"/>
        <v>42822</v>
      </c>
      <c r="X49" s="89">
        <f t="shared" si="52"/>
        <v>692860</v>
      </c>
      <c r="Y49" s="89">
        <f>X49*NPV!C17</f>
        <v>251124.34916940532</v>
      </c>
    </row>
    <row r="50" spans="12:25" x14ac:dyDescent="0.2">
      <c r="L50" s="116">
        <v>9</v>
      </c>
      <c r="M50" s="26">
        <f t="shared" si="54"/>
        <v>2033</v>
      </c>
      <c r="N50" s="66">
        <f t="shared" si="43"/>
        <v>3956.6678959087371</v>
      </c>
      <c r="O50" s="59">
        <f t="shared" si="44"/>
        <v>526</v>
      </c>
      <c r="P50" s="59">
        <f t="shared" si="45"/>
        <v>38.72054444533245</v>
      </c>
      <c r="Q50" s="59">
        <f t="shared" si="46"/>
        <v>173571.34149719914</v>
      </c>
      <c r="R50" s="66">
        <f t="shared" si="47"/>
        <v>4682.6740406697363</v>
      </c>
      <c r="S50" s="59">
        <f t="shared" si="41"/>
        <v>673</v>
      </c>
      <c r="T50" s="59">
        <f t="shared" si="48"/>
        <v>94.239910841121954</v>
      </c>
      <c r="U50" s="59">
        <f t="shared" si="49"/>
        <v>504718.24408682733</v>
      </c>
      <c r="V50" s="66">
        <f t="shared" si="50"/>
        <v>678289.58558402653</v>
      </c>
      <c r="W50" s="59">
        <f t="shared" si="51"/>
        <v>49176</v>
      </c>
      <c r="X50" s="89">
        <f t="shared" si="52"/>
        <v>795668</v>
      </c>
      <c r="Y50" s="89">
        <f>X50*NPV!C18</f>
        <v>269520.27995962341</v>
      </c>
    </row>
    <row r="51" spans="12:25" x14ac:dyDescent="0.2">
      <c r="L51" s="116">
        <v>10</v>
      </c>
      <c r="M51" s="26">
        <f t="shared" si="54"/>
        <v>2034</v>
      </c>
      <c r="N51" s="66">
        <f t="shared" si="43"/>
        <v>4056.7693110422083</v>
      </c>
      <c r="O51" s="59">
        <f t="shared" si="44"/>
        <v>537</v>
      </c>
      <c r="P51" s="59">
        <f t="shared" si="45"/>
        <v>43.439112756832046</v>
      </c>
      <c r="Q51" s="59">
        <f t="shared" si="46"/>
        <v>199549.26308123712</v>
      </c>
      <c r="R51" s="66">
        <f t="shared" si="47"/>
        <v>4799.4663975276335</v>
      </c>
      <c r="S51" s="59">
        <f t="shared" si="41"/>
        <v>687</v>
      </c>
      <c r="T51" s="59">
        <f t="shared" si="48"/>
        <v>105.59680634189924</v>
      </c>
      <c r="U51" s="59">
        <f t="shared" si="49"/>
        <v>579353.32968106307</v>
      </c>
      <c r="V51" s="66">
        <f t="shared" si="50"/>
        <v>778902.59276230016</v>
      </c>
      <c r="W51" s="59">
        <f t="shared" si="51"/>
        <v>56470</v>
      </c>
      <c r="X51" s="89">
        <f t="shared" si="52"/>
        <v>913685</v>
      </c>
      <c r="Y51" s="89">
        <f>X51*NPV!C19</f>
        <v>289249.2719512005</v>
      </c>
    </row>
    <row r="52" spans="12:25" x14ac:dyDescent="0.2">
      <c r="L52" s="116">
        <v>11</v>
      </c>
      <c r="M52" s="26">
        <f t="shared" si="54"/>
        <v>2035</v>
      </c>
      <c r="N52" s="66">
        <f t="shared" si="43"/>
        <v>4159.4032342292576</v>
      </c>
      <c r="O52" s="59">
        <f t="shared" si="44"/>
        <v>548</v>
      </c>
      <c r="P52" s="59">
        <f t="shared" si="45"/>
        <v>48.732695888738483</v>
      </c>
      <c r="Q52" s="59">
        <f t="shared" si="46"/>
        <v>229404.45023935838</v>
      </c>
      <c r="R52" s="66">
        <f t="shared" si="47"/>
        <v>4919.1717170436086</v>
      </c>
      <c r="S52" s="59">
        <f t="shared" si="41"/>
        <v>702</v>
      </c>
      <c r="T52" s="59">
        <f t="shared" si="48"/>
        <v>118.32232660329434</v>
      </c>
      <c r="U52" s="59">
        <f t="shared" si="49"/>
        <v>665110.1157972347</v>
      </c>
      <c r="V52" s="66">
        <f t="shared" si="50"/>
        <v>894514.56603659305</v>
      </c>
      <c r="W52" s="59">
        <f t="shared" si="51"/>
        <v>64852</v>
      </c>
      <c r="X52" s="89">
        <f t="shared" si="52"/>
        <v>1049305</v>
      </c>
      <c r="Y52" s="89">
        <f>X52*NPV!C20</f>
        <v>310451.48671583465</v>
      </c>
    </row>
    <row r="53" spans="12:25" x14ac:dyDescent="0.2">
      <c r="L53" s="116">
        <v>12</v>
      </c>
      <c r="M53" s="26">
        <f t="shared" si="54"/>
        <v>2036</v>
      </c>
      <c r="N53" s="66">
        <f t="shared" si="43"/>
        <v>4264.6337364626161</v>
      </c>
      <c r="O53" s="59">
        <f t="shared" si="44"/>
        <v>560</v>
      </c>
      <c r="P53" s="59">
        <f t="shared" si="45"/>
        <v>54.671366376164094</v>
      </c>
      <c r="Q53" s="59">
        <f t="shared" si="46"/>
        <v>263769.31863694923</v>
      </c>
      <c r="R53" s="66">
        <f t="shared" si="47"/>
        <v>5041.862652528851</v>
      </c>
      <c r="S53" s="59">
        <f t="shared" si="41"/>
        <v>717</v>
      </c>
      <c r="T53" s="59">
        <f t="shared" si="48"/>
        <v>132.58140523196485</v>
      </c>
      <c r="U53" s="59">
        <f t="shared" si="49"/>
        <v>763518.10301015561</v>
      </c>
      <c r="V53" s="66">
        <f t="shared" si="50"/>
        <v>1027287.4216471049</v>
      </c>
      <c r="W53" s="59">
        <f t="shared" si="51"/>
        <v>74478</v>
      </c>
      <c r="X53" s="89">
        <f t="shared" si="52"/>
        <v>1205054</v>
      </c>
      <c r="Y53" s="89">
        <f>X53*NPV!C21</f>
        <v>333207.47272804414</v>
      </c>
    </row>
    <row r="54" spans="12:25" x14ac:dyDescent="0.2">
      <c r="L54" s="116">
        <v>13</v>
      </c>
      <c r="M54" s="26">
        <f t="shared" si="54"/>
        <v>2037</v>
      </c>
      <c r="N54" s="66">
        <f t="shared" si="43"/>
        <v>4372.5265096941685</v>
      </c>
      <c r="O54" s="59">
        <f t="shared" si="44"/>
        <v>572</v>
      </c>
      <c r="P54" s="59">
        <f t="shared" si="45"/>
        <v>61.333735943130471</v>
      </c>
      <c r="Q54" s="59">
        <f t="shared" si="46"/>
        <v>303266.28330939065</v>
      </c>
      <c r="R54" s="66">
        <f t="shared" si="47"/>
        <v>5167.6136693684584</v>
      </c>
      <c r="S54" s="59">
        <f t="shared" si="41"/>
        <v>732</v>
      </c>
      <c r="T54" s="59">
        <f t="shared" si="48"/>
        <v>148.55885206024229</v>
      </c>
      <c r="U54" s="59">
        <f t="shared" si="49"/>
        <v>876439.83432029199</v>
      </c>
      <c r="V54" s="66">
        <f t="shared" si="50"/>
        <v>1179706.1176296826</v>
      </c>
      <c r="W54" s="59">
        <f t="shared" si="51"/>
        <v>85529</v>
      </c>
      <c r="X54" s="89">
        <f t="shared" si="52"/>
        <v>1383859</v>
      </c>
      <c r="Y54" s="89">
        <f>X54*NPV!C22</f>
        <v>357615.46281499753</v>
      </c>
    </row>
    <row r="55" spans="12:25" x14ac:dyDescent="0.2">
      <c r="L55" s="116">
        <v>14</v>
      </c>
      <c r="M55" s="26">
        <f t="shared" si="54"/>
        <v>2038</v>
      </c>
      <c r="N55" s="66">
        <f t="shared" si="43"/>
        <v>4483.1489078442855</v>
      </c>
      <c r="O55" s="59">
        <f t="shared" si="44"/>
        <v>584</v>
      </c>
      <c r="P55" s="59">
        <f t="shared" si="45"/>
        <v>68.807996106381495</v>
      </c>
      <c r="Q55" s="59">
        <f t="shared" si="46"/>
        <v>348660.36232140486</v>
      </c>
      <c r="R55" s="66">
        <f t="shared" si="47"/>
        <v>5296.5010902170607</v>
      </c>
      <c r="S55" s="59">
        <f t="shared" si="41"/>
        <v>747</v>
      </c>
      <c r="T55" s="59">
        <f t="shared" si="48"/>
        <v>166.46174843933565</v>
      </c>
      <c r="U55" s="59">
        <f t="shared" si="49"/>
        <v>1006011.758172563</v>
      </c>
      <c r="V55" s="66">
        <f t="shared" si="50"/>
        <v>1354672.120493968</v>
      </c>
      <c r="W55" s="59">
        <f t="shared" si="51"/>
        <v>98214</v>
      </c>
      <c r="X55" s="89">
        <f t="shared" si="52"/>
        <v>1589103</v>
      </c>
      <c r="Y55" s="89">
        <f>X55*NPV!C23</f>
        <v>383789.17068086652</v>
      </c>
    </row>
    <row r="56" spans="12:25" x14ac:dyDescent="0.2">
      <c r="L56" s="116">
        <v>15</v>
      </c>
      <c r="M56" s="26">
        <f t="shared" si="54"/>
        <v>2039</v>
      </c>
      <c r="N56" s="66">
        <f t="shared" si="43"/>
        <v>4596.5699888486643</v>
      </c>
      <c r="O56" s="59">
        <f t="shared" si="44"/>
        <v>597</v>
      </c>
      <c r="P56" s="59">
        <f t="shared" si="45"/>
        <v>77.193085589401321</v>
      </c>
      <c r="Q56" s="59">
        <f t="shared" si="46"/>
        <v>400907.69266374101</v>
      </c>
      <c r="R56" s="66">
        <f t="shared" si="47"/>
        <v>5428.6031413216888</v>
      </c>
      <c r="S56" s="59">
        <f t="shared" si="41"/>
        <v>763</v>
      </c>
      <c r="T56" s="59">
        <f t="shared" si="48"/>
        <v>186.52213119043321</v>
      </c>
      <c r="U56" s="59">
        <f t="shared" si="49"/>
        <v>1154871.0134047025</v>
      </c>
      <c r="V56" s="66">
        <f t="shared" si="50"/>
        <v>1555778.7060684436</v>
      </c>
      <c r="W56" s="59">
        <f t="shared" si="51"/>
        <v>112794</v>
      </c>
      <c r="X56" s="89">
        <f t="shared" si="52"/>
        <v>1825007</v>
      </c>
      <c r="Y56" s="89">
        <f>X56*NPV!C24</f>
        <v>411928.10644451925</v>
      </c>
    </row>
    <row r="57" spans="12:25" x14ac:dyDescent="0.2">
      <c r="L57" s="116">
        <v>16</v>
      </c>
      <c r="M57" s="26">
        <f t="shared" si="54"/>
        <v>2040</v>
      </c>
      <c r="N57" s="66">
        <f t="shared" si="43"/>
        <v>4349</v>
      </c>
      <c r="O57" s="59">
        <f t="shared" si="44"/>
        <v>609</v>
      </c>
      <c r="P57" s="59">
        <f t="shared" si="45"/>
        <v>86.600000000000023</v>
      </c>
      <c r="Q57" s="59">
        <f t="shared" si="46"/>
        <v>429362.8000000001</v>
      </c>
      <c r="R57" s="66">
        <f t="shared" si="47"/>
        <v>5564</v>
      </c>
      <c r="S57" s="59">
        <f t="shared" si="41"/>
        <v>780</v>
      </c>
      <c r="T57" s="59">
        <f t="shared" si="48"/>
        <v>209</v>
      </c>
      <c r="U57" s="59">
        <f t="shared" si="49"/>
        <v>1325896</v>
      </c>
      <c r="V57" s="66">
        <f t="shared" si="50"/>
        <v>1755258.8</v>
      </c>
      <c r="W57" s="59">
        <f t="shared" si="51"/>
        <v>127256</v>
      </c>
      <c r="X57" s="89">
        <f t="shared" si="52"/>
        <v>2059002</v>
      </c>
      <c r="Y57" s="89">
        <f>X57*NPV!C25</f>
        <v>434340.05470155843</v>
      </c>
    </row>
    <row r="58" spans="12:25" x14ac:dyDescent="0.2">
      <c r="L58" s="116">
        <v>17</v>
      </c>
      <c r="M58" s="26">
        <f t="shared" si="54"/>
        <v>2041</v>
      </c>
      <c r="N58" s="66">
        <f t="shared" si="43"/>
        <v>4832.0932109939358</v>
      </c>
      <c r="O58" s="59">
        <f t="shared" si="44"/>
        <v>622</v>
      </c>
      <c r="P58" s="59">
        <f t="shared" si="45"/>
        <v>97.15326110800909</v>
      </c>
      <c r="Q58" s="59">
        <f t="shared" si="46"/>
        <v>529882.94183511357</v>
      </c>
      <c r="R58" s="66">
        <f t="shared" si="47"/>
        <v>5702.773843302658</v>
      </c>
      <c r="S58" s="59">
        <f t="shared" si="41"/>
        <v>796</v>
      </c>
      <c r="T58" s="59">
        <f t="shared" si="48"/>
        <v>234.18668723768297</v>
      </c>
      <c r="U58" s="59">
        <f t="shared" si="49"/>
        <v>1521926.3174699545</v>
      </c>
      <c r="V58" s="66">
        <f t="shared" si="50"/>
        <v>2051809.2593050681</v>
      </c>
      <c r="W58" s="59">
        <f t="shared" si="51"/>
        <v>148756</v>
      </c>
      <c r="X58" s="89">
        <f t="shared" si="52"/>
        <v>2406872</v>
      </c>
      <c r="Y58" s="89">
        <f>X58*NPV!C26</f>
        <v>474506.67944939941</v>
      </c>
    </row>
    <row r="59" spans="12:25" x14ac:dyDescent="0.2">
      <c r="L59" s="116">
        <v>18</v>
      </c>
      <c r="M59" s="26">
        <f t="shared" si="54"/>
        <v>2042</v>
      </c>
      <c r="N59" s="66">
        <f t="shared" si="43"/>
        <v>4954.3423815592696</v>
      </c>
      <c r="O59" s="59">
        <f t="shared" si="44"/>
        <v>636</v>
      </c>
      <c r="P59" s="59">
        <f t="shared" si="45"/>
        <v>108.99256517229784</v>
      </c>
      <c r="Q59" s="59">
        <f t="shared" si="46"/>
        <v>609305.75635755749</v>
      </c>
      <c r="R59" s="66">
        <f t="shared" si="47"/>
        <v>5845.0088978894655</v>
      </c>
      <c r="S59" s="59">
        <f t="shared" si="41"/>
        <v>813</v>
      </c>
      <c r="T59" s="59">
        <f t="shared" si="48"/>
        <v>262.40863387253734</v>
      </c>
      <c r="U59" s="59">
        <f t="shared" si="49"/>
        <v>1747119.0192063726</v>
      </c>
      <c r="V59" s="66">
        <f t="shared" si="50"/>
        <v>2356424.7755639302</v>
      </c>
      <c r="W59" s="59">
        <f t="shared" si="51"/>
        <v>170841</v>
      </c>
      <c r="X59" s="89">
        <f t="shared" si="52"/>
        <v>2764207</v>
      </c>
      <c r="Y59" s="89">
        <f>X59*NPV!C27</f>
        <v>509302.86625121726</v>
      </c>
    </row>
    <row r="60" spans="12:25" x14ac:dyDescent="0.2">
      <c r="L60" s="116">
        <v>19</v>
      </c>
      <c r="M60" s="26">
        <f t="shared" si="54"/>
        <v>2043</v>
      </c>
      <c r="N60" s="66">
        <f t="shared" si="43"/>
        <v>5079.6843856133937</v>
      </c>
      <c r="O60" s="59">
        <f t="shared" si="44"/>
        <v>649</v>
      </c>
      <c r="P60" s="59">
        <f t="shared" si="45"/>
        <v>122.27463213644283</v>
      </c>
      <c r="Q60" s="59">
        <f t="shared" si="46"/>
        <v>700472.77587666176</v>
      </c>
      <c r="R60" s="66">
        <f t="shared" si="47"/>
        <v>5990.7914911494154</v>
      </c>
      <c r="S60" s="59">
        <f t="shared" si="41"/>
        <v>830</v>
      </c>
      <c r="T60" s="59">
        <f t="shared" si="48"/>
        <v>294.03162042667719</v>
      </c>
      <c r="U60" s="59">
        <f t="shared" si="49"/>
        <v>2005528.3747351544</v>
      </c>
      <c r="V60" s="66">
        <f t="shared" si="50"/>
        <v>2706001.150611816</v>
      </c>
      <c r="W60" s="59">
        <f t="shared" si="51"/>
        <v>196185</v>
      </c>
      <c r="X60" s="89">
        <f t="shared" si="52"/>
        <v>3174273</v>
      </c>
      <c r="Y60" s="89">
        <f>X60*NPV!C28</f>
        <v>546595.50418789918</v>
      </c>
    </row>
    <row r="61" spans="12:25" x14ac:dyDescent="0.2">
      <c r="L61" s="116">
        <v>20</v>
      </c>
      <c r="M61" s="27">
        <f t="shared" si="54"/>
        <v>2044</v>
      </c>
      <c r="N61" s="66">
        <f t="shared" si="43"/>
        <v>5208.1974700592918</v>
      </c>
      <c r="O61" s="62">
        <f t="shared" si="44"/>
        <v>663</v>
      </c>
      <c r="P61" s="62">
        <f t="shared" si="45"/>
        <v>137.17528017133478</v>
      </c>
      <c r="Q61" s="62">
        <f t="shared" si="46"/>
        <v>805383.15789661533</v>
      </c>
      <c r="R61" s="66">
        <f t="shared" si="47"/>
        <v>6140.2101035958003</v>
      </c>
      <c r="S61" s="62">
        <f t="shared" si="41"/>
        <v>848</v>
      </c>
      <c r="T61" s="62">
        <f t="shared" si="48"/>
        <v>329.46550780311634</v>
      </c>
      <c r="U61" s="62">
        <f t="shared" si="49"/>
        <v>2302374.1904160585</v>
      </c>
      <c r="V61" s="66">
        <f t="shared" si="50"/>
        <v>3107757.3483126741</v>
      </c>
      <c r="W61" s="62">
        <f t="shared" si="51"/>
        <v>225312</v>
      </c>
      <c r="X61" s="90">
        <f t="shared" si="52"/>
        <v>3645548</v>
      </c>
      <c r="Y61" s="90">
        <f>X61*NPV!C30</f>
        <v>255188.36000000002</v>
      </c>
    </row>
    <row r="62" spans="12:25" x14ac:dyDescent="0.2">
      <c r="M62" s="326" t="s">
        <v>0</v>
      </c>
      <c r="N62" s="326"/>
      <c r="O62" s="326"/>
      <c r="P62" s="326"/>
      <c r="Q62" s="326"/>
      <c r="R62" s="326"/>
      <c r="S62" s="326"/>
      <c r="T62" s="326"/>
      <c r="U62" s="221">
        <f>+SUM(U41:U61)</f>
        <v>16878720.198636979</v>
      </c>
      <c r="V62" s="300" t="s">
        <v>0</v>
      </c>
      <c r="W62" s="301"/>
      <c r="X62" s="7">
        <f>SUM(X41:X61)</f>
        <v>26629739</v>
      </c>
      <c r="Y62" s="7">
        <f>SUM(Y41:Y61)</f>
        <v>6307434.4249465195</v>
      </c>
    </row>
  </sheetData>
  <mergeCells count="37">
    <mergeCell ref="G1:J1"/>
    <mergeCell ref="E15:F15"/>
    <mergeCell ref="H15:I15"/>
    <mergeCell ref="S8:T8"/>
    <mergeCell ref="S6:T6"/>
    <mergeCell ref="J15:K15"/>
    <mergeCell ref="A1:A2"/>
    <mergeCell ref="A32:B32"/>
    <mergeCell ref="A34:B34"/>
    <mergeCell ref="O1:R1"/>
    <mergeCell ref="A10:T10"/>
    <mergeCell ref="B1:B2"/>
    <mergeCell ref="A12:B12"/>
    <mergeCell ref="A14:B14"/>
    <mergeCell ref="A18:B18"/>
    <mergeCell ref="A23:B23"/>
    <mergeCell ref="A9:B9"/>
    <mergeCell ref="S1:S2"/>
    <mergeCell ref="A30:B30"/>
    <mergeCell ref="K1:N1"/>
    <mergeCell ref="T1:T2"/>
    <mergeCell ref="C1:F1"/>
    <mergeCell ref="Y38:Y40"/>
    <mergeCell ref="X38:X40"/>
    <mergeCell ref="W38:W40"/>
    <mergeCell ref="Q39:Q40"/>
    <mergeCell ref="T39:T40"/>
    <mergeCell ref="U39:U40"/>
    <mergeCell ref="R39:S39"/>
    <mergeCell ref="V62:W62"/>
    <mergeCell ref="M38:M40"/>
    <mergeCell ref="V38:V40"/>
    <mergeCell ref="N38:Q38"/>
    <mergeCell ref="R38:U38"/>
    <mergeCell ref="N39:O39"/>
    <mergeCell ref="P39:P40"/>
    <mergeCell ref="M62:T62"/>
  </mergeCells>
  <pageMargins left="0.7" right="0.7" top="0.75" bottom="0.75" header="0.3" footer="0.3"/>
  <pageSetup orientation="portrait" r:id="rId1"/>
  <ignoredErrors>
    <ignoredError sqref="S41:S61 O41:O6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H32"/>
  <sheetViews>
    <sheetView workbookViewId="0">
      <selection activeCell="M28" sqref="M28"/>
    </sheetView>
  </sheetViews>
  <sheetFormatPr defaultRowHeight="12.75" x14ac:dyDescent="0.2"/>
  <cols>
    <col min="1" max="1" width="30.85546875" bestFit="1" customWidth="1"/>
    <col min="2" max="2" width="9" bestFit="1" customWidth="1"/>
    <col min="5" max="5" width="15.85546875" bestFit="1" customWidth="1"/>
    <col min="6" max="6" width="15.5703125" bestFit="1" customWidth="1"/>
    <col min="7" max="7" width="14" bestFit="1" customWidth="1"/>
    <col min="8" max="8" width="17.7109375" bestFit="1" customWidth="1"/>
    <col min="9" max="9" width="15.7109375" customWidth="1"/>
    <col min="10" max="10" width="16.7109375" customWidth="1"/>
  </cols>
  <sheetData>
    <row r="2" spans="1:8" x14ac:dyDescent="0.2">
      <c r="A2" s="335" t="s">
        <v>177</v>
      </c>
      <c r="B2" s="346"/>
    </row>
    <row r="3" spans="1:8" x14ac:dyDescent="0.2">
      <c r="A3" s="15" t="s">
        <v>219</v>
      </c>
      <c r="B3" s="25">
        <v>0.7329</v>
      </c>
    </row>
    <row r="4" spans="1:8" x14ac:dyDescent="0.2">
      <c r="A4" s="326" t="s">
        <v>130</v>
      </c>
      <c r="B4" s="326"/>
    </row>
    <row r="5" spans="1:8" x14ac:dyDescent="0.2">
      <c r="A5" s="285" t="s">
        <v>169</v>
      </c>
      <c r="B5" s="285"/>
    </row>
    <row r="7" spans="1:8" x14ac:dyDescent="0.2">
      <c r="A7" s="297" t="s">
        <v>166</v>
      </c>
      <c r="B7" s="297"/>
    </row>
    <row r="8" spans="1:8" x14ac:dyDescent="0.2">
      <c r="A8" s="111" t="s">
        <v>167</v>
      </c>
      <c r="B8" s="103">
        <v>2.5</v>
      </c>
    </row>
    <row r="10" spans="1:8" ht="39" thickBot="1" x14ac:dyDescent="0.25">
      <c r="D10" s="124" t="s">
        <v>1</v>
      </c>
      <c r="E10" s="123" t="s">
        <v>148</v>
      </c>
      <c r="F10" s="123" t="s">
        <v>147</v>
      </c>
      <c r="G10" s="123" t="s">
        <v>168</v>
      </c>
      <c r="H10" s="123" t="s">
        <v>173</v>
      </c>
    </row>
    <row r="11" spans="1:8" ht="13.5" thickTop="1" x14ac:dyDescent="0.2">
      <c r="D11" s="65">
        <v>2024</v>
      </c>
      <c r="E11" s="184">
        <f>'EC - Travel Time'!W41</f>
        <v>14155</v>
      </c>
      <c r="F11" s="184">
        <f t="shared" ref="F11:F31" si="0">$B$3*E11</f>
        <v>10374.199500000001</v>
      </c>
      <c r="G11" s="187">
        <f>ROUND(F11*$B$8,0)</f>
        <v>25935</v>
      </c>
      <c r="H11" s="187">
        <f>ROUND(G11*NPV!C9,0)</f>
        <v>16151</v>
      </c>
    </row>
    <row r="12" spans="1:8" x14ac:dyDescent="0.2">
      <c r="D12" s="26">
        <f t="shared" ref="D12:D31" si="1">D11+1</f>
        <v>2025</v>
      </c>
      <c r="E12" s="185">
        <f>'EC - Travel Time'!W42</f>
        <v>16255</v>
      </c>
      <c r="F12" s="185">
        <f t="shared" si="0"/>
        <v>11913.289500000001</v>
      </c>
      <c r="G12" s="146">
        <f t="shared" ref="G12:G31" si="2">ROUND(F12*$B$8,0)</f>
        <v>29783</v>
      </c>
      <c r="H12" s="146">
        <f>ROUND(G12*NPV!C10,0)</f>
        <v>17334</v>
      </c>
    </row>
    <row r="13" spans="1:8" x14ac:dyDescent="0.2">
      <c r="D13" s="26">
        <f t="shared" si="1"/>
        <v>2026</v>
      </c>
      <c r="E13" s="185">
        <f>'EC - Travel Time'!W43</f>
        <v>18667</v>
      </c>
      <c r="F13" s="185">
        <f t="shared" si="0"/>
        <v>13681.0443</v>
      </c>
      <c r="G13" s="146">
        <f t="shared" si="2"/>
        <v>34203</v>
      </c>
      <c r="H13" s="146">
        <f>ROUND(G13*NPV!C11,0)</f>
        <v>18604</v>
      </c>
    </row>
    <row r="14" spans="1:8" x14ac:dyDescent="0.2">
      <c r="D14" s="26">
        <f t="shared" si="1"/>
        <v>2027</v>
      </c>
      <c r="E14" s="185">
        <f>'EC - Travel Time'!W44</f>
        <v>21439</v>
      </c>
      <c r="F14" s="185">
        <f t="shared" si="0"/>
        <v>15712.643099999999</v>
      </c>
      <c r="G14" s="146">
        <f t="shared" si="2"/>
        <v>39282</v>
      </c>
      <c r="H14" s="146">
        <f>ROUND(G14*NPV!C12,0)</f>
        <v>19969</v>
      </c>
    </row>
    <row r="15" spans="1:8" x14ac:dyDescent="0.2">
      <c r="D15" s="26">
        <f t="shared" si="1"/>
        <v>2028</v>
      </c>
      <c r="E15" s="185">
        <f>'EC - Travel Time'!W45</f>
        <v>24618</v>
      </c>
      <c r="F15" s="185">
        <f t="shared" si="0"/>
        <v>18042.532200000001</v>
      </c>
      <c r="G15" s="146">
        <f t="shared" si="2"/>
        <v>45106</v>
      </c>
      <c r="H15" s="146">
        <f>ROUND(G15*NPV!C13,0)</f>
        <v>21430</v>
      </c>
    </row>
    <row r="16" spans="1:8" x14ac:dyDescent="0.2">
      <c r="D16" s="26">
        <f t="shared" si="1"/>
        <v>2029</v>
      </c>
      <c r="E16" s="185">
        <f>'EC - Travel Time'!W46</f>
        <v>28271</v>
      </c>
      <c r="F16" s="185">
        <f t="shared" si="0"/>
        <v>20719.815900000001</v>
      </c>
      <c r="G16" s="146">
        <f t="shared" si="2"/>
        <v>51800</v>
      </c>
      <c r="H16" s="146">
        <f>ROUND(G16*NPV!C14,0)</f>
        <v>23000</v>
      </c>
    </row>
    <row r="17" spans="4:8" x14ac:dyDescent="0.2">
      <c r="D17" s="26">
        <f t="shared" si="1"/>
        <v>2030</v>
      </c>
      <c r="E17" s="185">
        <f>'EC - Travel Time'!W47</f>
        <v>32467</v>
      </c>
      <c r="F17" s="185">
        <f t="shared" si="0"/>
        <v>23795.064299999998</v>
      </c>
      <c r="G17" s="146">
        <f t="shared" si="2"/>
        <v>59488</v>
      </c>
      <c r="H17" s="146">
        <f>ROUND(G17*NPV!C15,0)</f>
        <v>24685</v>
      </c>
    </row>
    <row r="18" spans="4:8" x14ac:dyDescent="0.2">
      <c r="D18" s="26">
        <f t="shared" si="1"/>
        <v>2031</v>
      </c>
      <c r="E18" s="185">
        <f>'EC - Travel Time'!W48</f>
        <v>37286</v>
      </c>
      <c r="F18" s="185">
        <f t="shared" si="0"/>
        <v>27326.9094</v>
      </c>
      <c r="G18" s="146">
        <f t="shared" si="2"/>
        <v>68317</v>
      </c>
      <c r="H18" s="146">
        <f>ROUND(G18*NPV!C16,0)</f>
        <v>26495</v>
      </c>
    </row>
    <row r="19" spans="4:8" x14ac:dyDescent="0.2">
      <c r="D19" s="26">
        <f t="shared" si="1"/>
        <v>2032</v>
      </c>
      <c r="E19" s="185">
        <f>'EC - Travel Time'!W49</f>
        <v>42822</v>
      </c>
      <c r="F19" s="185">
        <f t="shared" si="0"/>
        <v>31384.2438</v>
      </c>
      <c r="G19" s="146">
        <f t="shared" si="2"/>
        <v>78461</v>
      </c>
      <c r="H19" s="146">
        <f>ROUND(G19*NPV!C17,0)</f>
        <v>28438</v>
      </c>
    </row>
    <row r="20" spans="4:8" x14ac:dyDescent="0.2">
      <c r="D20" s="26">
        <f t="shared" si="1"/>
        <v>2033</v>
      </c>
      <c r="E20" s="185">
        <f>'EC - Travel Time'!W50</f>
        <v>49176</v>
      </c>
      <c r="F20" s="185">
        <f t="shared" si="0"/>
        <v>36041.090400000001</v>
      </c>
      <c r="G20" s="146">
        <f t="shared" si="2"/>
        <v>90103</v>
      </c>
      <c r="H20" s="146">
        <f>ROUND(G20*NPV!C18,0)</f>
        <v>30521</v>
      </c>
    </row>
    <row r="21" spans="4:8" x14ac:dyDescent="0.2">
      <c r="D21" s="26">
        <f t="shared" si="1"/>
        <v>2034</v>
      </c>
      <c r="E21" s="185">
        <f>'EC - Travel Time'!W51</f>
        <v>56470</v>
      </c>
      <c r="F21" s="185">
        <f t="shared" si="0"/>
        <v>41386.862999999998</v>
      </c>
      <c r="G21" s="146">
        <f t="shared" si="2"/>
        <v>103467</v>
      </c>
      <c r="H21" s="146">
        <f>ROUND(G21*NPV!C19,0)</f>
        <v>32755</v>
      </c>
    </row>
    <row r="22" spans="4:8" x14ac:dyDescent="0.2">
      <c r="D22" s="26">
        <f t="shared" si="1"/>
        <v>2035</v>
      </c>
      <c r="E22" s="185">
        <f>'EC - Travel Time'!W52</f>
        <v>64852</v>
      </c>
      <c r="F22" s="185">
        <f t="shared" si="0"/>
        <v>47530.0308</v>
      </c>
      <c r="G22" s="146">
        <f t="shared" si="2"/>
        <v>118825</v>
      </c>
      <c r="H22" s="146">
        <f>ROUND(G22*NPV!C20,0)</f>
        <v>35156</v>
      </c>
    </row>
    <row r="23" spans="4:8" x14ac:dyDescent="0.2">
      <c r="D23" s="26">
        <f t="shared" si="1"/>
        <v>2036</v>
      </c>
      <c r="E23" s="185">
        <f>'EC - Travel Time'!W53</f>
        <v>74478</v>
      </c>
      <c r="F23" s="185">
        <f t="shared" si="0"/>
        <v>54584.926200000002</v>
      </c>
      <c r="G23" s="146">
        <f t="shared" si="2"/>
        <v>136462</v>
      </c>
      <c r="H23" s="146">
        <f>ROUND(G23*NPV!C21,0)</f>
        <v>37733</v>
      </c>
    </row>
    <row r="24" spans="4:8" x14ac:dyDescent="0.2">
      <c r="D24" s="26">
        <f t="shared" si="1"/>
        <v>2037</v>
      </c>
      <c r="E24" s="185">
        <f>'EC - Travel Time'!W54</f>
        <v>85529</v>
      </c>
      <c r="F24" s="185">
        <f t="shared" si="0"/>
        <v>62684.204100000003</v>
      </c>
      <c r="G24" s="146">
        <f t="shared" si="2"/>
        <v>156711</v>
      </c>
      <c r="H24" s="146">
        <f>ROUND(G24*NPV!C22,0)</f>
        <v>40497</v>
      </c>
    </row>
    <row r="25" spans="4:8" x14ac:dyDescent="0.2">
      <c r="D25" s="26">
        <f t="shared" si="1"/>
        <v>2038</v>
      </c>
      <c r="E25" s="185">
        <f>'EC - Travel Time'!W55</f>
        <v>98214</v>
      </c>
      <c r="F25" s="185">
        <f t="shared" si="0"/>
        <v>71981.040599999993</v>
      </c>
      <c r="G25" s="146">
        <f t="shared" si="2"/>
        <v>179953</v>
      </c>
      <c r="H25" s="146">
        <f>ROUND(G25*NPV!C23,0)</f>
        <v>43461</v>
      </c>
    </row>
    <row r="26" spans="4:8" x14ac:dyDescent="0.2">
      <c r="D26" s="26">
        <f t="shared" si="1"/>
        <v>2039</v>
      </c>
      <c r="E26" s="185">
        <f>'EC - Travel Time'!W56</f>
        <v>112794</v>
      </c>
      <c r="F26" s="185">
        <f t="shared" si="0"/>
        <v>82666.722599999994</v>
      </c>
      <c r="G26" s="146">
        <f t="shared" si="2"/>
        <v>206667</v>
      </c>
      <c r="H26" s="146">
        <f>ROUND(G26*NPV!C24,0)</f>
        <v>46647</v>
      </c>
    </row>
    <row r="27" spans="4:8" x14ac:dyDescent="0.2">
      <c r="D27" s="26">
        <f t="shared" si="1"/>
        <v>2040</v>
      </c>
      <c r="E27" s="185">
        <f>'EC - Travel Time'!W57</f>
        <v>127256</v>
      </c>
      <c r="F27" s="185">
        <f t="shared" si="0"/>
        <v>93265.922399999996</v>
      </c>
      <c r="G27" s="146">
        <f t="shared" si="2"/>
        <v>233165</v>
      </c>
      <c r="H27" s="146">
        <f>ROUND(G27*NPV!C25,0)</f>
        <v>49185</v>
      </c>
    </row>
    <row r="28" spans="4:8" x14ac:dyDescent="0.2">
      <c r="D28" s="26">
        <f t="shared" si="1"/>
        <v>2041</v>
      </c>
      <c r="E28" s="185">
        <f>'EC - Travel Time'!W58</f>
        <v>148756</v>
      </c>
      <c r="F28" s="185">
        <f t="shared" si="0"/>
        <v>109023.2724</v>
      </c>
      <c r="G28" s="146">
        <f t="shared" si="2"/>
        <v>272558</v>
      </c>
      <c r="H28" s="146">
        <f>ROUND(G28*NPV!C26,0)</f>
        <v>53734</v>
      </c>
    </row>
    <row r="29" spans="4:8" x14ac:dyDescent="0.2">
      <c r="D29" s="26">
        <f t="shared" si="1"/>
        <v>2042</v>
      </c>
      <c r="E29" s="185">
        <f>'EC - Travel Time'!W59</f>
        <v>170841</v>
      </c>
      <c r="F29" s="185">
        <f t="shared" si="0"/>
        <v>125209.3689</v>
      </c>
      <c r="G29" s="146">
        <f t="shared" si="2"/>
        <v>313023</v>
      </c>
      <c r="H29" s="146">
        <f>ROUND(G29*NPV!C27,0)</f>
        <v>57674</v>
      </c>
    </row>
    <row r="30" spans="4:8" x14ac:dyDescent="0.2">
      <c r="D30" s="26">
        <f t="shared" si="1"/>
        <v>2043</v>
      </c>
      <c r="E30" s="185">
        <f>'EC - Travel Time'!W60</f>
        <v>196185</v>
      </c>
      <c r="F30" s="185">
        <f t="shared" si="0"/>
        <v>143783.9865</v>
      </c>
      <c r="G30" s="146">
        <f t="shared" si="2"/>
        <v>359460</v>
      </c>
      <c r="H30" s="146">
        <f>ROUND(G30*NPV!C28,0)</f>
        <v>61897</v>
      </c>
    </row>
    <row r="31" spans="4:8" x14ac:dyDescent="0.2">
      <c r="D31" s="27">
        <f t="shared" si="1"/>
        <v>2044</v>
      </c>
      <c r="E31" s="186">
        <f>'EC - Travel Time'!W61</f>
        <v>225312</v>
      </c>
      <c r="F31" s="186">
        <f t="shared" si="0"/>
        <v>165131.1648</v>
      </c>
      <c r="G31" s="147">
        <f t="shared" si="2"/>
        <v>412828</v>
      </c>
      <c r="H31" s="147">
        <f>ROUND(G31*NPV!C29,0)</f>
        <v>71087</v>
      </c>
    </row>
    <row r="32" spans="4:8" x14ac:dyDescent="0.2">
      <c r="D32" s="299" t="s">
        <v>0</v>
      </c>
      <c r="E32" s="300"/>
      <c r="F32" s="301"/>
      <c r="G32" s="106">
        <f>SUM(G11:G31)</f>
        <v>3015597</v>
      </c>
      <c r="H32" s="106">
        <f>SUM(H11:H31)</f>
        <v>756453</v>
      </c>
    </row>
  </sheetData>
  <mergeCells count="5">
    <mergeCell ref="A4:B4"/>
    <mergeCell ref="A5:B5"/>
    <mergeCell ref="A7:B7"/>
    <mergeCell ref="D32:F32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O56"/>
  <sheetViews>
    <sheetView topLeftCell="A25" workbookViewId="0">
      <selection activeCell="I22" sqref="I22"/>
    </sheetView>
  </sheetViews>
  <sheetFormatPr defaultRowHeight="12.75" x14ac:dyDescent="0.2"/>
  <cols>
    <col min="1" max="1" width="30.85546875" bestFit="1" customWidth="1"/>
    <col min="2" max="2" width="12.5703125" bestFit="1" customWidth="1"/>
    <col min="3" max="3" width="13.28515625" bestFit="1" customWidth="1"/>
    <col min="7" max="7" width="14.140625" customWidth="1"/>
    <col min="8" max="8" width="14" customWidth="1"/>
    <col min="9" max="9" width="15.7109375" customWidth="1"/>
    <col min="10" max="10" width="18.42578125" customWidth="1"/>
    <col min="11" max="11" width="16.28515625" customWidth="1"/>
    <col min="12" max="12" width="17.140625" customWidth="1"/>
    <col min="13" max="13" width="18.140625" hidden="1" customWidth="1"/>
    <col min="14" max="14" width="19.28515625" customWidth="1"/>
    <col min="15" max="15" width="19" customWidth="1"/>
  </cols>
  <sheetData>
    <row r="2" spans="1:8" x14ac:dyDescent="0.2">
      <c r="A2" s="335" t="s">
        <v>113</v>
      </c>
      <c r="B2" s="347"/>
    </row>
    <row r="3" spans="1:8" ht="25.5" x14ac:dyDescent="0.2">
      <c r="A3" s="22" t="s">
        <v>114</v>
      </c>
      <c r="B3" s="55" t="s">
        <v>115</v>
      </c>
      <c r="C3" s="14" t="s">
        <v>150</v>
      </c>
    </row>
    <row r="4" spans="1:8" x14ac:dyDescent="0.2">
      <c r="A4" s="16" t="s">
        <v>116</v>
      </c>
      <c r="B4" s="121">
        <v>48.05</v>
      </c>
      <c r="C4" s="2">
        <f>B4/907185</f>
        <v>5.2966043309798992E-5</v>
      </c>
      <c r="D4" s="126" t="s">
        <v>178</v>
      </c>
    </row>
    <row r="5" spans="1:8" x14ac:dyDescent="0.2">
      <c r="A5" s="19" t="s">
        <v>117</v>
      </c>
      <c r="B5" s="118">
        <v>1905</v>
      </c>
      <c r="C5" s="2">
        <f>B5/907185</f>
        <v>2.0999024454769425E-3</v>
      </c>
    </row>
    <row r="6" spans="1:8" x14ac:dyDescent="0.2">
      <c r="A6" s="19" t="s">
        <v>118</v>
      </c>
      <c r="B6" s="118">
        <v>7508</v>
      </c>
      <c r="C6" s="2">
        <f t="shared" ref="C6:C8" si="0">B6/907185</f>
        <v>8.2761509504676554E-3</v>
      </c>
    </row>
    <row r="7" spans="1:8" x14ac:dyDescent="0.2">
      <c r="A7" s="19" t="s">
        <v>119</v>
      </c>
      <c r="B7" s="118">
        <v>343442</v>
      </c>
      <c r="C7" s="2">
        <f t="shared" si="0"/>
        <v>0.3785798927451402</v>
      </c>
    </row>
    <row r="8" spans="1:8" x14ac:dyDescent="0.2">
      <c r="A8" s="17" t="s">
        <v>120</v>
      </c>
      <c r="B8" s="119">
        <v>44373</v>
      </c>
      <c r="C8" s="2">
        <f t="shared" si="0"/>
        <v>4.8912845781180242E-2</v>
      </c>
    </row>
    <row r="9" spans="1:8" x14ac:dyDescent="0.2">
      <c r="A9" s="329" t="s">
        <v>121</v>
      </c>
      <c r="B9" s="330"/>
      <c r="H9" s="126"/>
    </row>
    <row r="11" spans="1:8" x14ac:dyDescent="0.2">
      <c r="A11" s="3"/>
      <c r="B11" s="24" t="s">
        <v>41</v>
      </c>
      <c r="C11" s="24" t="s">
        <v>55</v>
      </c>
    </row>
    <row r="12" spans="1:8" x14ac:dyDescent="0.2">
      <c r="A12" s="15" t="s">
        <v>123</v>
      </c>
      <c r="B12" s="25"/>
      <c r="C12" s="25"/>
    </row>
    <row r="13" spans="1:8" x14ac:dyDescent="0.2">
      <c r="A13" s="15" t="s">
        <v>124</v>
      </c>
      <c r="B13" s="25"/>
      <c r="C13" s="25"/>
    </row>
    <row r="14" spans="1:8" x14ac:dyDescent="0.2">
      <c r="A14" s="15" t="s">
        <v>125</v>
      </c>
      <c r="B14" s="25"/>
      <c r="C14" s="25"/>
    </row>
    <row r="15" spans="1:8" x14ac:dyDescent="0.2">
      <c r="A15" s="15" t="s">
        <v>126</v>
      </c>
      <c r="B15" s="25"/>
      <c r="C15" s="25"/>
    </row>
    <row r="16" spans="1:8" x14ac:dyDescent="0.2">
      <c r="A16" s="15" t="s">
        <v>127</v>
      </c>
      <c r="B16" s="25">
        <f>0.075283-0.0015892*B15+0.000015066*B15^2</f>
        <v>7.5283000000000003E-2</v>
      </c>
      <c r="C16" s="25">
        <f>0.075283-0.0015892*C15+0.000015066*C15^2</f>
        <v>7.5283000000000003E-2</v>
      </c>
    </row>
    <row r="17" spans="1:10" x14ac:dyDescent="0.2">
      <c r="A17" s="15" t="s">
        <v>128</v>
      </c>
      <c r="B17" s="25">
        <v>0.7329</v>
      </c>
      <c r="C17" s="25">
        <v>0.7329</v>
      </c>
    </row>
    <row r="18" spans="1:10" x14ac:dyDescent="0.2">
      <c r="A18" s="15" t="s">
        <v>129</v>
      </c>
      <c r="B18" s="25">
        <f>0.0000061411*B15^2</f>
        <v>0</v>
      </c>
      <c r="C18" s="25">
        <f>0.0000061411*C15^2</f>
        <v>0</v>
      </c>
    </row>
    <row r="19" spans="1:10" x14ac:dyDescent="0.2">
      <c r="A19" s="15" t="s">
        <v>122</v>
      </c>
      <c r="B19" s="25">
        <f>B12*B16+B13*B17+B14*B18</f>
        <v>0</v>
      </c>
      <c r="C19" s="25">
        <f>C12*C16+C13*C17+C14*C18</f>
        <v>0</v>
      </c>
    </row>
    <row r="20" spans="1:10" x14ac:dyDescent="0.2">
      <c r="A20" s="299" t="s">
        <v>130</v>
      </c>
      <c r="B20" s="301"/>
      <c r="C20" s="117">
        <f>B19-C19</f>
        <v>0</v>
      </c>
    </row>
    <row r="21" spans="1:10" x14ac:dyDescent="0.2">
      <c r="A21" s="285" t="s">
        <v>131</v>
      </c>
      <c r="B21" s="285"/>
      <c r="C21" s="285"/>
    </row>
    <row r="22" spans="1:10" x14ac:dyDescent="0.2">
      <c r="A22" s="6"/>
    </row>
    <row r="23" spans="1:10" ht="63.75" x14ac:dyDescent="0.2">
      <c r="A23" s="3"/>
      <c r="B23" s="102" t="s">
        <v>132</v>
      </c>
      <c r="C23" s="21" t="s">
        <v>135</v>
      </c>
      <c r="D23" s="104" t="s">
        <v>133</v>
      </c>
      <c r="J23" s="6"/>
    </row>
    <row r="24" spans="1:10" x14ac:dyDescent="0.2">
      <c r="A24" s="15" t="s">
        <v>116</v>
      </c>
      <c r="B24" s="117">
        <v>8887</v>
      </c>
      <c r="C24" s="15" t="s">
        <v>136</v>
      </c>
      <c r="D24" s="25">
        <f>$C$20*B24</f>
        <v>0</v>
      </c>
    </row>
    <row r="25" spans="1:10" x14ac:dyDescent="0.2">
      <c r="A25" s="15" t="s">
        <v>117</v>
      </c>
      <c r="B25" s="117">
        <v>16.2</v>
      </c>
      <c r="C25" s="15" t="s">
        <v>137</v>
      </c>
      <c r="D25" s="25">
        <f>$C$20*B25</f>
        <v>0</v>
      </c>
    </row>
    <row r="26" spans="1:10" x14ac:dyDescent="0.2">
      <c r="A26" s="15" t="s">
        <v>118</v>
      </c>
      <c r="B26" s="117">
        <v>13.6</v>
      </c>
      <c r="C26" s="15" t="s">
        <v>137</v>
      </c>
      <c r="D26" s="25">
        <f>$C$20*B26</f>
        <v>0</v>
      </c>
    </row>
    <row r="27" spans="1:10" x14ac:dyDescent="0.2">
      <c r="A27" s="15" t="s">
        <v>119</v>
      </c>
      <c r="B27" s="117">
        <f>B31/1000*B32</f>
        <v>0.27279999999999999</v>
      </c>
      <c r="C27" s="3"/>
      <c r="D27" s="25">
        <f>$C$20*B27</f>
        <v>0</v>
      </c>
    </row>
    <row r="28" spans="1:10" x14ac:dyDescent="0.2">
      <c r="A28" s="15" t="s">
        <v>120</v>
      </c>
      <c r="B28" s="117"/>
      <c r="C28" s="3"/>
      <c r="D28" s="25">
        <f>$C$20*B28</f>
        <v>0</v>
      </c>
    </row>
    <row r="30" spans="1:10" x14ac:dyDescent="0.2">
      <c r="A30" s="297" t="s">
        <v>151</v>
      </c>
      <c r="B30" s="297"/>
      <c r="C30" s="297"/>
    </row>
    <row r="31" spans="1:10" ht="25.5" x14ac:dyDescent="0.2">
      <c r="A31" s="49" t="s">
        <v>138</v>
      </c>
      <c r="B31" s="120">
        <v>11</v>
      </c>
      <c r="C31" s="49" t="s">
        <v>141</v>
      </c>
    </row>
    <row r="32" spans="1:10" x14ac:dyDescent="0.2">
      <c r="A32" s="15" t="s">
        <v>139</v>
      </c>
      <c r="B32" s="117">
        <v>24.8</v>
      </c>
      <c r="C32" s="15" t="s">
        <v>140</v>
      </c>
    </row>
    <row r="34" spans="6:15" ht="51.75" thickBot="1" x14ac:dyDescent="0.25">
      <c r="F34" s="71" t="s">
        <v>1</v>
      </c>
      <c r="G34" s="79" t="s">
        <v>148</v>
      </c>
      <c r="H34" s="79" t="s">
        <v>147</v>
      </c>
      <c r="I34" s="79" t="s">
        <v>142</v>
      </c>
      <c r="J34" s="99" t="s">
        <v>146</v>
      </c>
      <c r="K34" s="99" t="s">
        <v>143</v>
      </c>
      <c r="L34" s="99" t="s">
        <v>144</v>
      </c>
      <c r="M34" s="99" t="s">
        <v>145</v>
      </c>
      <c r="N34" s="99" t="s">
        <v>149</v>
      </c>
      <c r="O34" s="99" t="s">
        <v>172</v>
      </c>
    </row>
    <row r="35" spans="6:15" ht="13.5" thickTop="1" x14ac:dyDescent="0.2">
      <c r="F35" s="65">
        <v>2024</v>
      </c>
      <c r="G35" s="184">
        <f>'EC - Travel Time'!W41</f>
        <v>14155</v>
      </c>
      <c r="H35" s="184">
        <f t="shared" ref="H35:H55" si="1">$B$17*G35</f>
        <v>10374.199500000001</v>
      </c>
      <c r="I35" s="184">
        <f t="shared" ref="I35:I55" si="2">H35*$B$24</f>
        <v>92195510.956500009</v>
      </c>
      <c r="J35" s="184">
        <f t="shared" ref="J35:J55" si="3">H35*$B$25</f>
        <v>168062.0319</v>
      </c>
      <c r="K35" s="184">
        <f t="shared" ref="K35:K55" si="4">H35*$B$26</f>
        <v>141089.11319999999</v>
      </c>
      <c r="L35" s="184">
        <f t="shared" ref="L35:L55" si="5">H35*$B$27</f>
        <v>2830.0816236000001</v>
      </c>
      <c r="M35" s="107">
        <f t="shared" ref="M35:M55" si="6">H35*$B$28</f>
        <v>0</v>
      </c>
      <c r="N35" s="108">
        <f>I35*$C$4+J35*$C$5+K35*$C$6+L35*$C$7+M35*$C$8</f>
        <v>7475.2320939029596</v>
      </c>
      <c r="O35" s="108">
        <f>N35*NPV!C9</f>
        <v>4655.1988570054791</v>
      </c>
    </row>
    <row r="36" spans="6:15" x14ac:dyDescent="0.2">
      <c r="F36" s="26">
        <f>F35+1</f>
        <v>2025</v>
      </c>
      <c r="G36" s="185">
        <f>'EC - Travel Time'!W42</f>
        <v>16255</v>
      </c>
      <c r="H36" s="185">
        <f t="shared" si="1"/>
        <v>11913.289500000001</v>
      </c>
      <c r="I36" s="185">
        <f t="shared" si="2"/>
        <v>105873403.78650001</v>
      </c>
      <c r="J36" s="185">
        <f t="shared" si="3"/>
        <v>192995.2899</v>
      </c>
      <c r="K36" s="185">
        <f t="shared" si="4"/>
        <v>162020.7372</v>
      </c>
      <c r="L36" s="185">
        <f t="shared" si="5"/>
        <v>3249.9453756000003</v>
      </c>
      <c r="M36" s="26">
        <f t="shared" si="6"/>
        <v>0</v>
      </c>
      <c r="N36" s="109">
        <f t="shared" ref="N36:N55" si="7">I36*$C$4+J36*$C$5+K36*$C$6+L36*$C$7+M36*$C$8</f>
        <v>8584.2386214336002</v>
      </c>
      <c r="O36" s="109">
        <f>N36*NPV!C10</f>
        <v>4996.1050334331894</v>
      </c>
    </row>
    <row r="37" spans="6:15" x14ac:dyDescent="0.2">
      <c r="F37" s="26">
        <f t="shared" ref="F37:F55" si="8">F36+1</f>
        <v>2026</v>
      </c>
      <c r="G37" s="185">
        <f>'EC - Travel Time'!W43</f>
        <v>18667</v>
      </c>
      <c r="H37" s="185">
        <f t="shared" si="1"/>
        <v>13681.0443</v>
      </c>
      <c r="I37" s="185">
        <f t="shared" si="2"/>
        <v>121583440.69409999</v>
      </c>
      <c r="J37" s="185">
        <f t="shared" si="3"/>
        <v>221632.91765999998</v>
      </c>
      <c r="K37" s="185">
        <f t="shared" si="4"/>
        <v>186062.20247999998</v>
      </c>
      <c r="L37" s="185">
        <f t="shared" si="5"/>
        <v>3732.1888850399996</v>
      </c>
      <c r="M37" s="26">
        <f t="shared" si="6"/>
        <v>0</v>
      </c>
      <c r="N37" s="109">
        <f t="shared" si="7"/>
        <v>9858.0118330545065</v>
      </c>
      <c r="O37" s="109">
        <f>N37*NPV!C11</f>
        <v>5362.1052707921554</v>
      </c>
    </row>
    <row r="38" spans="6:15" x14ac:dyDescent="0.2">
      <c r="F38" s="26">
        <f t="shared" si="8"/>
        <v>2027</v>
      </c>
      <c r="G38" s="185">
        <f>'EC - Travel Time'!W44</f>
        <v>21439</v>
      </c>
      <c r="H38" s="185">
        <f t="shared" si="1"/>
        <v>15712.643099999999</v>
      </c>
      <c r="I38" s="185">
        <f t="shared" si="2"/>
        <v>139638259.2297</v>
      </c>
      <c r="J38" s="185">
        <f t="shared" si="3"/>
        <v>254544.81821999999</v>
      </c>
      <c r="K38" s="185">
        <f t="shared" si="4"/>
        <v>213691.94615999999</v>
      </c>
      <c r="L38" s="185">
        <f t="shared" si="5"/>
        <v>4286.4090376799995</v>
      </c>
      <c r="M38" s="26">
        <f t="shared" si="6"/>
        <v>0</v>
      </c>
      <c r="N38" s="109">
        <f t="shared" si="7"/>
        <v>11321.900449394952</v>
      </c>
      <c r="O38" s="109">
        <f>N38*NPV!C12</f>
        <v>5755.4800790696672</v>
      </c>
    </row>
    <row r="39" spans="6:15" x14ac:dyDescent="0.2">
      <c r="F39" s="26">
        <f t="shared" si="8"/>
        <v>2028</v>
      </c>
      <c r="G39" s="185">
        <f>'EC - Travel Time'!W45</f>
        <v>24618</v>
      </c>
      <c r="H39" s="185">
        <f t="shared" si="1"/>
        <v>18042.532200000001</v>
      </c>
      <c r="I39" s="185">
        <f t="shared" si="2"/>
        <v>160343983.66140002</v>
      </c>
      <c r="J39" s="185">
        <f t="shared" si="3"/>
        <v>292289.02163999999</v>
      </c>
      <c r="K39" s="185">
        <f t="shared" si="4"/>
        <v>245378.43792000003</v>
      </c>
      <c r="L39" s="185">
        <f t="shared" si="5"/>
        <v>4922.0027841600004</v>
      </c>
      <c r="M39" s="26">
        <f t="shared" si="6"/>
        <v>0</v>
      </c>
      <c r="N39" s="109">
        <f t="shared" si="7"/>
        <v>13000.725092737766</v>
      </c>
      <c r="O39" s="109">
        <f>N39*NPV!C13</f>
        <v>6176.5508393750524</v>
      </c>
    </row>
    <row r="40" spans="6:15" x14ac:dyDescent="0.2">
      <c r="F40" s="26">
        <f t="shared" si="8"/>
        <v>2029</v>
      </c>
      <c r="G40" s="185">
        <f>'EC - Travel Time'!W46</f>
        <v>28271</v>
      </c>
      <c r="H40" s="185">
        <f t="shared" si="1"/>
        <v>20719.815900000001</v>
      </c>
      <c r="I40" s="185">
        <f t="shared" si="2"/>
        <v>184137003.90330002</v>
      </c>
      <c r="J40" s="185">
        <f t="shared" si="3"/>
        <v>335661.01757999999</v>
      </c>
      <c r="K40" s="185">
        <f t="shared" si="4"/>
        <v>281789.49624000001</v>
      </c>
      <c r="L40" s="185">
        <f t="shared" si="5"/>
        <v>5652.3657775199999</v>
      </c>
      <c r="M40" s="26">
        <f t="shared" si="6"/>
        <v>0</v>
      </c>
      <c r="N40" s="109">
        <f t="shared" si="7"/>
        <v>14929.868352294638</v>
      </c>
      <c r="O40" s="109">
        <f>N40*NPV!C14</f>
        <v>6629.0400983085901</v>
      </c>
    </row>
    <row r="41" spans="6:15" x14ac:dyDescent="0.2">
      <c r="F41" s="26">
        <f t="shared" si="8"/>
        <v>2030</v>
      </c>
      <c r="G41" s="185">
        <f>'EC - Travel Time'!W47</f>
        <v>32467</v>
      </c>
      <c r="H41" s="185">
        <f t="shared" si="1"/>
        <v>23795.064299999998</v>
      </c>
      <c r="I41" s="185">
        <f t="shared" si="2"/>
        <v>211466736.43409997</v>
      </c>
      <c r="J41" s="185">
        <f t="shared" si="3"/>
        <v>385480.04165999993</v>
      </c>
      <c r="K41" s="185">
        <f t="shared" si="4"/>
        <v>323612.87447999994</v>
      </c>
      <c r="L41" s="185">
        <f t="shared" si="5"/>
        <v>6491.2935410399996</v>
      </c>
      <c r="M41" s="26">
        <f t="shared" si="6"/>
        <v>0</v>
      </c>
      <c r="N41" s="109">
        <f t="shared" si="7"/>
        <v>17145.769013970141</v>
      </c>
      <c r="O41" s="109">
        <f>N41*NPV!C15</f>
        <v>7114.8845725065148</v>
      </c>
    </row>
    <row r="42" spans="6:15" x14ac:dyDescent="0.2">
      <c r="F42" s="26">
        <f t="shared" si="8"/>
        <v>2031</v>
      </c>
      <c r="G42" s="185">
        <f>'EC - Travel Time'!W48</f>
        <v>37286</v>
      </c>
      <c r="H42" s="185">
        <f t="shared" si="1"/>
        <v>27326.9094</v>
      </c>
      <c r="I42" s="185">
        <f t="shared" si="2"/>
        <v>242854243.8378</v>
      </c>
      <c r="J42" s="185">
        <f t="shared" si="3"/>
        <v>442695.93228000001</v>
      </c>
      <c r="K42" s="185">
        <f t="shared" si="4"/>
        <v>371645.96784</v>
      </c>
      <c r="L42" s="185">
        <f t="shared" si="5"/>
        <v>7454.78088432</v>
      </c>
      <c r="M42" s="26">
        <f t="shared" si="6"/>
        <v>0</v>
      </c>
      <c r="N42" s="109">
        <f t="shared" si="7"/>
        <v>19690.674945479743</v>
      </c>
      <c r="O42" s="109">
        <f>N42*NPV!C16</f>
        <v>7636.383231124918</v>
      </c>
    </row>
    <row r="43" spans="6:15" x14ac:dyDescent="0.2">
      <c r="F43" s="26">
        <f t="shared" si="8"/>
        <v>2032</v>
      </c>
      <c r="G43" s="185">
        <f>'EC - Travel Time'!W49</f>
        <v>42822</v>
      </c>
      <c r="H43" s="185">
        <f t="shared" si="1"/>
        <v>31384.2438</v>
      </c>
      <c r="I43" s="185">
        <f t="shared" si="2"/>
        <v>278911774.65060002</v>
      </c>
      <c r="J43" s="185">
        <f t="shared" si="3"/>
        <v>508424.74955999997</v>
      </c>
      <c r="K43" s="185">
        <f t="shared" si="4"/>
        <v>426825.71567999996</v>
      </c>
      <c r="L43" s="185">
        <f t="shared" si="5"/>
        <v>8561.6217086399993</v>
      </c>
      <c r="M43" s="26">
        <f t="shared" si="6"/>
        <v>0</v>
      </c>
      <c r="N43" s="109">
        <f t="shared" si="7"/>
        <v>22614.227391389086</v>
      </c>
      <c r="O43" s="109">
        <f>N43*NPV!C17</f>
        <v>8196.436705296197</v>
      </c>
    </row>
    <row r="44" spans="6:15" x14ac:dyDescent="0.2">
      <c r="F44" s="26">
        <f t="shared" si="8"/>
        <v>2033</v>
      </c>
      <c r="G44" s="185">
        <f>'EC - Travel Time'!W50</f>
        <v>49176</v>
      </c>
      <c r="H44" s="185">
        <f t="shared" si="1"/>
        <v>36041.090400000001</v>
      </c>
      <c r="I44" s="185">
        <f t="shared" si="2"/>
        <v>320297170.38480002</v>
      </c>
      <c r="J44" s="185">
        <f t="shared" si="3"/>
        <v>583865.66448000004</v>
      </c>
      <c r="K44" s="185">
        <f t="shared" si="4"/>
        <v>490158.82944</v>
      </c>
      <c r="L44" s="185">
        <f t="shared" si="5"/>
        <v>9832.0094611200002</v>
      </c>
      <c r="M44" s="26">
        <f t="shared" si="6"/>
        <v>0</v>
      </c>
      <c r="N44" s="109">
        <f t="shared" si="7"/>
        <v>25969.764284688943</v>
      </c>
      <c r="O44" s="109">
        <f>N44*NPV!C18</f>
        <v>8796.8576598465606</v>
      </c>
    </row>
    <row r="45" spans="6:15" x14ac:dyDescent="0.2">
      <c r="F45" s="26">
        <f t="shared" si="8"/>
        <v>2034</v>
      </c>
      <c r="G45" s="185">
        <f>'EC - Travel Time'!W51</f>
        <v>56470</v>
      </c>
      <c r="H45" s="185">
        <f t="shared" si="1"/>
        <v>41386.862999999998</v>
      </c>
      <c r="I45" s="185">
        <f t="shared" si="2"/>
        <v>367805051.48100001</v>
      </c>
      <c r="J45" s="185">
        <f t="shared" si="3"/>
        <v>670467.18059999996</v>
      </c>
      <c r="K45" s="185">
        <f t="shared" si="4"/>
        <v>562861.33679999993</v>
      </c>
      <c r="L45" s="185">
        <f t="shared" si="5"/>
        <v>11290.336226399999</v>
      </c>
      <c r="M45" s="26">
        <f t="shared" si="6"/>
        <v>0</v>
      </c>
      <c r="N45" s="109">
        <f t="shared" si="7"/>
        <v>29821.713623645359</v>
      </c>
      <c r="O45" s="109">
        <f>N45*NPV!C19</f>
        <v>9440.79081300078</v>
      </c>
    </row>
    <row r="46" spans="6:15" x14ac:dyDescent="0.2">
      <c r="F46" s="26">
        <f t="shared" si="8"/>
        <v>2035</v>
      </c>
      <c r="G46" s="185">
        <f>'EC - Travel Time'!W52</f>
        <v>64852</v>
      </c>
      <c r="H46" s="185">
        <f t="shared" si="1"/>
        <v>47530.0308</v>
      </c>
      <c r="I46" s="185">
        <f t="shared" si="2"/>
        <v>422399383.71960002</v>
      </c>
      <c r="J46" s="185">
        <f t="shared" si="3"/>
        <v>769986.49896</v>
      </c>
      <c r="K46" s="185">
        <f t="shared" si="4"/>
        <v>646408.41888000001</v>
      </c>
      <c r="L46" s="185">
        <f t="shared" si="5"/>
        <v>12966.19240224</v>
      </c>
      <c r="M46" s="26">
        <f t="shared" si="6"/>
        <v>0</v>
      </c>
      <c r="N46" s="109">
        <f t="shared" si="7"/>
        <v>34248.233963531951</v>
      </c>
      <c r="O46" s="109">
        <f>N46*NPV!C20</f>
        <v>10132.816627548937</v>
      </c>
    </row>
    <row r="47" spans="6:15" x14ac:dyDescent="0.2">
      <c r="F47" s="26">
        <f t="shared" si="8"/>
        <v>2036</v>
      </c>
      <c r="G47" s="185">
        <f>'EC - Travel Time'!W53</f>
        <v>74478</v>
      </c>
      <c r="H47" s="185">
        <f t="shared" si="1"/>
        <v>54584.926200000002</v>
      </c>
      <c r="I47" s="185">
        <f t="shared" si="2"/>
        <v>485096239.13940001</v>
      </c>
      <c r="J47" s="185">
        <f t="shared" si="3"/>
        <v>884275.80443999998</v>
      </c>
      <c r="K47" s="185">
        <f t="shared" si="4"/>
        <v>742354.99632000003</v>
      </c>
      <c r="L47" s="185">
        <f t="shared" si="5"/>
        <v>14890.76786736</v>
      </c>
      <c r="M47" s="26">
        <f t="shared" si="6"/>
        <v>0</v>
      </c>
      <c r="N47" s="109">
        <f t="shared" si="7"/>
        <v>39331.708646393825</v>
      </c>
      <c r="O47" s="109">
        <f>N47*NPV!C21</f>
        <v>10875.54519228238</v>
      </c>
    </row>
    <row r="48" spans="6:15" x14ac:dyDescent="0.2">
      <c r="F48" s="26">
        <f t="shared" si="8"/>
        <v>2037</v>
      </c>
      <c r="G48" s="185">
        <f>'EC - Travel Time'!W54</f>
        <v>85529</v>
      </c>
      <c r="H48" s="185">
        <f t="shared" si="1"/>
        <v>62684.204100000003</v>
      </c>
      <c r="I48" s="185">
        <f t="shared" si="2"/>
        <v>557074521.83670008</v>
      </c>
      <c r="J48" s="185">
        <f t="shared" si="3"/>
        <v>1015484.10642</v>
      </c>
      <c r="K48" s="185">
        <f t="shared" si="4"/>
        <v>852505.17576000001</v>
      </c>
      <c r="L48" s="185">
        <f t="shared" si="5"/>
        <v>17100.250878480001</v>
      </c>
      <c r="M48" s="26">
        <f t="shared" si="6"/>
        <v>0</v>
      </c>
      <c r="N48" s="109">
        <f t="shared" si="7"/>
        <v>45167.723472937214</v>
      </c>
      <c r="O48" s="109">
        <f>N48*NPV!C22</f>
        <v>11672.198059249005</v>
      </c>
    </row>
    <row r="49" spans="6:15" x14ac:dyDescent="0.2">
      <c r="F49" s="26">
        <f t="shared" si="8"/>
        <v>2038</v>
      </c>
      <c r="G49" s="185">
        <f>'EC - Travel Time'!W55</f>
        <v>98214</v>
      </c>
      <c r="H49" s="185">
        <f t="shared" si="1"/>
        <v>71981.040599999993</v>
      </c>
      <c r="I49" s="185">
        <f t="shared" si="2"/>
        <v>639695507.81219995</v>
      </c>
      <c r="J49" s="185">
        <f t="shared" si="3"/>
        <v>1166092.8577199997</v>
      </c>
      <c r="K49" s="185">
        <f t="shared" si="4"/>
        <v>978942.15215999982</v>
      </c>
      <c r="L49" s="185">
        <f t="shared" si="5"/>
        <v>19636.427875679998</v>
      </c>
      <c r="M49" s="26">
        <f t="shared" si="6"/>
        <v>0</v>
      </c>
      <c r="N49" s="109">
        <f t="shared" si="7"/>
        <v>51866.650997568708</v>
      </c>
      <c r="O49" s="109">
        <f>N49*NPV!C23</f>
        <v>12526.474981389396</v>
      </c>
    </row>
    <row r="50" spans="6:15" x14ac:dyDescent="0.2">
      <c r="F50" s="26">
        <f t="shared" si="8"/>
        <v>2039</v>
      </c>
      <c r="G50" s="185">
        <f>'EC - Travel Time'!W56</f>
        <v>112794</v>
      </c>
      <c r="H50" s="185">
        <f t="shared" si="1"/>
        <v>82666.722599999994</v>
      </c>
      <c r="I50" s="185">
        <f t="shared" si="2"/>
        <v>734659163.74619997</v>
      </c>
      <c r="J50" s="185">
        <f t="shared" si="3"/>
        <v>1339200.9061199999</v>
      </c>
      <c r="K50" s="185">
        <f t="shared" si="4"/>
        <v>1124267.4273599999</v>
      </c>
      <c r="L50" s="185">
        <f t="shared" si="5"/>
        <v>22551.481925279997</v>
      </c>
      <c r="M50" s="26">
        <f t="shared" si="6"/>
        <v>0</v>
      </c>
      <c r="N50" s="109">
        <f t="shared" si="7"/>
        <v>59566.324888710013</v>
      </c>
      <c r="O50" s="109">
        <f>N50*NPV!C24</f>
        <v>13444.903728733838</v>
      </c>
    </row>
    <row r="51" spans="6:15" x14ac:dyDescent="0.2">
      <c r="F51" s="26">
        <f t="shared" si="8"/>
        <v>2040</v>
      </c>
      <c r="G51" s="185">
        <f>'EC - Travel Time'!W57</f>
        <v>127256</v>
      </c>
      <c r="H51" s="185">
        <f t="shared" si="1"/>
        <v>93265.922399999996</v>
      </c>
      <c r="I51" s="185">
        <f t="shared" si="2"/>
        <v>828854252.36879992</v>
      </c>
      <c r="J51" s="185">
        <f t="shared" si="3"/>
        <v>1510907.9428799998</v>
      </c>
      <c r="K51" s="185">
        <f t="shared" si="4"/>
        <v>1268416.54464</v>
      </c>
      <c r="L51" s="185">
        <f t="shared" si="5"/>
        <v>25442.943630719998</v>
      </c>
      <c r="M51" s="26">
        <f t="shared" si="6"/>
        <v>0</v>
      </c>
      <c r="N51" s="109">
        <f t="shared" si="7"/>
        <v>67203.683174971025</v>
      </c>
      <c r="O51" s="109">
        <f>N51*NPV!C25</f>
        <v>14176.407515079207</v>
      </c>
    </row>
    <row r="52" spans="6:15" x14ac:dyDescent="0.2">
      <c r="F52" s="26">
        <f t="shared" si="8"/>
        <v>2041</v>
      </c>
      <c r="G52" s="185">
        <f>'EC - Travel Time'!W58</f>
        <v>148756</v>
      </c>
      <c r="H52" s="185">
        <f t="shared" si="1"/>
        <v>109023.2724</v>
      </c>
      <c r="I52" s="185">
        <f t="shared" si="2"/>
        <v>968889821.81879997</v>
      </c>
      <c r="J52" s="185">
        <f t="shared" si="3"/>
        <v>1766177.0128800001</v>
      </c>
      <c r="K52" s="185">
        <f t="shared" si="4"/>
        <v>1482716.5046399999</v>
      </c>
      <c r="L52" s="185">
        <f t="shared" si="5"/>
        <v>29741.548710719999</v>
      </c>
      <c r="M52" s="26">
        <f t="shared" si="6"/>
        <v>0</v>
      </c>
      <c r="N52" s="109">
        <f t="shared" si="7"/>
        <v>78557.79762349902</v>
      </c>
      <c r="O52" s="109">
        <f>N52*NPV!C26</f>
        <v>15487.40427209442</v>
      </c>
    </row>
    <row r="53" spans="6:15" x14ac:dyDescent="0.2">
      <c r="F53" s="26">
        <f t="shared" si="8"/>
        <v>2042</v>
      </c>
      <c r="G53" s="185">
        <f>'EC - Travel Time'!W59</f>
        <v>170841</v>
      </c>
      <c r="H53" s="185">
        <f t="shared" si="1"/>
        <v>125209.3689</v>
      </c>
      <c r="I53" s="185">
        <f t="shared" si="2"/>
        <v>1112735661.4143</v>
      </c>
      <c r="J53" s="185">
        <f t="shared" si="3"/>
        <v>2028391.77618</v>
      </c>
      <c r="K53" s="185">
        <f t="shared" si="4"/>
        <v>1702847.41704</v>
      </c>
      <c r="L53" s="185">
        <f t="shared" si="5"/>
        <v>34157.115835919998</v>
      </c>
      <c r="M53" s="26">
        <f t="shared" si="6"/>
        <v>0</v>
      </c>
      <c r="N53" s="109">
        <f t="shared" si="7"/>
        <v>90220.849604696254</v>
      </c>
      <c r="O53" s="109">
        <f>N53*NPV!C27</f>
        <v>16623.117335022958</v>
      </c>
    </row>
    <row r="54" spans="6:15" x14ac:dyDescent="0.2">
      <c r="F54" s="26">
        <f t="shared" si="8"/>
        <v>2043</v>
      </c>
      <c r="G54" s="185">
        <f>'EC - Travel Time'!W60</f>
        <v>196185</v>
      </c>
      <c r="H54" s="185">
        <f t="shared" si="1"/>
        <v>143783.9865</v>
      </c>
      <c r="I54" s="185">
        <f t="shared" si="2"/>
        <v>1277808288.0255001</v>
      </c>
      <c r="J54" s="185">
        <f t="shared" si="3"/>
        <v>2329300.5812999997</v>
      </c>
      <c r="K54" s="185">
        <f t="shared" si="4"/>
        <v>1955462.2164</v>
      </c>
      <c r="L54" s="185">
        <f t="shared" si="5"/>
        <v>39224.271517199995</v>
      </c>
      <c r="M54" s="26">
        <f t="shared" si="6"/>
        <v>0</v>
      </c>
      <c r="N54" s="109">
        <f t="shared" si="7"/>
        <v>103604.97409695176</v>
      </c>
      <c r="O54" s="109">
        <f>N54*NPV!C28</f>
        <v>17840.309593061964</v>
      </c>
    </row>
    <row r="55" spans="6:15" x14ac:dyDescent="0.2">
      <c r="F55" s="27">
        <f t="shared" si="8"/>
        <v>2044</v>
      </c>
      <c r="G55" s="186">
        <f>'EC - Travel Time'!W61</f>
        <v>225312</v>
      </c>
      <c r="H55" s="186">
        <f t="shared" si="1"/>
        <v>165131.1648</v>
      </c>
      <c r="I55" s="186">
        <f t="shared" si="2"/>
        <v>1467520661.5776</v>
      </c>
      <c r="J55" s="186">
        <f t="shared" si="3"/>
        <v>2675124.8697599997</v>
      </c>
      <c r="K55" s="186">
        <f t="shared" si="4"/>
        <v>2245783.8412799998</v>
      </c>
      <c r="L55" s="186">
        <f t="shared" si="5"/>
        <v>45047.781757439996</v>
      </c>
      <c r="M55" s="27">
        <f t="shared" si="6"/>
        <v>0</v>
      </c>
      <c r="N55" s="110">
        <f t="shared" si="7"/>
        <v>118986.89463380174</v>
      </c>
      <c r="O55" s="110">
        <f>N55*NPV!C29</f>
        <v>20489.006983367621</v>
      </c>
    </row>
    <row r="56" spans="6:15" x14ac:dyDescent="0.2">
      <c r="F56" s="326" t="s">
        <v>0</v>
      </c>
      <c r="G56" s="326"/>
      <c r="H56" s="326"/>
      <c r="I56" s="326"/>
      <c r="J56" s="326"/>
      <c r="K56" s="326"/>
      <c r="L56" s="326"/>
      <c r="M56" s="326"/>
      <c r="N56" s="106">
        <f>SUM(N35:N55)</f>
        <v>869166.96680505318</v>
      </c>
      <c r="O56" s="106">
        <f>SUM(O35:O55)</f>
        <v>218028.01744758885</v>
      </c>
    </row>
  </sheetData>
  <mergeCells count="6">
    <mergeCell ref="F56:M56"/>
    <mergeCell ref="A9:B9"/>
    <mergeCell ref="A2:B2"/>
    <mergeCell ref="A20:B20"/>
    <mergeCell ref="A21:C21"/>
    <mergeCell ref="A30:C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Summary</vt:lpstr>
      <vt:lpstr>Summary Table</vt:lpstr>
      <vt:lpstr>NPV</vt:lpstr>
      <vt:lpstr>Costs</vt:lpstr>
      <vt:lpstr>Safety</vt:lpstr>
      <vt:lpstr>State of Good Repair</vt:lpstr>
      <vt:lpstr>EC - Travel Time</vt:lpstr>
      <vt:lpstr>QOL - Fuel Savings</vt:lpstr>
      <vt:lpstr>Environmental Protection</vt:lpstr>
      <vt:lpstr>Costs!Print_Area</vt:lpstr>
      <vt:lpstr>NPV!Print_Area</vt:lpstr>
      <vt:lpstr>Safety!Print_Area</vt:lpstr>
      <vt:lpstr>'State of Good Repair'!Print_Area</vt:lpstr>
      <vt:lpstr>'Summary Table'!Print_Area</vt:lpstr>
    </vt:vector>
  </TitlesOfParts>
  <Company>Kimley-Horn and Associates,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aaron.nathan</dc:creator>
  <cp:lastModifiedBy>Business Center</cp:lastModifiedBy>
  <cp:lastPrinted>2014-04-18T05:02:07Z</cp:lastPrinted>
  <dcterms:created xsi:type="dcterms:W3CDTF">2011-10-18T15:31:40Z</dcterms:created>
  <dcterms:modified xsi:type="dcterms:W3CDTF">2018-07-19T18:36:40Z</dcterms:modified>
</cp:coreProperties>
</file>