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ow00\jobs4\66428\TaskOrder8\Planning\WorkTasks\BuildGrant\BCA\"/>
    </mc:Choice>
  </mc:AlternateContent>
  <xr:revisionPtr revIDLastSave="0" documentId="8_{739103FC-8A0A-4BF7-BC7E-D9AA9639D2FC}" xr6:coauthVersionLast="44" xr6:coauthVersionMax="44" xr10:uidLastSave="{00000000-0000-0000-0000-000000000000}"/>
  <bookViews>
    <workbookView xWindow="-120" yWindow="-120" windowWidth="29040" windowHeight="15840" tabRatio="896" activeTab="1" xr2:uid="{00000000-000D-0000-FFFF-FFFF00000000}"/>
  </bookViews>
  <sheets>
    <sheet name="Summary" sheetId="12" r:id="rId1"/>
    <sheet name="Summary Table" sheetId="41" r:id="rId2"/>
    <sheet name="NPV" sheetId="5" r:id="rId3"/>
    <sheet name="Costs" sheetId="27" r:id="rId4"/>
    <sheet name="Operations &amp; Maintenance Costs" sheetId="49" r:id="rId5"/>
    <sheet name="Safety" sheetId="21" r:id="rId6"/>
    <sheet name="Econ" sheetId="39" r:id="rId7"/>
    <sheet name="Environmental Protection - Hour" sheetId="46" r:id="rId8"/>
    <sheet name="Ton-miles" sheetId="52" r:id="rId9"/>
  </sheets>
  <externalReferences>
    <externalReference r:id="rId10"/>
    <externalReference r:id="rId11"/>
    <externalReference r:id="rId12"/>
    <externalReference r:id="rId13"/>
  </externalReferences>
  <definedNames>
    <definedName name="Annual_Traffic_Growth_Rate">'[1]START Assumptions'!$B$39</definedName>
    <definedName name="Auto_Occ">'[1]START Assumptions'!#REF!</definedName>
    <definedName name="Auto_Op_Cost">'[1]START Assumptions'!$B$37</definedName>
    <definedName name="Ave_Fatal_Cost">'[1]START Assumptions'!#REF!</definedName>
    <definedName name="Ave_PD_Cost">'[1]START Assumptions'!#REF!</definedName>
    <definedName name="Ave_Type_A_Cost">'[1]START Assumptions'!#REF!</definedName>
    <definedName name="Ave_Type_B_Cost">'[1]START Assumptions'!#REF!</definedName>
    <definedName name="Ave_Type_C_Cost">'[1]START Assumptions'!#REF!</definedName>
    <definedName name="Ave_Type_Fatal_Cost">'[1]START Assumptions'!#REF!</definedName>
    <definedName name="Ave_Type_PD_Cost">'[1]START Assumptions'!#REF!</definedName>
    <definedName name="Avg_Crash_Cost">'[1]START Assumptions'!#REF!</definedName>
    <definedName name="Base_Year">'[1]START Assumptions'!$B$31</definedName>
    <definedName name="Base_Year_Traffic">'[1]START Assumptions'!#REF!</definedName>
    <definedName name="Benefit_Period">'[1]START Assumptions'!$B$33</definedName>
    <definedName name="CIP" localSheetId="6">#REF!</definedName>
    <definedName name="CIP" localSheetId="7">#REF!</definedName>
    <definedName name="CIP" localSheetId="1">#REF!</definedName>
    <definedName name="CIP">#REF!</definedName>
    <definedName name="Const_Comp_Year">'[1]START Assumptions'!$B$32</definedName>
    <definedName name="Crash_Rate_AC">'[1]START Assumptions'!#REF!</definedName>
    <definedName name="Crash_Rate_BC">'[1]START Assumptions'!#REF!</definedName>
    <definedName name="dblStack" localSheetId="7">'[2]Tunnel Capacity'!$C$6</definedName>
    <definedName name="dblStack">'[3]Tunnel Capacity'!$C$6</definedName>
    <definedName name="Discount_Rate">'[1]START Assumptions'!$B$35</definedName>
    <definedName name="domstackRate" localSheetId="7">'[2]Tunnel Capacity'!$C$4</definedName>
    <definedName name="domstackRate">'[3]Tunnel Capacity'!$C$4</definedName>
    <definedName name="Fatal_Crash_Cost">'[1]START Assumptions'!#REF!</definedName>
    <definedName name="Fatal_Crash_Rate_AC">'[1]START Assumptions'!#REF!</definedName>
    <definedName name="Fatal_Crash_Rate_BC">'[1]START Assumptions'!#REF!</definedName>
    <definedName name="HCV_Cost_Op">'[1]START Assumptions'!#REF!</definedName>
    <definedName name="HCV_Density_AC">'[1]START Assumptions'!#REF!</definedName>
    <definedName name="HCV_Density_BC">'[1]START Assumptions'!#REF!</definedName>
    <definedName name="HCV_Occ">'[1]START Assumptions'!#REF!</definedName>
    <definedName name="HCV_Value_of_Time">'[1]START Assumptions'!#REF!</definedName>
    <definedName name="Injury_Crash_Cost">'[1]START Assumptions'!#REF!</definedName>
    <definedName name="Injury_Crash_Rate_AC">'[1]START Assumptions'!#REF!</definedName>
    <definedName name="Injury_Crash_Rate_BC">'[1]START Assumptions'!#REF!</definedName>
    <definedName name="intlstackRate" localSheetId="7">'[2]Tunnel Capacity'!$C$3</definedName>
    <definedName name="intlstackRate">'[3]Tunnel Capacity'!$C$3</definedName>
    <definedName name="Length_AC">'[1]START Assumptions'!#REF!</definedName>
    <definedName name="Length_BC">'[1]START Assumptions'!#REF!</definedName>
    <definedName name="List">'[4]NEW ROAD'!$A$2:$A$19</definedName>
    <definedName name="maxLength" localSheetId="7">'[2]Tunnel Capacity'!$C$2</definedName>
    <definedName name="maxLength">'[3]Tunnel Capacity'!$C$2</definedName>
    <definedName name="NEW">'[4]NEW ROAD'!$A$4:$A$5</definedName>
    <definedName name="NPV_Costs">'[1]START Costs'!$I$5</definedName>
    <definedName name="NPV_Distance">'[1]START Distance Benefit'!#REF!</definedName>
    <definedName name="NPV_maint">'[1]START Costs'!$L$5</definedName>
    <definedName name="NPV_Safety" localSheetId="7">#REF!</definedName>
    <definedName name="NPV_Safety">#REF!</definedName>
    <definedName name="NPV_Time" localSheetId="7">#REF!</definedName>
    <definedName name="NPV_Time">#REF!</definedName>
    <definedName name="PD_Crash_Cost" localSheetId="7">'[1]START Assumptions'!#REF!</definedName>
    <definedName name="PD_Crash_Cost">'[1]START Assumptions'!#REF!</definedName>
    <definedName name="PD_Crash_Rate_AC" localSheetId="7">'[1]START Assumptions'!#REF!</definedName>
    <definedName name="PD_Crash_Rate_AC">'[1]START Assumptions'!#REF!</definedName>
    <definedName name="PD_Crash_Rate_BC">'[1]START Assumptions'!#REF!</definedName>
    <definedName name="_xlnm.Print_Area" localSheetId="3">Costs!$A$2:$H$29</definedName>
    <definedName name="_xlnm.Print_Area" localSheetId="6">Econ!$A$32:$Q$35,Econ!#REF!</definedName>
    <definedName name="_xlnm.Print_Area" localSheetId="7">'Environmental Protection - Hour'!$A$30:$P$57</definedName>
    <definedName name="_xlnm.Print_Area" localSheetId="2">NPV!$A$1:$C$44</definedName>
    <definedName name="_xlnm.Print_Area" localSheetId="5">Safety!$A$1:$V$77,Safety!#REF!</definedName>
    <definedName name="_xlnm.Print_Area" localSheetId="0">Summary!$B$2:$H$3</definedName>
    <definedName name="_xlnm.Print_Area" localSheetId="1">'Summary Table'!$A$1:$G$36</definedName>
    <definedName name="printa" localSheetId="6">#REF!</definedName>
    <definedName name="printa" localSheetId="7">#REF!</definedName>
    <definedName name="printa" localSheetId="1">#REF!</definedName>
    <definedName name="printa">#REF!</definedName>
    <definedName name="Prop_Dam_Crash_Cost" localSheetId="7">'[1]START Assumptions'!#REF!</definedName>
    <definedName name="Prop_Dam_Crash_Cost">'[1]START Assumptions'!#REF!</definedName>
    <definedName name="singleStack" localSheetId="7">'[2]Tunnel Capacity'!$C$5</definedName>
    <definedName name="singleStack">'[3]Tunnel Capacity'!$C$5</definedName>
    <definedName name="Speed_AC">'[1]START Assumptions'!#REF!</definedName>
    <definedName name="Speed_BC">'[1]START Assumptions'!#REF!</definedName>
    <definedName name="Type_A_Crash_Rate_AC">'[1]START Assumptions'!#REF!</definedName>
    <definedName name="Type_A_Crash_Rate_BC">'[1]START Assumptions'!#REF!</definedName>
    <definedName name="Type_B_Crash_Rate_AC">'[1]START Assumptions'!#REF!</definedName>
    <definedName name="Type_B_Crash_Rate_BC">'[1]START Assumptions'!#REF!</definedName>
    <definedName name="Type_C_Crash_Rate_AC">'[1]START Assumptions'!#REF!</definedName>
    <definedName name="Type_C_Crash_Rate_BC">'[1]START Assumptions'!#REF!</definedName>
    <definedName name="Type_Fatal_Crash_Rate_AC">'[1]START Assumptions'!#REF!</definedName>
    <definedName name="Type_Fatal_Crash_Rate_BC">'[1]START Assumptions'!#REF!</definedName>
    <definedName name="Type_PD_Crash_Rate_AC">'[1]START Assumptions'!#REF!</definedName>
    <definedName name="Type_PD_Crash_Rate_BC">'[1]START Assumptions'!#REF!</definedName>
    <definedName name="Version2" localSheetId="6">#REF!</definedName>
    <definedName name="Version2" localSheetId="7">#REF!</definedName>
    <definedName name="Version2" localSheetId="1">#REF!</definedName>
    <definedName name="Version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21" l="1"/>
  <c r="L34" i="21"/>
  <c r="M5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35" i="21"/>
  <c r="L36" i="21"/>
  <c r="L37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35" i="21"/>
  <c r="K36" i="21"/>
  <c r="K37" i="21"/>
  <c r="L38" i="21"/>
  <c r="K38" i="21"/>
  <c r="B79" i="21"/>
  <c r="D113" i="21" l="1"/>
  <c r="C113" i="21"/>
  <c r="B113" i="21"/>
  <c r="B101" i="21"/>
  <c r="D100" i="21"/>
  <c r="C100" i="21"/>
  <c r="D99" i="21"/>
  <c r="C99" i="21"/>
  <c r="D98" i="21"/>
  <c r="C98" i="21"/>
  <c r="D97" i="21"/>
  <c r="C97" i="21"/>
  <c r="D96" i="21"/>
  <c r="C96" i="21"/>
  <c r="D89" i="21"/>
  <c r="C89" i="21"/>
  <c r="E89" i="21" s="1"/>
  <c r="B89" i="21"/>
  <c r="E113" i="21" l="1"/>
  <c r="F113" i="21"/>
  <c r="F89" i="21"/>
  <c r="C101" i="21"/>
  <c r="E101" i="21" s="1"/>
  <c r="D101" i="21"/>
  <c r="F101" i="21" s="1"/>
  <c r="B47" i="52"/>
  <c r="C5" i="52" s="1"/>
  <c r="E20" i="49" l="1"/>
  <c r="C20" i="49"/>
  <c r="B67" i="49"/>
  <c r="F58" i="49" l="1"/>
  <c r="F59" i="49"/>
  <c r="D13" i="41"/>
  <c r="E14" i="41" l="1"/>
  <c r="D14" i="41"/>
  <c r="C14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13" i="41"/>
  <c r="H16" i="41"/>
  <c r="H17" i="41"/>
  <c r="H18" i="41"/>
  <c r="H19" i="41"/>
  <c r="H20" i="41"/>
  <c r="H21" i="41"/>
  <c r="H22" i="41"/>
  <c r="H24" i="41"/>
  <c r="H25" i="41"/>
  <c r="H26" i="41"/>
  <c r="H27" i="41"/>
  <c r="H28" i="41"/>
  <c r="H29" i="41"/>
  <c r="H30" i="41"/>
  <c r="H31" i="41"/>
  <c r="H32" i="41"/>
  <c r="H33" i="41"/>
  <c r="H34" i="41"/>
  <c r="P13" i="41" l="1"/>
  <c r="H5" i="27"/>
  <c r="G6" i="27"/>
  <c r="G5" i="27"/>
  <c r="G26" i="27"/>
  <c r="C4" i="27"/>
  <c r="G11" i="49"/>
  <c r="G12" i="49"/>
  <c r="G13" i="49"/>
  <c r="G14" i="49"/>
  <c r="G15" i="49"/>
  <c r="G16" i="49"/>
  <c r="G17" i="49"/>
  <c r="G18" i="49"/>
  <c r="G19" i="49"/>
  <c r="G21" i="49"/>
  <c r="G22" i="49"/>
  <c r="G23" i="49"/>
  <c r="G24" i="49"/>
  <c r="G25" i="49"/>
  <c r="G26" i="49"/>
  <c r="G27" i="49"/>
  <c r="G28" i="49"/>
  <c r="G29" i="49"/>
  <c r="G30" i="49"/>
  <c r="G31" i="49"/>
  <c r="G10" i="49"/>
  <c r="E13" i="49"/>
  <c r="E14" i="49"/>
  <c r="E15" i="49"/>
  <c r="E16" i="49"/>
  <c r="E17" i="49"/>
  <c r="E18" i="49"/>
  <c r="E19" i="49"/>
  <c r="E21" i="49"/>
  <c r="E22" i="49"/>
  <c r="E23" i="49"/>
  <c r="E24" i="49"/>
  <c r="E25" i="49"/>
  <c r="E26" i="49"/>
  <c r="E27" i="49"/>
  <c r="E28" i="49"/>
  <c r="E29" i="49"/>
  <c r="E30" i="49"/>
  <c r="E31" i="49"/>
  <c r="E12" i="49"/>
  <c r="C10" i="49"/>
  <c r="F13" i="49" l="1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C11" i="49"/>
  <c r="C12" i="49"/>
  <c r="C13" i="49"/>
  <c r="C14" i="49"/>
  <c r="C15" i="49"/>
  <c r="C16" i="49"/>
  <c r="C17" i="49"/>
  <c r="C18" i="49"/>
  <c r="C19" i="49"/>
  <c r="C21" i="49"/>
  <c r="C22" i="49"/>
  <c r="C23" i="49"/>
  <c r="C24" i="49"/>
  <c r="C25" i="49"/>
  <c r="C26" i="49"/>
  <c r="C27" i="49"/>
  <c r="C28" i="49"/>
  <c r="C29" i="49"/>
  <c r="C30" i="49"/>
  <c r="C31" i="49"/>
  <c r="A12" i="39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H23" i="41" l="1"/>
  <c r="G20" i="49"/>
  <c r="G32" i="49" s="1"/>
  <c r="C4" i="49" s="1"/>
  <c r="H60" i="49"/>
  <c r="H59" i="49"/>
  <c r="H58" i="49"/>
  <c r="F60" i="49"/>
  <c r="D61" i="49"/>
  <c r="C42" i="49"/>
  <c r="B44" i="49"/>
  <c r="I36" i="39"/>
  <c r="J36" i="39"/>
  <c r="I37" i="39"/>
  <c r="J37" i="39"/>
  <c r="I38" i="39"/>
  <c r="J38" i="39"/>
  <c r="I35" i="39"/>
  <c r="J35" i="39"/>
  <c r="C36" i="39"/>
  <c r="D36" i="39"/>
  <c r="C37" i="39"/>
  <c r="D37" i="39"/>
  <c r="C38" i="39"/>
  <c r="D38" i="39"/>
  <c r="C39" i="39"/>
  <c r="D39" i="39"/>
  <c r="C40" i="39"/>
  <c r="D40" i="39"/>
  <c r="C35" i="39"/>
  <c r="D35" i="39"/>
  <c r="A40" i="39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36" i="39"/>
  <c r="A37" i="39" s="1"/>
  <c r="A38" i="39" s="1"/>
  <c r="A8" i="46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I33" i="46"/>
  <c r="J33" i="46"/>
  <c r="I34" i="46"/>
  <c r="J34" i="46"/>
  <c r="I35" i="46"/>
  <c r="J35" i="46"/>
  <c r="I32" i="46"/>
  <c r="J32" i="46"/>
  <c r="C32" i="46"/>
  <c r="D32" i="46"/>
  <c r="C33" i="46"/>
  <c r="D33" i="46"/>
  <c r="C34" i="46"/>
  <c r="D34" i="46"/>
  <c r="C35" i="46"/>
  <c r="D35" i="46"/>
  <c r="C36" i="46"/>
  <c r="D36" i="46"/>
  <c r="C37" i="46"/>
  <c r="D37" i="46"/>
  <c r="A37" i="46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33" i="46"/>
  <c r="A34" i="46" s="1"/>
  <c r="A35" i="46" s="1"/>
  <c r="F61" i="49" l="1"/>
  <c r="H61" i="49"/>
  <c r="H62" i="49" l="1"/>
  <c r="F62" i="49"/>
  <c r="E61" i="49" l="1"/>
  <c r="C6" i="52" l="1"/>
  <c r="C7" i="52"/>
  <c r="C8" i="52"/>
  <c r="C9" i="52"/>
  <c r="C11" i="52"/>
  <c r="C14" i="52"/>
  <c r="C10" i="52"/>
  <c r="C12" i="52"/>
  <c r="C13" i="52"/>
  <c r="C15" i="52"/>
  <c r="D36" i="52"/>
  <c r="D35" i="52"/>
  <c r="B46" i="52"/>
  <c r="B28" i="52"/>
  <c r="D16" i="52"/>
  <c r="B16" i="52"/>
  <c r="A20" i="52" l="1"/>
  <c r="C16" i="52"/>
  <c r="C43" i="49"/>
  <c r="B34" i="21" l="1"/>
  <c r="G61" i="49"/>
  <c r="F34" i="21" l="1"/>
  <c r="E34" i="21"/>
  <c r="J42" i="21"/>
  <c r="J48" i="21"/>
  <c r="J54" i="21"/>
  <c r="D44" i="21"/>
  <c r="D50" i="21"/>
  <c r="D51" i="39" s="1"/>
  <c r="D56" i="21"/>
  <c r="D57" i="39" s="1"/>
  <c r="B48" i="21"/>
  <c r="I43" i="21"/>
  <c r="I49" i="21"/>
  <c r="I55" i="21"/>
  <c r="C45" i="21"/>
  <c r="C51" i="21"/>
  <c r="C57" i="21"/>
  <c r="B49" i="21"/>
  <c r="J43" i="21"/>
  <c r="J49" i="21"/>
  <c r="J55" i="21"/>
  <c r="D45" i="21"/>
  <c r="D51" i="21"/>
  <c r="D52" i="39" s="1"/>
  <c r="D57" i="21"/>
  <c r="D58" i="39" s="1"/>
  <c r="B50" i="21"/>
  <c r="C40" i="21"/>
  <c r="B52" i="21"/>
  <c r="I45" i="21"/>
  <c r="I51" i="21"/>
  <c r="C41" i="21"/>
  <c r="C53" i="21"/>
  <c r="J39" i="21"/>
  <c r="J51" i="21"/>
  <c r="D47" i="21"/>
  <c r="D48" i="39" s="1"/>
  <c r="B42" i="21"/>
  <c r="B54" i="21"/>
  <c r="I46" i="21"/>
  <c r="I52" i="21"/>
  <c r="C48" i="21"/>
  <c r="B43" i="21"/>
  <c r="B55" i="21"/>
  <c r="J46" i="21"/>
  <c r="I38" i="21"/>
  <c r="D42" i="21"/>
  <c r="D54" i="21"/>
  <c r="D55" i="39" s="1"/>
  <c r="B56" i="21"/>
  <c r="I47" i="21"/>
  <c r="C43" i="21"/>
  <c r="C55" i="21"/>
  <c r="B57" i="21"/>
  <c r="J47" i="21"/>
  <c r="J53" i="21"/>
  <c r="D49" i="21"/>
  <c r="D50" i="39" s="1"/>
  <c r="B46" i="21"/>
  <c r="I42" i="21"/>
  <c r="I54" i="21"/>
  <c r="C50" i="21"/>
  <c r="B47" i="21"/>
  <c r="I44" i="21"/>
  <c r="I50" i="21"/>
  <c r="I56" i="21"/>
  <c r="C46" i="21"/>
  <c r="C52" i="21"/>
  <c r="D40" i="21"/>
  <c r="B51" i="21"/>
  <c r="J44" i="21"/>
  <c r="J50" i="21"/>
  <c r="J56" i="21"/>
  <c r="D46" i="21"/>
  <c r="D47" i="39" s="1"/>
  <c r="D52" i="21"/>
  <c r="D53" i="39" s="1"/>
  <c r="I39" i="21"/>
  <c r="I57" i="21"/>
  <c r="C47" i="21"/>
  <c r="B41" i="21"/>
  <c r="B53" i="21"/>
  <c r="J45" i="21"/>
  <c r="J57" i="21"/>
  <c r="D41" i="21"/>
  <c r="D53" i="21"/>
  <c r="D54" i="39" s="1"/>
  <c r="I40" i="21"/>
  <c r="J38" i="21"/>
  <c r="C42" i="21"/>
  <c r="C54" i="21"/>
  <c r="J40" i="21"/>
  <c r="J52" i="21"/>
  <c r="D48" i="21"/>
  <c r="D49" i="39" s="1"/>
  <c r="B44" i="21"/>
  <c r="I41" i="21"/>
  <c r="I53" i="21"/>
  <c r="C49" i="21"/>
  <c r="B45" i="21"/>
  <c r="J41" i="21"/>
  <c r="D43" i="21"/>
  <c r="D55" i="21"/>
  <c r="D56" i="39" s="1"/>
  <c r="B40" i="21"/>
  <c r="I48" i="21"/>
  <c r="C44" i="21"/>
  <c r="C56" i="21"/>
  <c r="C57" i="39" s="1"/>
  <c r="B32" i="46"/>
  <c r="B35" i="39"/>
  <c r="E35" i="39" s="1"/>
  <c r="F35" i="39" s="1"/>
  <c r="G35" i="39" s="1"/>
  <c r="H34" i="21"/>
  <c r="B35" i="21"/>
  <c r="B36" i="21"/>
  <c r="B37" i="21"/>
  <c r="B38" i="21"/>
  <c r="B39" i="21"/>
  <c r="F48" i="21" l="1"/>
  <c r="E48" i="21"/>
  <c r="G48" i="21" s="1"/>
  <c r="F47" i="21"/>
  <c r="E47" i="21"/>
  <c r="G47" i="21" s="1"/>
  <c r="F45" i="21"/>
  <c r="E45" i="21"/>
  <c r="G45" i="21" s="1"/>
  <c r="F42" i="21"/>
  <c r="E42" i="21"/>
  <c r="G42" i="21" s="1"/>
  <c r="B13" i="21" s="1"/>
  <c r="F37" i="21"/>
  <c r="E37" i="21"/>
  <c r="F35" i="21"/>
  <c r="E35" i="21"/>
  <c r="F46" i="21"/>
  <c r="E46" i="21"/>
  <c r="G46" i="21" s="1"/>
  <c r="F49" i="21"/>
  <c r="E49" i="21"/>
  <c r="G49" i="21" s="1"/>
  <c r="F41" i="21"/>
  <c r="E41" i="21"/>
  <c r="G41" i="21" s="1"/>
  <c r="E39" i="21"/>
  <c r="F39" i="21"/>
  <c r="F38" i="21"/>
  <c r="E38" i="21"/>
  <c r="G38" i="21" s="1"/>
  <c r="F55" i="21"/>
  <c r="E55" i="21"/>
  <c r="G55" i="21" s="1"/>
  <c r="F57" i="21"/>
  <c r="E57" i="21"/>
  <c r="G57" i="21" s="1"/>
  <c r="F54" i="21"/>
  <c r="E54" i="21"/>
  <c r="G54" i="21" s="1"/>
  <c r="F56" i="21"/>
  <c r="E56" i="21"/>
  <c r="G56" i="21" s="1"/>
  <c r="F43" i="21"/>
  <c r="E43" i="21"/>
  <c r="G43" i="21" s="1"/>
  <c r="F50" i="21"/>
  <c r="E50" i="21"/>
  <c r="G50" i="21" s="1"/>
  <c r="F40" i="21"/>
  <c r="E40" i="21"/>
  <c r="G40" i="21" s="1"/>
  <c r="F36" i="21"/>
  <c r="E36" i="21"/>
  <c r="F51" i="21"/>
  <c r="E51" i="21"/>
  <c r="G51" i="21" s="1"/>
  <c r="F44" i="21"/>
  <c r="E44" i="21"/>
  <c r="G44" i="21" s="1"/>
  <c r="E53" i="21"/>
  <c r="F53" i="21"/>
  <c r="F52" i="21"/>
  <c r="E52" i="21"/>
  <c r="G52" i="21" s="1"/>
  <c r="H42" i="21"/>
  <c r="H54" i="21"/>
  <c r="H43" i="21"/>
  <c r="H55" i="21"/>
  <c r="H44" i="21"/>
  <c r="H56" i="21"/>
  <c r="H47" i="21"/>
  <c r="H48" i="21"/>
  <c r="H49" i="21"/>
  <c r="H39" i="21"/>
  <c r="H51" i="21"/>
  <c r="H52" i="21"/>
  <c r="H53" i="21"/>
  <c r="H45" i="21"/>
  <c r="H57" i="21"/>
  <c r="H46" i="21"/>
  <c r="H38" i="21"/>
  <c r="H50" i="21"/>
  <c r="H40" i="21"/>
  <c r="H41" i="21"/>
  <c r="C58" i="39"/>
  <c r="C49" i="39"/>
  <c r="C48" i="39"/>
  <c r="C53" i="39"/>
  <c r="C56" i="39"/>
  <c r="C51" i="39"/>
  <c r="C47" i="39"/>
  <c r="C55" i="39"/>
  <c r="C52" i="39"/>
  <c r="C50" i="39"/>
  <c r="C54" i="39"/>
  <c r="B12" i="21"/>
  <c r="H35" i="39"/>
  <c r="K35" i="39" s="1"/>
  <c r="L35" i="39" s="1"/>
  <c r="M35" i="39" s="1"/>
  <c r="H32" i="46"/>
  <c r="E32" i="46"/>
  <c r="F32" i="46"/>
  <c r="J37" i="46"/>
  <c r="J40" i="39"/>
  <c r="B34" i="46"/>
  <c r="E34" i="46" s="1"/>
  <c r="B37" i="39"/>
  <c r="E37" i="39" s="1"/>
  <c r="F37" i="39" s="1"/>
  <c r="G37" i="39" s="1"/>
  <c r="J39" i="39"/>
  <c r="J36" i="46"/>
  <c r="B37" i="46"/>
  <c r="E37" i="46" s="1"/>
  <c r="B40" i="39"/>
  <c r="E40" i="39" s="1"/>
  <c r="I39" i="39"/>
  <c r="I36" i="46"/>
  <c r="B36" i="46"/>
  <c r="E36" i="46" s="1"/>
  <c r="B39" i="39"/>
  <c r="E39" i="39" s="1"/>
  <c r="F39" i="39" s="1"/>
  <c r="G39" i="39" s="1"/>
  <c r="B11" i="39" s="1"/>
  <c r="B35" i="46"/>
  <c r="E35" i="46" s="1"/>
  <c r="B38" i="39"/>
  <c r="E38" i="39" s="1"/>
  <c r="F38" i="39" s="1"/>
  <c r="G38" i="39" s="1"/>
  <c r="B33" i="46"/>
  <c r="E33" i="46" s="1"/>
  <c r="B36" i="39"/>
  <c r="E36" i="39" s="1"/>
  <c r="F36" i="39" s="1"/>
  <c r="G36" i="39" s="1"/>
  <c r="I40" i="39"/>
  <c r="I37" i="46"/>
  <c r="D51" i="46"/>
  <c r="J39" i="46"/>
  <c r="J42" i="39"/>
  <c r="D38" i="46"/>
  <c r="D41" i="39"/>
  <c r="I54" i="46"/>
  <c r="I57" i="39"/>
  <c r="I48" i="46"/>
  <c r="I51" i="39"/>
  <c r="I44" i="46"/>
  <c r="I47" i="39"/>
  <c r="C49" i="46"/>
  <c r="J55" i="46"/>
  <c r="J58" i="39"/>
  <c r="C48" i="46"/>
  <c r="D45" i="46"/>
  <c r="J50" i="46"/>
  <c r="J53" i="39"/>
  <c r="J52" i="46"/>
  <c r="J55" i="39"/>
  <c r="J51" i="46"/>
  <c r="J54" i="39"/>
  <c r="D40" i="46"/>
  <c r="D43" i="39"/>
  <c r="D47" i="46"/>
  <c r="I38" i="46"/>
  <c r="I41" i="39"/>
  <c r="I40" i="46"/>
  <c r="I43" i="39"/>
  <c r="J48" i="46"/>
  <c r="J51" i="39"/>
  <c r="C44" i="46"/>
  <c r="I51" i="46"/>
  <c r="I54" i="39"/>
  <c r="I42" i="46"/>
  <c r="I45" i="39"/>
  <c r="C47" i="46"/>
  <c r="J43" i="46"/>
  <c r="J46" i="39"/>
  <c r="C46" i="46"/>
  <c r="C55" i="46"/>
  <c r="I47" i="46"/>
  <c r="I50" i="39"/>
  <c r="D52" i="46"/>
  <c r="D49" i="46"/>
  <c r="C50" i="46"/>
  <c r="I41" i="46"/>
  <c r="I44" i="39"/>
  <c r="I49" i="46"/>
  <c r="I52" i="39"/>
  <c r="J47" i="46"/>
  <c r="J50" i="39"/>
  <c r="C52" i="46"/>
  <c r="J45" i="46"/>
  <c r="J48" i="39"/>
  <c r="D46" i="46"/>
  <c r="I45" i="46"/>
  <c r="I48" i="39"/>
  <c r="C51" i="46"/>
  <c r="D39" i="46"/>
  <c r="D42" i="39"/>
  <c r="I53" i="46"/>
  <c r="I56" i="39"/>
  <c r="C42" i="46"/>
  <c r="C45" i="39"/>
  <c r="J44" i="46"/>
  <c r="J47" i="39"/>
  <c r="D43" i="46"/>
  <c r="D46" i="39"/>
  <c r="C38" i="46"/>
  <c r="C41" i="39"/>
  <c r="I55" i="46"/>
  <c r="I58" i="39"/>
  <c r="J40" i="46"/>
  <c r="J43" i="39"/>
  <c r="I43" i="46"/>
  <c r="I46" i="39"/>
  <c r="J41" i="46"/>
  <c r="J44" i="39"/>
  <c r="I52" i="46"/>
  <c r="I55" i="39"/>
  <c r="D41" i="46"/>
  <c r="D44" i="39"/>
  <c r="J42" i="46"/>
  <c r="J45" i="39"/>
  <c r="J38" i="46"/>
  <c r="J41" i="39"/>
  <c r="D50" i="46"/>
  <c r="I50" i="46"/>
  <c r="I53" i="39"/>
  <c r="D55" i="46"/>
  <c r="I39" i="46"/>
  <c r="I42" i="39"/>
  <c r="C43" i="46"/>
  <c r="C46" i="39"/>
  <c r="D54" i="46"/>
  <c r="D53" i="46"/>
  <c r="J49" i="46"/>
  <c r="J52" i="39"/>
  <c r="C41" i="46"/>
  <c r="C44" i="39"/>
  <c r="C40" i="46"/>
  <c r="C43" i="39"/>
  <c r="J53" i="46"/>
  <c r="J56" i="39"/>
  <c r="C39" i="46"/>
  <c r="C42" i="39"/>
  <c r="D42" i="46"/>
  <c r="D45" i="39"/>
  <c r="C45" i="46"/>
  <c r="D48" i="46"/>
  <c r="J46" i="46"/>
  <c r="J49" i="39"/>
  <c r="I46" i="46"/>
  <c r="I49" i="39"/>
  <c r="J54" i="46"/>
  <c r="J57" i="39"/>
  <c r="B56" i="39"/>
  <c r="C53" i="46"/>
  <c r="B57" i="39"/>
  <c r="E57" i="39" s="1"/>
  <c r="C54" i="46"/>
  <c r="B47" i="39"/>
  <c r="D44" i="46"/>
  <c r="H36" i="21"/>
  <c r="H35" i="21"/>
  <c r="H37" i="21"/>
  <c r="B49" i="39"/>
  <c r="B53" i="39"/>
  <c r="B58" i="39"/>
  <c r="B16" i="21"/>
  <c r="B54" i="39"/>
  <c r="B15" i="21"/>
  <c r="B14" i="21"/>
  <c r="B52" i="39"/>
  <c r="B48" i="39"/>
  <c r="B55" i="39"/>
  <c r="B50" i="39"/>
  <c r="B51" i="39"/>
  <c r="B9" i="21" l="1"/>
  <c r="G53" i="21"/>
  <c r="B24" i="21" s="1"/>
  <c r="G39" i="21"/>
  <c r="B10" i="21" s="1"/>
  <c r="E56" i="39"/>
  <c r="E58" i="39"/>
  <c r="E55" i="39"/>
  <c r="E52" i="39"/>
  <c r="F52" i="39" s="1"/>
  <c r="G52" i="39" s="1"/>
  <c r="B24" i="39" s="1"/>
  <c r="E48" i="39"/>
  <c r="F48" i="39" s="1"/>
  <c r="G48" i="39" s="1"/>
  <c r="B20" i="39" s="1"/>
  <c r="E49" i="39"/>
  <c r="F49" i="39" s="1"/>
  <c r="G49" i="39" s="1"/>
  <c r="B21" i="39" s="1"/>
  <c r="E50" i="39"/>
  <c r="F50" i="39" s="1"/>
  <c r="G50" i="39" s="1"/>
  <c r="B22" i="39" s="1"/>
  <c r="B23" i="21"/>
  <c r="B27" i="21"/>
  <c r="E47" i="39"/>
  <c r="F47" i="39" s="1"/>
  <c r="G47" i="39" s="1"/>
  <c r="B19" i="39" s="1"/>
  <c r="B26" i="21"/>
  <c r="B20" i="21"/>
  <c r="B25" i="21"/>
  <c r="B28" i="21"/>
  <c r="E51" i="39"/>
  <c r="F51" i="39" s="1"/>
  <c r="G51" i="39" s="1"/>
  <c r="B23" i="39" s="1"/>
  <c r="E54" i="39"/>
  <c r="F54" i="39" s="1"/>
  <c r="G54" i="39" s="1"/>
  <c r="B26" i="39" s="1"/>
  <c r="B18" i="21"/>
  <c r="B22" i="21"/>
  <c r="B17" i="21"/>
  <c r="E53" i="39"/>
  <c r="F53" i="39" s="1"/>
  <c r="G53" i="39" s="1"/>
  <c r="B25" i="39" s="1"/>
  <c r="B19" i="21"/>
  <c r="B21" i="21"/>
  <c r="L32" i="46"/>
  <c r="K32" i="46"/>
  <c r="F40" i="39"/>
  <c r="G40" i="39" s="1"/>
  <c r="B12" i="39" s="1"/>
  <c r="F57" i="39"/>
  <c r="G57" i="39" s="1"/>
  <c r="B29" i="39" s="1"/>
  <c r="F56" i="39"/>
  <c r="G56" i="39" s="1"/>
  <c r="B28" i="39" s="1"/>
  <c r="F55" i="39"/>
  <c r="G55" i="39" s="1"/>
  <c r="B27" i="39" s="1"/>
  <c r="F58" i="39"/>
  <c r="G58" i="39" s="1"/>
  <c r="B30" i="39" s="1"/>
  <c r="F36" i="46"/>
  <c r="G36" i="46" s="1"/>
  <c r="B7" i="46" s="1"/>
  <c r="F37" i="46"/>
  <c r="G37" i="46" s="1"/>
  <c r="B8" i="46" s="1"/>
  <c r="F34" i="46"/>
  <c r="F33" i="46"/>
  <c r="H33" i="46"/>
  <c r="L33" i="46" s="1"/>
  <c r="H36" i="39"/>
  <c r="K36" i="39" s="1"/>
  <c r="L36" i="39" s="1"/>
  <c r="M36" i="39" s="1"/>
  <c r="F35" i="46"/>
  <c r="H35" i="46"/>
  <c r="K35" i="46" s="1"/>
  <c r="H38" i="39"/>
  <c r="K38" i="39" s="1"/>
  <c r="L38" i="39" s="1"/>
  <c r="M38" i="39" s="1"/>
  <c r="H34" i="46"/>
  <c r="L34" i="46" s="1"/>
  <c r="H37" i="39"/>
  <c r="K37" i="39" s="1"/>
  <c r="L37" i="39" s="1"/>
  <c r="M37" i="39" s="1"/>
  <c r="H37" i="46"/>
  <c r="K37" i="46" s="1"/>
  <c r="H40" i="39"/>
  <c r="K40" i="39" s="1"/>
  <c r="L40" i="39" s="1"/>
  <c r="M40" i="39" s="1"/>
  <c r="C12" i="39" s="1"/>
  <c r="H36" i="46"/>
  <c r="L36" i="46" s="1"/>
  <c r="H39" i="39"/>
  <c r="K39" i="39" s="1"/>
  <c r="L39" i="39" s="1"/>
  <c r="M39" i="39" s="1"/>
  <c r="H50" i="46"/>
  <c r="L50" i="46" s="1"/>
  <c r="H53" i="39"/>
  <c r="K53" i="39" s="1"/>
  <c r="L53" i="39" s="1"/>
  <c r="M53" i="39" s="1"/>
  <c r="C25" i="39" s="1"/>
  <c r="H54" i="46"/>
  <c r="K54" i="46" s="1"/>
  <c r="H57" i="39"/>
  <c r="K57" i="39" s="1"/>
  <c r="L57" i="39" s="1"/>
  <c r="M57" i="39" s="1"/>
  <c r="C29" i="39" s="1"/>
  <c r="H51" i="46"/>
  <c r="K51" i="46" s="1"/>
  <c r="H54" i="39"/>
  <c r="K54" i="39" s="1"/>
  <c r="L54" i="39" s="1"/>
  <c r="M54" i="39" s="1"/>
  <c r="C26" i="39" s="1"/>
  <c r="B41" i="46"/>
  <c r="E41" i="46" s="1"/>
  <c r="B44" i="39"/>
  <c r="E44" i="39" s="1"/>
  <c r="B50" i="46"/>
  <c r="E50" i="46" s="1"/>
  <c r="B45" i="46"/>
  <c r="E45" i="46" s="1"/>
  <c r="H53" i="46"/>
  <c r="K53" i="46" s="1"/>
  <c r="H56" i="39"/>
  <c r="K56" i="39" s="1"/>
  <c r="L56" i="39" s="1"/>
  <c r="M56" i="39" s="1"/>
  <c r="C28" i="39" s="1"/>
  <c r="B48" i="46"/>
  <c r="E48" i="46" s="1"/>
  <c r="B53" i="46"/>
  <c r="F53" i="46" s="1"/>
  <c r="B49" i="46"/>
  <c r="F49" i="46" s="1"/>
  <c r="B54" i="46"/>
  <c r="F54" i="46" s="1"/>
  <c r="B38" i="46"/>
  <c r="E38" i="46" s="1"/>
  <c r="B41" i="39"/>
  <c r="E41" i="39" s="1"/>
  <c r="B47" i="46"/>
  <c r="E47" i="46" s="1"/>
  <c r="H42" i="46"/>
  <c r="L42" i="46" s="1"/>
  <c r="H45" i="39"/>
  <c r="K45" i="39" s="1"/>
  <c r="L45" i="39" s="1"/>
  <c r="M45" i="39" s="1"/>
  <c r="C17" i="39" s="1"/>
  <c r="B44" i="46"/>
  <c r="F44" i="46" s="1"/>
  <c r="B46" i="46"/>
  <c r="E46" i="46" s="1"/>
  <c r="B43" i="46"/>
  <c r="F43" i="46" s="1"/>
  <c r="B46" i="39"/>
  <c r="E46" i="39" s="1"/>
  <c r="B39" i="46"/>
  <c r="E39" i="46" s="1"/>
  <c r="B42" i="39"/>
  <c r="E42" i="39" s="1"/>
  <c r="H55" i="46"/>
  <c r="K55" i="46" s="1"/>
  <c r="H58" i="39"/>
  <c r="K58" i="39" s="1"/>
  <c r="L58" i="39" s="1"/>
  <c r="M58" i="39" s="1"/>
  <c r="C30" i="39" s="1"/>
  <c r="H49" i="46"/>
  <c r="L49" i="46" s="1"/>
  <c r="H52" i="39"/>
  <c r="K52" i="39" s="1"/>
  <c r="L52" i="39" s="1"/>
  <c r="M52" i="39" s="1"/>
  <c r="C24" i="39" s="1"/>
  <c r="B52" i="46"/>
  <c r="F52" i="46" s="1"/>
  <c r="H39" i="46"/>
  <c r="L39" i="46" s="1"/>
  <c r="H42" i="39"/>
  <c r="K42" i="39" s="1"/>
  <c r="L42" i="39" s="1"/>
  <c r="M42" i="39" s="1"/>
  <c r="C14" i="39" s="1"/>
  <c r="H48" i="46"/>
  <c r="L48" i="46" s="1"/>
  <c r="H51" i="39"/>
  <c r="K51" i="39" s="1"/>
  <c r="L51" i="39" s="1"/>
  <c r="M51" i="39" s="1"/>
  <c r="C23" i="39" s="1"/>
  <c r="B55" i="46"/>
  <c r="F55" i="46" s="1"/>
  <c r="H52" i="46"/>
  <c r="L52" i="46" s="1"/>
  <c r="H55" i="39"/>
  <c r="K55" i="39" s="1"/>
  <c r="L55" i="39" s="1"/>
  <c r="M55" i="39" s="1"/>
  <c r="C27" i="39" s="1"/>
  <c r="H47" i="46"/>
  <c r="L47" i="46" s="1"/>
  <c r="H50" i="39"/>
  <c r="K50" i="39" s="1"/>
  <c r="L50" i="39" s="1"/>
  <c r="M50" i="39" s="1"/>
  <c r="C22" i="39" s="1"/>
  <c r="H46" i="46"/>
  <c r="K46" i="46" s="1"/>
  <c r="H49" i="39"/>
  <c r="K49" i="39" s="1"/>
  <c r="L49" i="39" s="1"/>
  <c r="M49" i="39" s="1"/>
  <c r="C21" i="39" s="1"/>
  <c r="B42" i="46"/>
  <c r="F42" i="46" s="1"/>
  <c r="B45" i="39"/>
  <c r="E45" i="39" s="1"/>
  <c r="B51" i="46"/>
  <c r="E51" i="46" s="1"/>
  <c r="B40" i="46"/>
  <c r="E40" i="46" s="1"/>
  <c r="B43" i="39"/>
  <c r="E43" i="39" s="1"/>
  <c r="H41" i="46"/>
  <c r="L41" i="46" s="1"/>
  <c r="H44" i="39"/>
  <c r="K44" i="39" s="1"/>
  <c r="L44" i="39" s="1"/>
  <c r="M44" i="39" s="1"/>
  <c r="C16" i="39" s="1"/>
  <c r="H38" i="46"/>
  <c r="L38" i="46" s="1"/>
  <c r="H41" i="39"/>
  <c r="K41" i="39" s="1"/>
  <c r="L41" i="39" s="1"/>
  <c r="M41" i="39" s="1"/>
  <c r="C13" i="39" s="1"/>
  <c r="H44" i="46"/>
  <c r="L44" i="46" s="1"/>
  <c r="H47" i="39"/>
  <c r="K47" i="39" s="1"/>
  <c r="L47" i="39" s="1"/>
  <c r="M47" i="39" s="1"/>
  <c r="C19" i="39" s="1"/>
  <c r="H45" i="46"/>
  <c r="L45" i="46" s="1"/>
  <c r="H48" i="39"/>
  <c r="K48" i="39" s="1"/>
  <c r="L48" i="39" s="1"/>
  <c r="M48" i="39" s="1"/>
  <c r="C20" i="39" s="1"/>
  <c r="H40" i="46"/>
  <c r="L40" i="46" s="1"/>
  <c r="H43" i="39"/>
  <c r="K43" i="39" s="1"/>
  <c r="L43" i="39" s="1"/>
  <c r="M43" i="39" s="1"/>
  <c r="C15" i="39" s="1"/>
  <c r="H43" i="46"/>
  <c r="L43" i="46" s="1"/>
  <c r="H46" i="39"/>
  <c r="K46" i="39" s="1"/>
  <c r="L46" i="39" s="1"/>
  <c r="M46" i="39" s="1"/>
  <c r="C18" i="39" s="1"/>
  <c r="B11" i="21"/>
  <c r="G58" i="21" l="1"/>
  <c r="D24" i="39"/>
  <c r="I28" i="41" s="1"/>
  <c r="D29" i="39"/>
  <c r="D19" i="39"/>
  <c r="D27" i="39"/>
  <c r="I31" i="41" s="1"/>
  <c r="D20" i="39"/>
  <c r="I24" i="41" s="1"/>
  <c r="D25" i="39"/>
  <c r="D28" i="39"/>
  <c r="I32" i="41" s="1"/>
  <c r="D22" i="39"/>
  <c r="I26" i="41" s="1"/>
  <c r="D26" i="39"/>
  <c r="I30" i="41" s="1"/>
  <c r="D23" i="39"/>
  <c r="I27" i="41" s="1"/>
  <c r="C11" i="39"/>
  <c r="D11" i="39" s="1"/>
  <c r="D21" i="39"/>
  <c r="I25" i="41" s="1"/>
  <c r="K33" i="46"/>
  <c r="D30" i="39"/>
  <c r="I34" i="41" s="1"/>
  <c r="F42" i="39"/>
  <c r="G42" i="39" s="1"/>
  <c r="B14" i="39" s="1"/>
  <c r="D14" i="39" s="1"/>
  <c r="I18" i="41" s="1"/>
  <c r="F45" i="39"/>
  <c r="G45" i="39" s="1"/>
  <c r="B17" i="39" s="1"/>
  <c r="D17" i="39" s="1"/>
  <c r="I21" i="41" s="1"/>
  <c r="F46" i="39"/>
  <c r="G46" i="39" s="1"/>
  <c r="B18" i="39" s="1"/>
  <c r="D18" i="39" s="1"/>
  <c r="I22" i="41" s="1"/>
  <c r="F43" i="39"/>
  <c r="G43" i="39" s="1"/>
  <c r="B15" i="39" s="1"/>
  <c r="D15" i="39" s="1"/>
  <c r="I19" i="41" s="1"/>
  <c r="F44" i="39"/>
  <c r="G44" i="39" s="1"/>
  <c r="F41" i="39"/>
  <c r="G41" i="39" s="1"/>
  <c r="B13" i="39" s="1"/>
  <c r="D13" i="39" s="1"/>
  <c r="I17" i="41" s="1"/>
  <c r="D12" i="39"/>
  <c r="I16" i="41" s="1"/>
  <c r="L37" i="46"/>
  <c r="M37" i="46" s="1"/>
  <c r="C8" i="46" s="1"/>
  <c r="D8" i="46" s="1"/>
  <c r="J16" i="41" s="1"/>
  <c r="K34" i="46"/>
  <c r="F47" i="46"/>
  <c r="G47" i="46" s="1"/>
  <c r="B18" i="46" s="1"/>
  <c r="K36" i="46"/>
  <c r="L53" i="46"/>
  <c r="K47" i="46"/>
  <c r="M47" i="46" s="1"/>
  <c r="C18" i="46" s="1"/>
  <c r="K52" i="46"/>
  <c r="L55" i="46"/>
  <c r="M55" i="46" s="1"/>
  <c r="K41" i="46"/>
  <c r="M41" i="46" s="1"/>
  <c r="C12" i="46" s="1"/>
  <c r="L54" i="46"/>
  <c r="M54" i="46" s="1"/>
  <c r="F48" i="46"/>
  <c r="G48" i="46" s="1"/>
  <c r="F41" i="46"/>
  <c r="G41" i="46" s="1"/>
  <c r="B12" i="46" s="1"/>
  <c r="K38" i="46"/>
  <c r="M38" i="46" s="1"/>
  <c r="C9" i="46" s="1"/>
  <c r="E52" i="46"/>
  <c r="L51" i="46"/>
  <c r="M51" i="46" s="1"/>
  <c r="E53" i="46"/>
  <c r="L35" i="46"/>
  <c r="E44" i="46"/>
  <c r="G44" i="46" s="1"/>
  <c r="B15" i="46" s="1"/>
  <c r="K50" i="46"/>
  <c r="E54" i="46"/>
  <c r="K49" i="46"/>
  <c r="F38" i="46"/>
  <c r="G38" i="46" s="1"/>
  <c r="B9" i="46" s="1"/>
  <c r="K42" i="46"/>
  <c r="M42" i="46" s="1"/>
  <c r="C13" i="46" s="1"/>
  <c r="K48" i="46"/>
  <c r="F40" i="46"/>
  <c r="G40" i="46" s="1"/>
  <c r="B11" i="46" s="1"/>
  <c r="F46" i="46"/>
  <c r="G46" i="46" s="1"/>
  <c r="B17" i="46" s="1"/>
  <c r="K39" i="46"/>
  <c r="M39" i="46" s="1"/>
  <c r="C10" i="46" s="1"/>
  <c r="E49" i="46"/>
  <c r="F50" i="46"/>
  <c r="G50" i="46" s="1"/>
  <c r="E42" i="46"/>
  <c r="G42" i="46" s="1"/>
  <c r="B13" i="46" s="1"/>
  <c r="E43" i="46"/>
  <c r="G43" i="46" s="1"/>
  <c r="B14" i="46" s="1"/>
  <c r="K45" i="46"/>
  <c r="M45" i="46" s="1"/>
  <c r="C16" i="46" s="1"/>
  <c r="F39" i="46"/>
  <c r="G39" i="46" s="1"/>
  <c r="K43" i="46"/>
  <c r="M43" i="46" s="1"/>
  <c r="C14" i="46" s="1"/>
  <c r="F51" i="46"/>
  <c r="M59" i="39"/>
  <c r="E55" i="46"/>
  <c r="L46" i="46"/>
  <c r="M46" i="46" s="1"/>
  <c r="C17" i="46" s="1"/>
  <c r="K40" i="46"/>
  <c r="M40" i="46" s="1"/>
  <c r="C11" i="46" s="1"/>
  <c r="F45" i="46"/>
  <c r="G45" i="46" s="1"/>
  <c r="B16" i="46" s="1"/>
  <c r="K44" i="46"/>
  <c r="M44" i="46" s="1"/>
  <c r="C15" i="46" s="1"/>
  <c r="E24" i="39" l="1"/>
  <c r="E27" i="39"/>
  <c r="E25" i="39"/>
  <c r="I29" i="41"/>
  <c r="E19" i="39"/>
  <c r="I23" i="41"/>
  <c r="E29" i="39"/>
  <c r="I33" i="41"/>
  <c r="E20" i="39"/>
  <c r="E14" i="39"/>
  <c r="E15" i="39"/>
  <c r="E13" i="39"/>
  <c r="E17" i="39"/>
  <c r="E18" i="39"/>
  <c r="G53" i="46"/>
  <c r="B24" i="46" s="1"/>
  <c r="E12" i="39"/>
  <c r="E26" i="39"/>
  <c r="C22" i="46"/>
  <c r="M52" i="46"/>
  <c r="C23" i="46" s="1"/>
  <c r="B19" i="46"/>
  <c r="E28" i="39"/>
  <c r="E23" i="39"/>
  <c r="C26" i="46"/>
  <c r="G52" i="46"/>
  <c r="B23" i="46" s="1"/>
  <c r="D23" i="46" s="1"/>
  <c r="J31" i="41" s="1"/>
  <c r="E11" i="39"/>
  <c r="I15" i="41"/>
  <c r="G55" i="46"/>
  <c r="B26" i="46" s="1"/>
  <c r="E30" i="39"/>
  <c r="C31" i="39"/>
  <c r="M50" i="46"/>
  <c r="C21" i="46" s="1"/>
  <c r="E21" i="39"/>
  <c r="C25" i="46"/>
  <c r="E8" i="46"/>
  <c r="M48" i="46"/>
  <c r="C19" i="46" s="1"/>
  <c r="E22" i="39"/>
  <c r="G51" i="46"/>
  <c r="B22" i="46" s="1"/>
  <c r="B21" i="46"/>
  <c r="M49" i="46"/>
  <c r="C20" i="46" s="1"/>
  <c r="G49" i="46"/>
  <c r="B20" i="46" s="1"/>
  <c r="G54" i="46"/>
  <c r="M36" i="46"/>
  <c r="M53" i="46"/>
  <c r="C24" i="46" s="1"/>
  <c r="G59" i="39"/>
  <c r="B16" i="39"/>
  <c r="D16" i="39" s="1"/>
  <c r="I20" i="41" s="1"/>
  <c r="D9" i="46"/>
  <c r="J17" i="41" s="1"/>
  <c r="D11" i="46"/>
  <c r="J19" i="41" s="1"/>
  <c r="D16" i="46"/>
  <c r="J24" i="41" s="1"/>
  <c r="D12" i="46"/>
  <c r="J20" i="41" s="1"/>
  <c r="D14" i="46"/>
  <c r="J22" i="41" s="1"/>
  <c r="B10" i="46"/>
  <c r="D10" i="46" s="1"/>
  <c r="J18" i="41" s="1"/>
  <c r="D17" i="46"/>
  <c r="J25" i="41" s="1"/>
  <c r="D15" i="46"/>
  <c r="J23" i="41" s="1"/>
  <c r="D18" i="46"/>
  <c r="J26" i="41" s="1"/>
  <c r="D13" i="46"/>
  <c r="J21" i="41" s="1"/>
  <c r="D20" i="46" l="1"/>
  <c r="J28" i="41" s="1"/>
  <c r="D21" i="46"/>
  <c r="J29" i="41" s="1"/>
  <c r="D22" i="46"/>
  <c r="M56" i="46"/>
  <c r="G56" i="46"/>
  <c r="D26" i="46"/>
  <c r="J34" i="41" s="1"/>
  <c r="C7" i="46"/>
  <c r="D7" i="46" s="1"/>
  <c r="J15" i="41" s="1"/>
  <c r="D19" i="46"/>
  <c r="J27" i="41" s="1"/>
  <c r="D24" i="46"/>
  <c r="B25" i="46"/>
  <c r="D25" i="46" s="1"/>
  <c r="E18" i="46"/>
  <c r="E9" i="46"/>
  <c r="E10" i="46"/>
  <c r="E14" i="46"/>
  <c r="E11" i="46"/>
  <c r="E13" i="46"/>
  <c r="E12" i="46"/>
  <c r="E16" i="39"/>
  <c r="E31" i="39" s="1"/>
  <c r="C4" i="39" s="1"/>
  <c r="E15" i="46"/>
  <c r="E17" i="46"/>
  <c r="E16" i="46"/>
  <c r="E23" i="46"/>
  <c r="D31" i="39"/>
  <c r="C3" i="39" s="1"/>
  <c r="B31" i="39"/>
  <c r="E26" i="46" l="1"/>
  <c r="E21" i="46"/>
  <c r="E20" i="46"/>
  <c r="E7" i="46"/>
  <c r="C27" i="46"/>
  <c r="E25" i="46"/>
  <c r="J33" i="41"/>
  <c r="E24" i="46"/>
  <c r="J32" i="41"/>
  <c r="E22" i="46"/>
  <c r="J30" i="41"/>
  <c r="B27" i="46"/>
  <c r="D27" i="46"/>
  <c r="C2" i="46" s="1"/>
  <c r="E19" i="46"/>
  <c r="E27" i="46" l="1"/>
  <c r="C3" i="46" s="1"/>
  <c r="F12" i="49"/>
  <c r="H15" i="41" s="1"/>
  <c r="E32" i="49" l="1"/>
  <c r="C62" i="46" l="1"/>
  <c r="C66" i="46" l="1"/>
  <c r="C65" i="46"/>
  <c r="C64" i="46"/>
  <c r="C63" i="46"/>
  <c r="C61" i="46"/>
  <c r="A43" i="5" l="1"/>
  <c r="B43" i="5"/>
  <c r="C43" i="5"/>
  <c r="E5" i="5" l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l="1"/>
  <c r="A33" i="5" l="1"/>
  <c r="A34" i="5" l="1"/>
  <c r="C32" i="49" l="1"/>
  <c r="A35" i="5"/>
  <c r="D3" i="12"/>
  <c r="B3" i="12"/>
  <c r="F32" i="49" l="1"/>
  <c r="C3" i="49" s="1"/>
  <c r="A36" i="5"/>
  <c r="A10" i="21"/>
  <c r="O14" i="41"/>
  <c r="O15" i="41" s="1"/>
  <c r="O16" i="41" s="1"/>
  <c r="O17" i="41" s="1"/>
  <c r="O18" i="41" s="1"/>
  <c r="O19" i="41" s="1"/>
  <c r="O20" i="41" s="1"/>
  <c r="O21" i="41" s="1"/>
  <c r="O22" i="41" s="1"/>
  <c r="O23" i="41" s="1"/>
  <c r="O24" i="41" s="1"/>
  <c r="O25" i="41" s="1"/>
  <c r="O26" i="41" s="1"/>
  <c r="O27" i="41" s="1"/>
  <c r="O28" i="41" s="1"/>
  <c r="O29" i="41" s="1"/>
  <c r="O30" i="41" s="1"/>
  <c r="O31" i="41" s="1"/>
  <c r="O32" i="41" s="1"/>
  <c r="O33" i="41" s="1"/>
  <c r="O34" i="41" s="1"/>
  <c r="G14" i="4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A14" i="4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7" i="5" l="1"/>
  <c r="A11" i="21"/>
  <c r="A12" i="21" s="1"/>
  <c r="A13" i="21" s="1"/>
  <c r="A14" i="21" s="1"/>
  <c r="A15" i="21" s="1"/>
  <c r="A16" i="21" s="1"/>
  <c r="A17" i="21" s="1"/>
  <c r="A38" i="5" l="1"/>
  <c r="A18" i="21"/>
  <c r="A39" i="5" l="1"/>
  <c r="A19" i="21"/>
  <c r="A40" i="5" l="1"/>
  <c r="A20" i="21"/>
  <c r="A41" i="5" l="1"/>
  <c r="A21" i="21"/>
  <c r="A42" i="5" l="1"/>
  <c r="A22" i="21"/>
  <c r="A23" i="21" l="1"/>
  <c r="A24" i="21" l="1"/>
  <c r="A25" i="21" l="1"/>
  <c r="A26" i="21" l="1"/>
  <c r="A27" i="21" l="1"/>
  <c r="A28" i="21" l="1"/>
  <c r="A35" i="21" l="1"/>
  <c r="A36" i="21" l="1"/>
  <c r="A37" i="21" l="1"/>
  <c r="A39" i="21" l="1"/>
  <c r="A40" i="21" l="1"/>
  <c r="A41" i="21" l="1"/>
  <c r="A42" i="21" l="1"/>
  <c r="A43" i="21" l="1"/>
  <c r="A44" i="21" l="1"/>
  <c r="A45" i="21" l="1"/>
  <c r="A46" i="21" l="1"/>
  <c r="A47" i="21" l="1"/>
  <c r="A48" i="21" l="1"/>
  <c r="E6" i="27"/>
  <c r="E7" i="27" s="1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A49" i="21" l="1"/>
  <c r="A50" i="21" l="1"/>
  <c r="A51" i="21" l="1"/>
  <c r="A52" i="21" l="1"/>
  <c r="F27" i="27"/>
  <c r="A53" i="21" l="1"/>
  <c r="A54" i="21" l="1"/>
  <c r="A55" i="21" l="1"/>
  <c r="A56" i="21" l="1"/>
  <c r="A57" i="21" l="1"/>
  <c r="E25" i="27"/>
  <c r="E26" i="27" l="1"/>
  <c r="C19" i="21" l="1"/>
  <c r="C23" i="21"/>
  <c r="C20" i="21"/>
  <c r="C21" i="21"/>
  <c r="C18" i="21"/>
  <c r="C13" i="21"/>
  <c r="C12" i="21"/>
  <c r="C15" i="21"/>
  <c r="C16" i="21"/>
  <c r="C22" i="21" l="1"/>
  <c r="C26" i="21"/>
  <c r="C28" i="21"/>
  <c r="C10" i="21"/>
  <c r="C14" i="21"/>
  <c r="C27" i="21"/>
  <c r="C25" i="21"/>
  <c r="C24" i="21"/>
  <c r="C17" i="21"/>
  <c r="C11" i="21"/>
  <c r="D11" i="21" s="1"/>
  <c r="K17" i="41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C44" i="5"/>
  <c r="E11" i="21" l="1"/>
  <c r="L17" i="41"/>
  <c r="M17" i="41" s="1"/>
  <c r="C17" i="41" s="1"/>
  <c r="D17" i="41" s="1"/>
  <c r="C9" i="21"/>
  <c r="D9" i="21" s="1"/>
  <c r="K15" i="41" s="1"/>
  <c r="D22" i="21"/>
  <c r="D28" i="21"/>
  <c r="C3" i="5"/>
  <c r="C25" i="5"/>
  <c r="C27" i="5"/>
  <c r="C26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D13" i="21"/>
  <c r="D16" i="21"/>
  <c r="D12" i="21"/>
  <c r="D25" i="21"/>
  <c r="D26" i="21"/>
  <c r="L13" i="41"/>
  <c r="D24" i="21"/>
  <c r="L14" i="41"/>
  <c r="D23" i="21"/>
  <c r="D27" i="21"/>
  <c r="D10" i="21"/>
  <c r="C4" i="5"/>
  <c r="C14" i="5"/>
  <c r="C13" i="5"/>
  <c r="C19" i="5"/>
  <c r="C22" i="5"/>
  <c r="C23" i="5"/>
  <c r="C6" i="5"/>
  <c r="C8" i="5"/>
  <c r="C18" i="5"/>
  <c r="C16" i="5"/>
  <c r="C7" i="5"/>
  <c r="C10" i="5"/>
  <c r="C21" i="5"/>
  <c r="C12" i="5"/>
  <c r="C24" i="5"/>
  <c r="C15" i="5"/>
  <c r="C5" i="5"/>
  <c r="C20" i="5"/>
  <c r="C11" i="5"/>
  <c r="C9" i="5"/>
  <c r="C17" i="5"/>
  <c r="K34" i="41" l="1"/>
  <c r="L34" i="41" s="1"/>
  <c r="M34" i="41" s="1"/>
  <c r="C34" i="41" s="1"/>
  <c r="D34" i="41" s="1"/>
  <c r="K16" i="41"/>
  <c r="L16" i="41" s="1"/>
  <c r="M16" i="41" s="1"/>
  <c r="C16" i="41" s="1"/>
  <c r="D16" i="41" s="1"/>
  <c r="K22" i="41"/>
  <c r="L22" i="41" s="1"/>
  <c r="M22" i="41" s="1"/>
  <c r="C22" i="41" s="1"/>
  <c r="D22" i="41" s="1"/>
  <c r="K29" i="41"/>
  <c r="L29" i="41" s="1"/>
  <c r="M29" i="41" s="1"/>
  <c r="C29" i="41" s="1"/>
  <c r="D29" i="41" s="1"/>
  <c r="K28" i="41"/>
  <c r="L28" i="41" s="1"/>
  <c r="M28" i="41" s="1"/>
  <c r="C28" i="41" s="1"/>
  <c r="D28" i="41" s="1"/>
  <c r="K33" i="41"/>
  <c r="L33" i="41" s="1"/>
  <c r="M33" i="41" s="1"/>
  <c r="C33" i="41" s="1"/>
  <c r="D33" i="41" s="1"/>
  <c r="K30" i="41"/>
  <c r="L30" i="41" s="1"/>
  <c r="M30" i="41" s="1"/>
  <c r="C30" i="41" s="1"/>
  <c r="D30" i="41" s="1"/>
  <c r="K32" i="41"/>
  <c r="L32" i="41" s="1"/>
  <c r="M32" i="41" s="1"/>
  <c r="C32" i="41" s="1"/>
  <c r="D32" i="41" s="1"/>
  <c r="K31" i="41"/>
  <c r="L31" i="41" s="1"/>
  <c r="M31" i="41" s="1"/>
  <c r="C31" i="41" s="1"/>
  <c r="D31" i="41" s="1"/>
  <c r="K18" i="41"/>
  <c r="L18" i="41" s="1"/>
  <c r="M18" i="41" s="1"/>
  <c r="C18" i="41" s="1"/>
  <c r="D18" i="41" s="1"/>
  <c r="K19" i="41"/>
  <c r="L19" i="41" s="1"/>
  <c r="M19" i="41" s="1"/>
  <c r="C19" i="41" s="1"/>
  <c r="D19" i="41" s="1"/>
  <c r="E13" i="21"/>
  <c r="E28" i="21"/>
  <c r="E24" i="21"/>
  <c r="E22" i="21"/>
  <c r="E23" i="21"/>
  <c r="E26" i="21"/>
  <c r="E25" i="21"/>
  <c r="E10" i="21"/>
  <c r="E12" i="21"/>
  <c r="L15" i="41"/>
  <c r="M15" i="41" s="1"/>
  <c r="C15" i="41" s="1"/>
  <c r="D15" i="41" s="1"/>
  <c r="E9" i="21"/>
  <c r="E27" i="21"/>
  <c r="E16" i="21"/>
  <c r="D21" i="21"/>
  <c r="M14" i="41"/>
  <c r="M13" i="41"/>
  <c r="C13" i="41" s="1"/>
  <c r="D15" i="21"/>
  <c r="D17" i="21"/>
  <c r="D19" i="21"/>
  <c r="D14" i="21"/>
  <c r="D20" i="21"/>
  <c r="D18" i="21"/>
  <c r="B29" i="21"/>
  <c r="C29" i="21"/>
  <c r="K26" i="41" l="1"/>
  <c r="L26" i="41" s="1"/>
  <c r="M26" i="41" s="1"/>
  <c r="C26" i="41" s="1"/>
  <c r="D26" i="41" s="1"/>
  <c r="K23" i="41"/>
  <c r="L23" i="41" s="1"/>
  <c r="M23" i="41" s="1"/>
  <c r="C23" i="41" s="1"/>
  <c r="D23" i="41" s="1"/>
  <c r="K27" i="41"/>
  <c r="L27" i="41" s="1"/>
  <c r="M27" i="41" s="1"/>
  <c r="C27" i="41" s="1"/>
  <c r="D27" i="41" s="1"/>
  <c r="K25" i="41"/>
  <c r="L25" i="41" s="1"/>
  <c r="M25" i="41" s="1"/>
  <c r="C25" i="41" s="1"/>
  <c r="D25" i="41" s="1"/>
  <c r="K24" i="41"/>
  <c r="L24" i="41" s="1"/>
  <c r="M24" i="41" s="1"/>
  <c r="C24" i="41" s="1"/>
  <c r="D24" i="41" s="1"/>
  <c r="K20" i="41"/>
  <c r="L20" i="41" s="1"/>
  <c r="M20" i="41" s="1"/>
  <c r="C20" i="41" s="1"/>
  <c r="D20" i="41" s="1"/>
  <c r="K21" i="41"/>
  <c r="L21" i="41" s="1"/>
  <c r="M21" i="41" s="1"/>
  <c r="C21" i="41" s="1"/>
  <c r="D21" i="41" s="1"/>
  <c r="E15" i="41"/>
  <c r="E16" i="41" s="1"/>
  <c r="E17" i="41" s="1"/>
  <c r="E18" i="41" s="1"/>
  <c r="E19" i="41" s="1"/>
  <c r="E19" i="21"/>
  <c r="E15" i="21"/>
  <c r="E20" i="21"/>
  <c r="E14" i="21"/>
  <c r="E17" i="21"/>
  <c r="E18" i="21"/>
  <c r="E21" i="21"/>
  <c r="D29" i="21"/>
  <c r="C2" i="21" s="1"/>
  <c r="G13" i="27"/>
  <c r="G21" i="27"/>
  <c r="G7" i="27"/>
  <c r="G23" i="27"/>
  <c r="G16" i="27"/>
  <c r="G24" i="27"/>
  <c r="G18" i="27"/>
  <c r="G11" i="27"/>
  <c r="G14" i="27"/>
  <c r="G22" i="27"/>
  <c r="G17" i="27"/>
  <c r="G15" i="27"/>
  <c r="G9" i="27"/>
  <c r="G8" i="27"/>
  <c r="G25" i="27"/>
  <c r="G19" i="27"/>
  <c r="G10" i="27"/>
  <c r="G20" i="27"/>
  <c r="G12" i="27"/>
  <c r="C5" i="41" l="1"/>
  <c r="E20" i="4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P16" i="41"/>
  <c r="Q16" i="41" s="1"/>
  <c r="H8" i="27"/>
  <c r="P23" i="41"/>
  <c r="Q23" i="41" s="1"/>
  <c r="H15" i="27"/>
  <c r="P24" i="41"/>
  <c r="H16" i="27"/>
  <c r="P26" i="41"/>
  <c r="H18" i="27"/>
  <c r="P34" i="41"/>
  <c r="Q34" i="41" s="1"/>
  <c r="H26" i="27"/>
  <c r="P25" i="41"/>
  <c r="Q25" i="41" s="1"/>
  <c r="H17" i="27"/>
  <c r="P31" i="41"/>
  <c r="H23" i="27"/>
  <c r="P28" i="41"/>
  <c r="H20" i="27"/>
  <c r="P30" i="41"/>
  <c r="Q30" i="41" s="1"/>
  <c r="H22" i="27"/>
  <c r="P15" i="41"/>
  <c r="H7" i="27"/>
  <c r="P32" i="41"/>
  <c r="Q32" i="41" s="1"/>
  <c r="H24" i="27"/>
  <c r="P27" i="41"/>
  <c r="H19" i="27"/>
  <c r="P14" i="41"/>
  <c r="Q14" i="41" s="1"/>
  <c r="H6" i="27"/>
  <c r="P21" i="41"/>
  <c r="H13" i="27"/>
  <c r="P17" i="41"/>
  <c r="Q17" i="41" s="1"/>
  <c r="H9" i="27"/>
  <c r="P20" i="41"/>
  <c r="H12" i="27"/>
  <c r="P18" i="41"/>
  <c r="Q18" i="41" s="1"/>
  <c r="H10" i="27"/>
  <c r="P22" i="41"/>
  <c r="Q22" i="41" s="1"/>
  <c r="H14" i="27"/>
  <c r="P29" i="41"/>
  <c r="Q29" i="41" s="1"/>
  <c r="H21" i="27"/>
  <c r="P33" i="41"/>
  <c r="H25" i="27"/>
  <c r="P19" i="41"/>
  <c r="Q19" i="41" s="1"/>
  <c r="H11" i="27"/>
  <c r="E29" i="21"/>
  <c r="C3" i="21" s="1"/>
  <c r="G27" i="27"/>
  <c r="Q13" i="41" l="1"/>
  <c r="E13" i="41" s="1"/>
  <c r="Q20" i="41"/>
  <c r="Q15" i="41"/>
  <c r="Q26" i="41"/>
  <c r="Q24" i="41"/>
  <c r="Q27" i="41"/>
  <c r="Q33" i="41"/>
  <c r="Q21" i="41"/>
  <c r="Q28" i="41"/>
  <c r="Q31" i="41"/>
  <c r="H27" i="27"/>
  <c r="Q35" i="41" l="1"/>
  <c r="E3" i="12" l="1"/>
  <c r="B35" i="41"/>
  <c r="L35" i="41" l="1"/>
  <c r="F3" i="12" s="1"/>
  <c r="M35" i="41" l="1"/>
  <c r="C4" i="41" l="1"/>
  <c r="H3" i="12" s="1"/>
  <c r="C6" i="41"/>
  <c r="G3" i="12"/>
  <c r="C35" i="41"/>
  <c r="D35" i="41" l="1"/>
</calcChain>
</file>

<file path=xl/sharedStrings.xml><?xml version="1.0" encoding="utf-8"?>
<sst xmlns="http://schemas.openxmlformats.org/spreadsheetml/2006/main" count="364" uniqueCount="215">
  <si>
    <t>Total</t>
  </si>
  <si>
    <t>Year</t>
  </si>
  <si>
    <t>Capital Costs</t>
  </si>
  <si>
    <t>Economic Competitiveness</t>
  </si>
  <si>
    <t>Safety</t>
  </si>
  <si>
    <t>Total Net Benefit</t>
  </si>
  <si>
    <t>Net Present Value (NPV)</t>
  </si>
  <si>
    <t>Discount Rate</t>
  </si>
  <si>
    <t>Benefit-Cost Ratio</t>
  </si>
  <si>
    <t>No Build Scenario</t>
  </si>
  <si>
    <t>Total Cost</t>
  </si>
  <si>
    <t>Build Scenario</t>
  </si>
  <si>
    <t>Potential Cost Savings</t>
  </si>
  <si>
    <t>Build</t>
  </si>
  <si>
    <t>Damage Costs for Pollutant Emissions</t>
  </si>
  <si>
    <t>Emission Type</t>
  </si>
  <si>
    <t>Volatile Organic Compounds</t>
  </si>
  <si>
    <t>Nitrogen Oxides</t>
  </si>
  <si>
    <t>Particulate Matter</t>
  </si>
  <si>
    <t>Sulfur Dioxide</t>
  </si>
  <si>
    <t>Project Cost</t>
  </si>
  <si>
    <t>Percent Project Cost Paid</t>
  </si>
  <si>
    <t>Project</t>
  </si>
  <si>
    <t>Total Net Benefit (NPV)</t>
  </si>
  <si>
    <t>Total Benefits</t>
  </si>
  <si>
    <t>Travel Time Savings</t>
  </si>
  <si>
    <t>Direct User Benefits</t>
  </si>
  <si>
    <t>Net Present Value</t>
  </si>
  <si>
    <t>Internal Rate of Return</t>
  </si>
  <si>
    <t>Benefit/Cost Ratio</t>
  </si>
  <si>
    <t>Analysis Year</t>
  </si>
  <si>
    <t>Crash Savings</t>
  </si>
  <si>
    <t>Operation and Maintenance Costs</t>
  </si>
  <si>
    <t>7% Discount</t>
  </si>
  <si>
    <t>Total Costs</t>
  </si>
  <si>
    <t>Net Direct Benefits</t>
  </si>
  <si>
    <t>Environmental</t>
  </si>
  <si>
    <t>Reduced Pollutants</t>
  </si>
  <si>
    <t>Net Direct Benefits - 7% Discount</t>
  </si>
  <si>
    <t>Project Life (Years)</t>
  </si>
  <si>
    <t>Project Costs (NPV)</t>
  </si>
  <si>
    <t>Project Cost (NPV)</t>
  </si>
  <si>
    <t>20 Year BENEFITS</t>
  </si>
  <si>
    <t>20 Year COSTS</t>
  </si>
  <si>
    <t>Residual Value (2042$)</t>
  </si>
  <si>
    <t>20 Year Costs</t>
  </si>
  <si>
    <t>Total Benefit</t>
  </si>
  <si>
    <t>Cumulative</t>
  </si>
  <si>
    <t>Truck</t>
  </si>
  <si>
    <t>No-Build</t>
  </si>
  <si>
    <t>Scenario</t>
  </si>
  <si>
    <t>Total Reduced Damage of Pollutant Emissions</t>
  </si>
  <si>
    <t>Environmental Cost Savings - Summary</t>
  </si>
  <si>
    <t>Economic Competitiveness - Summary</t>
  </si>
  <si>
    <t>Safety Crash Savings - Summary</t>
  </si>
  <si>
    <t>Potential Cost Savings (NPV)</t>
  </si>
  <si>
    <t>$ / short ton ($2018)</t>
  </si>
  <si>
    <t>Total Project Costs (2018$)</t>
  </si>
  <si>
    <t>Total Reduced Damage of Pollutant Emissions (NPV)</t>
  </si>
  <si>
    <t>Inflation Adjustment</t>
  </si>
  <si>
    <t>Base Year</t>
  </si>
  <si>
    <t>Multiplier</t>
  </si>
  <si>
    <t>Table A-8, 2020 BCA Guidance</t>
  </si>
  <si>
    <t>Carbon Dioxide (2017-2034)</t>
  </si>
  <si>
    <t>Carbon Dioxide (2035-2050)</t>
  </si>
  <si>
    <t>$ / gram ($2017)</t>
  </si>
  <si>
    <t>Source: BCA Guildelines 2020, TSD - Technical Update of the Social Cost of Carbon for Regulatory Impact Analysis</t>
  </si>
  <si>
    <t>Operations &amp; Maintenance Savings</t>
  </si>
  <si>
    <t>Infrastructure Condition</t>
  </si>
  <si>
    <t>Note:</t>
  </si>
  <si>
    <t>Annual Cost</t>
  </si>
  <si>
    <r>
      <t>Maintenance Cost ($2018)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</si>
  <si>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Capital Cost Calculations</t>
  </si>
  <si>
    <r>
      <rPr>
        <b/>
        <i/>
        <sz val="9"/>
        <color theme="1"/>
        <rFont val="Calibri"/>
        <family val="2"/>
        <scheme val="minor"/>
      </rPr>
      <t>(Beg Construction)</t>
    </r>
    <r>
      <rPr>
        <b/>
        <sz val="11"/>
        <rFont val="Calibri"/>
        <family val="2"/>
        <scheme val="minor"/>
      </rPr>
      <t>2021</t>
    </r>
  </si>
  <si>
    <r>
      <rPr>
        <b/>
        <i/>
        <sz val="9"/>
        <color theme="1"/>
        <rFont val="Calibri"/>
        <family val="2"/>
        <scheme val="minor"/>
      </rPr>
      <t xml:space="preserve">(End Construction) </t>
    </r>
    <r>
      <rPr>
        <b/>
        <sz val="11"/>
        <rFont val="Calibri"/>
        <family val="2"/>
        <scheme val="minor"/>
      </rPr>
      <t>2022</t>
    </r>
  </si>
  <si>
    <t>Operations and Maintanence Cost Calculations</t>
  </si>
  <si>
    <t>N/A</t>
  </si>
  <si>
    <r>
      <t>Maintenance Cost ($2018)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</si>
  <si>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1. Savings are based on 2018$</t>
  </si>
  <si>
    <t>2. Assumes construction begins in 2021 and ends in 2022. New infrastructure enters in operations in 2023.</t>
  </si>
  <si>
    <t>Operations &amp; Maintenance</t>
  </si>
  <si>
    <t>Operations and Maintenance Costs</t>
  </si>
  <si>
    <t>Maintenance per Pile</t>
  </si>
  <si>
    <t>Port of Muskogee</t>
  </si>
  <si>
    <t>Port of Catoosa</t>
  </si>
  <si>
    <t>Oakley's 33</t>
  </si>
  <si>
    <t>3. According to each port their existing annual maintenance costs for moorings:</t>
  </si>
  <si>
    <t>Poor</t>
  </si>
  <si>
    <t>Good</t>
  </si>
  <si>
    <t>4. Future Build Maintenance and Operations Cost:</t>
  </si>
  <si>
    <t>5. General Project Information</t>
  </si>
  <si>
    <t>Supplemental Project Information</t>
  </si>
  <si>
    <t>Port</t>
  </si>
  <si>
    <t>Deadman Anchors</t>
  </si>
  <si>
    <t>Spillage</t>
  </si>
  <si>
    <t>Gallons/million ton-mile</t>
  </si>
  <si>
    <t>CO2</t>
  </si>
  <si>
    <t>Tons per million ton-miles</t>
  </si>
  <si>
    <t>Dolphin Structures</t>
  </si>
  <si>
    <t>Existing</t>
  </si>
  <si>
    <t>Rail</t>
  </si>
  <si>
    <t>http://www.aopoa.net/history/facts.htm</t>
  </si>
  <si>
    <t>lbs per thousand ton-miles</t>
  </si>
  <si>
    <t>Nitrous Oxide</t>
  </si>
  <si>
    <t>Ton-Miles</t>
  </si>
  <si>
    <t>Waterway Ton-Miles</t>
  </si>
  <si>
    <t>Oklahoma Ton-Mile Information</t>
  </si>
  <si>
    <t>Tons</t>
  </si>
  <si>
    <t>Value</t>
  </si>
  <si>
    <t>Commodity</t>
  </si>
  <si>
    <t>Iron/Steel</t>
  </si>
  <si>
    <t>Fertilizer</t>
  </si>
  <si>
    <t>Chemicals (Other)</t>
  </si>
  <si>
    <t>Petroleum</t>
  </si>
  <si>
    <t>Aggregates</t>
  </si>
  <si>
    <t>Coke &amp; Coal</t>
  </si>
  <si>
    <t>Minerals/Building Materials</t>
  </si>
  <si>
    <t>Food/Farm Products</t>
  </si>
  <si>
    <t>Wheat</t>
  </si>
  <si>
    <t>Equipment / Machinery</t>
  </si>
  <si>
    <t>Soybeans</t>
  </si>
  <si>
    <t>Tonnage Information in OK Portion (2017)</t>
  </si>
  <si>
    <t>2015-2018  Average</t>
  </si>
  <si>
    <t>Muskogee</t>
  </si>
  <si>
    <t>ODOT: Port of Muskogee</t>
  </si>
  <si>
    <t>Catoosa</t>
  </si>
  <si>
    <t>ODOT: Port of Catoosa</t>
  </si>
  <si>
    <t>Oklahoma River Miles</t>
  </si>
  <si>
    <t>Mile Marker</t>
  </si>
  <si>
    <t>https://www.swt.usace.army.mil/Missions/Navigation/Navigation-Charts/</t>
  </si>
  <si>
    <t>Total Tons</t>
  </si>
  <si>
    <t>Ports %</t>
  </si>
  <si>
    <t>Port Tons</t>
  </si>
  <si>
    <t>OK Average River Miles</t>
  </si>
  <si>
    <t>Average River Miles</t>
  </si>
  <si>
    <t>Oakley's 33 - Grand River</t>
  </si>
  <si>
    <t>Diverted Rail Ton-Miles</t>
  </si>
  <si>
    <t>Diverted Truck Ton-Miles</t>
  </si>
  <si>
    <t>Assumed based on anecdotal evidence from port directors that  90% of cargo would be diverted to rail and 10% to trucks.</t>
  </si>
  <si>
    <t>No-Build Increased Crash Risk</t>
  </si>
  <si>
    <t>Build Increased Crash Risk</t>
  </si>
  <si>
    <t>Average Value per Ton</t>
  </si>
  <si>
    <t>Co2 (tons)</t>
  </si>
  <si>
    <t>NoX (Tons)</t>
  </si>
  <si>
    <t>Damage Cost</t>
  </si>
  <si>
    <t>No-Build Damage Cost</t>
  </si>
  <si>
    <t>Build Damage Cost</t>
  </si>
  <si>
    <t>Source: National Waterways Foundation, Waterways: Working for America, February 2017</t>
  </si>
  <si>
    <t>Spillage (Gallons)</t>
  </si>
  <si>
    <t>Assumes products weigh the same as water, 8.34 lbs.</t>
  </si>
  <si>
    <t>Spillage (Tons)</t>
  </si>
  <si>
    <t>Lost Good Value</t>
  </si>
  <si>
    <t>Maintenance Costs Provided by Port Operations</t>
  </si>
  <si>
    <t>Debris removal is the anticipated maintenance</t>
  </si>
  <si>
    <t>Functional Barge Capacity</t>
  </si>
  <si>
    <t>ODOT 2018 MKARNS Update</t>
  </si>
  <si>
    <t>End of Life in 2025 Dolphin Structures</t>
  </si>
  <si>
    <t>2025 Lost Capacity</t>
  </si>
  <si>
    <t>2023 Recovered Capacity</t>
  </si>
  <si>
    <t>2023 Replacement Monopiles</t>
  </si>
  <si>
    <t>System Capacity Percentage</t>
  </si>
  <si>
    <t>Structures being Replaced</t>
  </si>
  <si>
    <t>Structure Type being Replaced</t>
  </si>
  <si>
    <t>Dolphin</t>
  </si>
  <si>
    <t>Deadman</t>
  </si>
  <si>
    <t>Economic Competitiveness - Reduced Spillage</t>
  </si>
  <si>
    <t>Environmental Damage Reduction</t>
  </si>
  <si>
    <t>Spillage Avoided</t>
  </si>
  <si>
    <t>Barge</t>
  </si>
  <si>
    <t>Operations &amp; Maintenance Savings (NPV)</t>
  </si>
  <si>
    <t>Source: Port Operators</t>
  </si>
  <si>
    <t>Existing Base Ton-Miles</t>
  </si>
  <si>
    <t>Source: 2018 MKARNS Update</t>
  </si>
  <si>
    <t>6. Future  Maintenance and Operations Cost:</t>
  </si>
  <si>
    <t>Replace Deadman Anchor</t>
  </si>
  <si>
    <t>Per Anchor</t>
  </si>
  <si>
    <t>Replace Deadman Anchors</t>
  </si>
  <si>
    <t>Assumed 25% of diverted goods are not moved.</t>
  </si>
  <si>
    <t>Injuries</t>
  </si>
  <si>
    <t>Fatalities</t>
  </si>
  <si>
    <t>Freight Barge and Tank Barge</t>
  </si>
  <si>
    <t>Average</t>
  </si>
  <si>
    <t>https://www.bts.gov/topics/national-transportation-statistics</t>
  </si>
  <si>
    <t>Appendix D, Water Transport Profile, Safety information for 2002 to 2006 was the most recent five years of data available.</t>
  </si>
  <si>
    <t>Appendix D, Rail Transport Profile</t>
  </si>
  <si>
    <t>Class I, Revenue ton-miles of freight</t>
  </si>
  <si>
    <t>Section 2.E Railroad Safety, Table 2-41, Table 2-39, Table 2-40</t>
  </si>
  <si>
    <t>Appendix D, Truck Transport Profile</t>
  </si>
  <si>
    <t>Internal ton-miles, Domestic Water Freight</t>
  </si>
  <si>
    <t>Truck, ton-miles</t>
  </si>
  <si>
    <t>https://www.fmcsa.dot.gov/safety/data-and-statistics/motor-carrier-safety-progress-reports</t>
  </si>
  <si>
    <t>Crash Cost</t>
  </si>
  <si>
    <t>Safety Rates per ton-mile</t>
  </si>
  <si>
    <t>No-Build Scenario</t>
  </si>
  <si>
    <t>Property Damage Only Crashes</t>
  </si>
  <si>
    <t>Unit Value ($2018)</t>
  </si>
  <si>
    <t>Per Vehicle</t>
  </si>
  <si>
    <t>Source: BCA Guidance 2020</t>
  </si>
  <si>
    <t>Value of Reduced Fatalities and Injuries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</si>
  <si>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</si>
  <si>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</si>
  <si>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</si>
  <si>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</si>
  <si>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</si>
  <si>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</si>
  <si>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</si>
  <si>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</si>
  <si>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</si>
  <si>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Inland Waterways</t>
  </si>
  <si>
    <t>Freight Rail</t>
  </si>
  <si>
    <t>Trucks</t>
  </si>
  <si>
    <t>Oklahoma State Border</t>
  </si>
  <si>
    <t>ODOT 2018 MKARNS Update, Assumes all tonnage comes from the Mississippi River per port operations.</t>
  </si>
  <si>
    <t>Oakley's 33 - Main</t>
  </si>
  <si>
    <t>2020 BCA SUMMARY - MKARNS Mooring Modernization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</si>
</sst>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&quot;$&quot;#,##0"/>
    <numFmt numFmtId="167" formatCode="0.000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_(&quot;$&quot;* #,##0_);[Red]_(&quot;$&quot;* \(#,##0\);_(&quot;$&quot;* &quot;-&quot;??_);_(@_)"/>
    <numFmt numFmtId="172" formatCode="_(&quot;$&quot;* #,##0.00_);[Red]_(&quot;$&quot;* \(#,##0.00\);_(&quot;$&quot;* &quot;-&quot;??_);_(@_)"/>
    <numFmt numFmtId="173" formatCode="#,##0.0000000000000_);\(#,##0.0000000000000\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</font>
    <font>
      <b/>
      <i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18"/>
      <name val="Arial Narrow"/>
      <family val="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5E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2" fillId="0" borderId="0" applyNumberFormat="0" applyAlignment="0"/>
    <xf numFmtId="4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38" fontId="12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2" fillId="3" borderId="3" applyNumberFormat="0" applyBorder="0" applyAlignment="0" applyProtection="0"/>
    <xf numFmtId="164" fontId="11" fillId="0" borderId="0"/>
    <xf numFmtId="0" fontId="11" fillId="0" borderId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7">
    <xf numFmtId="0" fontId="0" fillId="0" borderId="0" xfId="0"/>
    <xf numFmtId="0" fontId="20" fillId="0" borderId="0" xfId="0" applyFont="1"/>
    <xf numFmtId="0" fontId="20" fillId="0" borderId="0" xfId="13" applyFont="1" applyFill="1" applyBorder="1"/>
    <xf numFmtId="1" fontId="20" fillId="0" borderId="17" xfId="0" applyNumberFormat="1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6" fillId="7" borderId="6" xfId="9" applyFont="1" applyFill="1" applyBorder="1" applyAlignment="1">
      <alignment horizontal="center" vertical="center"/>
    </xf>
    <xf numFmtId="2" fontId="27" fillId="0" borderId="5" xfId="9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/>
    </xf>
    <xf numFmtId="3" fontId="20" fillId="5" borderId="17" xfId="0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9" fontId="20" fillId="0" borderId="17" xfId="10" applyFont="1" applyFill="1" applyBorder="1" applyAlignment="1">
      <alignment horizontal="center"/>
    </xf>
    <xf numFmtId="9" fontId="20" fillId="0" borderId="15" xfId="10" applyFont="1" applyFill="1" applyBorder="1" applyAlignment="1">
      <alignment horizontal="center"/>
    </xf>
    <xf numFmtId="0" fontId="20" fillId="4" borderId="3" xfId="3" applyNumberFormat="1" applyFont="1" applyFill="1" applyBorder="1" applyAlignment="1">
      <alignment horizontal="right"/>
    </xf>
    <xf numFmtId="9" fontId="21" fillId="0" borderId="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9" fontId="20" fillId="0" borderId="3" xfId="10" applyFont="1" applyFill="1" applyBorder="1"/>
    <xf numFmtId="3" fontId="20" fillId="0" borderId="27" xfId="0" applyNumberFormat="1" applyFont="1" applyFill="1" applyBorder="1" applyAlignment="1">
      <alignment horizontal="center"/>
    </xf>
    <xf numFmtId="3" fontId="20" fillId="5" borderId="27" xfId="0" applyNumberFormat="1" applyFont="1" applyFill="1" applyBorder="1" applyAlignment="1">
      <alignment horizontal="center"/>
    </xf>
    <xf numFmtId="9" fontId="20" fillId="0" borderId="27" xfId="10" applyFont="1" applyFill="1" applyBorder="1" applyAlignment="1">
      <alignment horizontal="center"/>
    </xf>
    <xf numFmtId="0" fontId="20" fillId="0" borderId="0" xfId="13" applyFont="1"/>
    <xf numFmtId="0" fontId="21" fillId="8" borderId="3" xfId="13" applyFont="1" applyFill="1" applyBorder="1" applyAlignment="1"/>
    <xf numFmtId="0" fontId="20" fillId="0" borderId="0" xfId="13" applyFont="1" applyAlignment="1"/>
    <xf numFmtId="0" fontId="20" fillId="0" borderId="17" xfId="0" applyFont="1" applyFill="1" applyBorder="1" applyAlignment="1">
      <alignment horizontal="center"/>
    </xf>
    <xf numFmtId="10" fontId="29" fillId="6" borderId="3" xfId="13" applyNumberFormat="1" applyFont="1" applyFill="1" applyBorder="1" applyAlignment="1">
      <alignment horizontal="center"/>
    </xf>
    <xf numFmtId="6" fontId="29" fillId="6" borderId="3" xfId="13" applyNumberFormat="1" applyFont="1" applyFill="1" applyBorder="1" applyAlignment="1">
      <alignment horizontal="center"/>
    </xf>
    <xf numFmtId="40" fontId="33" fillId="6" borderId="3" xfId="13" applyNumberFormat="1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2" fillId="7" borderId="6" xfId="0" applyFont="1" applyFill="1" applyBorder="1" applyAlignment="1">
      <alignment horizontal="center" wrapText="1"/>
    </xf>
    <xf numFmtId="0" fontId="22" fillId="7" borderId="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67" fontId="21" fillId="0" borderId="17" xfId="0" applyNumberFormat="1" applyFont="1" applyFill="1" applyBorder="1" applyAlignment="1">
      <alignment horizontal="center"/>
    </xf>
    <xf numFmtId="0" fontId="0" fillId="9" borderId="0" xfId="0" applyFill="1"/>
    <xf numFmtId="0" fontId="21" fillId="8" borderId="15" xfId="0" applyFont="1" applyFill="1" applyBorder="1" applyAlignment="1">
      <alignment horizontal="center"/>
    </xf>
    <xf numFmtId="0" fontId="21" fillId="8" borderId="13" xfId="0" applyFont="1" applyFill="1" applyBorder="1"/>
    <xf numFmtId="0" fontId="21" fillId="8" borderId="15" xfId="0" applyFont="1" applyFill="1" applyBorder="1"/>
    <xf numFmtId="0" fontId="21" fillId="8" borderId="14" xfId="0" applyFont="1" applyFill="1" applyBorder="1"/>
    <xf numFmtId="0" fontId="17" fillId="9" borderId="0" xfId="0" applyFont="1" applyFill="1"/>
    <xf numFmtId="0" fontId="20" fillId="9" borderId="0" xfId="13" applyFont="1" applyFill="1" applyBorder="1" applyAlignment="1">
      <alignment horizontal="center"/>
    </xf>
    <xf numFmtId="9" fontId="20" fillId="9" borderId="0" xfId="13" applyNumberFormat="1" applyFont="1" applyFill="1" applyBorder="1" applyAlignment="1">
      <alignment horizontal="center" vertical="center"/>
    </xf>
    <xf numFmtId="0" fontId="21" fillId="9" borderId="0" xfId="13" applyFont="1" applyFill="1" applyBorder="1" applyAlignment="1">
      <alignment horizontal="center" vertical="center" wrapText="1"/>
    </xf>
    <xf numFmtId="0" fontId="20" fillId="9" borderId="0" xfId="13" applyFont="1" applyFill="1" applyBorder="1" applyAlignment="1">
      <alignment horizontal="center" vertical="center"/>
    </xf>
    <xf numFmtId="3" fontId="20" fillId="9" borderId="0" xfId="13" applyNumberFormat="1" applyFont="1" applyFill="1" applyBorder="1" applyAlignment="1">
      <alignment horizontal="center"/>
    </xf>
    <xf numFmtId="0" fontId="20" fillId="9" borderId="0" xfId="13" applyFont="1" applyFill="1" applyBorder="1"/>
    <xf numFmtId="0" fontId="20" fillId="9" borderId="0" xfId="13" applyFont="1" applyFill="1"/>
    <xf numFmtId="0" fontId="20" fillId="9" borderId="0" xfId="13" applyFont="1" applyFill="1" applyAlignment="1"/>
    <xf numFmtId="0" fontId="21" fillId="9" borderId="0" xfId="13" applyFont="1" applyFill="1" applyBorder="1" applyAlignment="1">
      <alignment horizontal="center"/>
    </xf>
    <xf numFmtId="0" fontId="23" fillId="9" borderId="0" xfId="13" applyFont="1" applyFill="1" applyAlignment="1">
      <alignment horizontal="center"/>
    </xf>
    <xf numFmtId="0" fontId="30" fillId="9" borderId="0" xfId="0" applyFont="1" applyFill="1" applyAlignment="1"/>
    <xf numFmtId="0" fontId="20" fillId="9" borderId="0" xfId="0" applyFont="1" applyFill="1"/>
    <xf numFmtId="0" fontId="28" fillId="9" borderId="0" xfId="0" applyFont="1" applyFill="1" applyBorder="1" applyAlignment="1"/>
    <xf numFmtId="0" fontId="20" fillId="9" borderId="0" xfId="0" applyFont="1" applyFill="1" applyBorder="1"/>
    <xf numFmtId="0" fontId="13" fillId="9" borderId="0" xfId="0" applyFont="1" applyFill="1" applyBorder="1" applyAlignment="1"/>
    <xf numFmtId="0" fontId="0" fillId="9" borderId="0" xfId="0" applyFill="1" applyBorder="1"/>
    <xf numFmtId="0" fontId="20" fillId="9" borderId="0" xfId="0" applyFont="1" applyFill="1" applyAlignment="1"/>
    <xf numFmtId="0" fontId="20" fillId="9" borderId="0" xfId="0" applyFont="1" applyFill="1" applyBorder="1" applyAlignment="1"/>
    <xf numFmtId="0" fontId="21" fillId="9" borderId="0" xfId="0" applyFont="1" applyFill="1" applyBorder="1" applyAlignment="1">
      <alignment horizontal="left"/>
    </xf>
    <xf numFmtId="0" fontId="21" fillId="9" borderId="0" xfId="0" applyFont="1" applyFill="1" applyBorder="1" applyAlignment="1">
      <alignment horizontal="left" wrapText="1"/>
    </xf>
    <xf numFmtId="0" fontId="11" fillId="9" borderId="0" xfId="0" applyFont="1" applyFill="1"/>
    <xf numFmtId="3" fontId="20" fillId="9" borderId="0" xfId="0" applyNumberFormat="1" applyFont="1" applyFill="1"/>
    <xf numFmtId="0" fontId="23" fillId="9" borderId="0" xfId="0" applyFont="1" applyFill="1" applyAlignment="1">
      <alignment horizontal="center"/>
    </xf>
    <xf numFmtId="0" fontId="28" fillId="9" borderId="0" xfId="13" applyFont="1" applyFill="1" applyBorder="1" applyAlignment="1"/>
    <xf numFmtId="0" fontId="18" fillId="9" borderId="0" xfId="0" applyFont="1" applyFill="1"/>
    <xf numFmtId="14" fontId="19" fillId="9" borderId="0" xfId="0" applyNumberFormat="1" applyFont="1" applyFill="1"/>
    <xf numFmtId="0" fontId="14" fillId="9" borderId="0" xfId="5" applyFill="1" applyBorder="1" applyAlignment="1"/>
    <xf numFmtId="0" fontId="22" fillId="7" borderId="3" xfId="0" applyFont="1" applyFill="1" applyBorder="1" applyAlignment="1">
      <alignment horizontal="center" vertical="center" wrapText="1"/>
    </xf>
    <xf numFmtId="0" fontId="32" fillId="9" borderId="0" xfId="13" applyFont="1" applyFill="1" applyAlignment="1">
      <alignment vertical="center" wrapText="1"/>
    </xf>
    <xf numFmtId="166" fontId="29" fillId="9" borderId="0" xfId="13" applyNumberFormat="1" applyFont="1" applyFill="1" applyAlignment="1">
      <alignment vertical="center" wrapText="1"/>
    </xf>
    <xf numFmtId="0" fontId="29" fillId="9" borderId="0" xfId="13" applyFont="1" applyFill="1" applyAlignment="1">
      <alignment vertical="center" wrapText="1"/>
    </xf>
    <xf numFmtId="0" fontId="13" fillId="0" borderId="12" xfId="0" applyFont="1" applyBorder="1"/>
    <xf numFmtId="0" fontId="13" fillId="0" borderId="2" xfId="0" applyFont="1" applyBorder="1"/>
    <xf numFmtId="0" fontId="13" fillId="0" borderId="9" xfId="0" applyFont="1" applyBorder="1"/>
    <xf numFmtId="0" fontId="21" fillId="8" borderId="17" xfId="0" applyFont="1" applyFill="1" applyBorder="1" applyAlignment="1">
      <alignment horizontal="center"/>
    </xf>
    <xf numFmtId="0" fontId="21" fillId="8" borderId="7" xfId="0" applyFont="1" applyFill="1" applyBorder="1" applyAlignment="1">
      <alignment horizontal="center"/>
    </xf>
    <xf numFmtId="6" fontId="25" fillId="8" borderId="5" xfId="0" applyNumberFormat="1" applyFont="1" applyFill="1" applyBorder="1" applyAlignment="1">
      <alignment horizontal="right"/>
    </xf>
    <xf numFmtId="0" fontId="21" fillId="8" borderId="27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21" fillId="8" borderId="15" xfId="0" applyFont="1" applyFill="1" applyBorder="1" applyAlignment="1">
      <alignment horizontal="left" wrapText="1"/>
    </xf>
    <xf numFmtId="0" fontId="21" fillId="8" borderId="13" xfId="0" applyFont="1" applyFill="1" applyBorder="1" applyAlignment="1">
      <alignment horizontal="left" vertical="center" wrapText="1"/>
    </xf>
    <xf numFmtId="0" fontId="21" fillId="8" borderId="14" xfId="0" applyFont="1" applyFill="1" applyBorder="1" applyAlignment="1">
      <alignment horizontal="left" vertical="center" wrapText="1"/>
    </xf>
    <xf numFmtId="0" fontId="21" fillId="8" borderId="17" xfId="0" applyFont="1" applyFill="1" applyBorder="1"/>
    <xf numFmtId="0" fontId="4" fillId="0" borderId="0" xfId="31"/>
    <xf numFmtId="0" fontId="22" fillId="7" borderId="3" xfId="0" applyFont="1" applyFill="1" applyBorder="1" applyAlignment="1">
      <alignment horizontal="center"/>
    </xf>
    <xf numFmtId="0" fontId="21" fillId="9" borderId="0" xfId="13" applyFont="1" applyFill="1" applyBorder="1" applyAlignment="1">
      <alignment vertical="top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31" fillId="9" borderId="0" xfId="13" applyFont="1" applyFill="1" applyBorder="1" applyAlignment="1"/>
    <xf numFmtId="0" fontId="21" fillId="8" borderId="13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42" fillId="0" borderId="13" xfId="31" applyFont="1" applyBorder="1" applyAlignment="1">
      <alignment horizontal="center"/>
    </xf>
    <xf numFmtId="0" fontId="42" fillId="0" borderId="15" xfId="31" applyFont="1" applyBorder="1" applyAlignment="1">
      <alignment horizontal="center"/>
    </xf>
    <xf numFmtId="0" fontId="21" fillId="8" borderId="27" xfId="0" applyFont="1" applyFill="1" applyBorder="1" applyAlignment="1">
      <alignment horizontal="center" vertical="center" wrapText="1"/>
    </xf>
    <xf numFmtId="0" fontId="42" fillId="0" borderId="27" xfId="31" applyFont="1" applyBorder="1" applyAlignment="1">
      <alignment horizontal="center"/>
    </xf>
    <xf numFmtId="0" fontId="4" fillId="9" borderId="0" xfId="31" applyFill="1"/>
    <xf numFmtId="0" fontId="4" fillId="9" borderId="0" xfId="31" applyFill="1" applyBorder="1"/>
    <xf numFmtId="0" fontId="4" fillId="9" borderId="0" xfId="31" applyFill="1" applyBorder="1" applyAlignment="1">
      <alignment horizontal="center"/>
    </xf>
    <xf numFmtId="165" fontId="0" fillId="9" borderId="0" xfId="32" applyNumberFormat="1" applyFont="1" applyFill="1" applyBorder="1" applyAlignment="1">
      <alignment horizontal="center"/>
    </xf>
    <xf numFmtId="0" fontId="37" fillId="9" borderId="0" xfId="31" applyFont="1" applyFill="1"/>
    <xf numFmtId="0" fontId="38" fillId="9" borderId="0" xfId="31" applyFont="1" applyFill="1"/>
    <xf numFmtId="2" fontId="0" fillId="9" borderId="0" xfId="33" applyNumberFormat="1" applyFont="1" applyFill="1"/>
    <xf numFmtId="165" fontId="0" fillId="9" borderId="0" xfId="32" applyNumberFormat="1" applyFont="1" applyFill="1" applyBorder="1"/>
    <xf numFmtId="0" fontId="22" fillId="7" borderId="9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3" xfId="13" applyFont="1" applyFill="1" applyBorder="1" applyAlignment="1">
      <alignment horizontal="center"/>
    </xf>
    <xf numFmtId="0" fontId="22" fillId="7" borderId="29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left" vertical="center" wrapText="1"/>
    </xf>
    <xf numFmtId="0" fontId="34" fillId="0" borderId="5" xfId="31" applyFont="1" applyFill="1" applyBorder="1" applyAlignment="1">
      <alignment horizontal="center"/>
    </xf>
    <xf numFmtId="0" fontId="34" fillId="0" borderId="23" xfId="31" applyFont="1" applyFill="1" applyBorder="1" applyAlignment="1"/>
    <xf numFmtId="0" fontId="22" fillId="7" borderId="12" xfId="0" applyFont="1" applyFill="1" applyBorder="1" applyAlignment="1">
      <alignment vertical="center" wrapText="1"/>
    </xf>
    <xf numFmtId="0" fontId="22" fillId="7" borderId="9" xfId="0" applyFont="1" applyFill="1" applyBorder="1" applyAlignment="1">
      <alignment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20" fillId="9" borderId="0" xfId="13" applyFont="1" applyFill="1" applyAlignment="1">
      <alignment horizontal="center"/>
    </xf>
    <xf numFmtId="0" fontId="20" fillId="6" borderId="3" xfId="13" applyFont="1" applyFill="1" applyBorder="1" applyAlignment="1">
      <alignment horizontal="center"/>
    </xf>
    <xf numFmtId="0" fontId="22" fillId="7" borderId="3" xfId="13" applyFont="1" applyFill="1" applyBorder="1" applyAlignment="1">
      <alignment horizontal="center"/>
    </xf>
    <xf numFmtId="0" fontId="22" fillId="7" borderId="9" xfId="13" applyFont="1" applyFill="1" applyBorder="1" applyAlignment="1">
      <alignment horizontal="center"/>
    </xf>
    <xf numFmtId="0" fontId="43" fillId="9" borderId="0" xfId="13" applyFont="1" applyFill="1"/>
    <xf numFmtId="0" fontId="44" fillId="0" borderId="0" xfId="36"/>
    <xf numFmtId="0" fontId="20" fillId="8" borderId="3" xfId="13" applyFont="1" applyFill="1" applyBorder="1" applyAlignment="1"/>
    <xf numFmtId="0" fontId="21" fillId="8" borderId="5" xfId="13" applyFont="1" applyFill="1" applyBorder="1" applyAlignment="1"/>
    <xf numFmtId="0" fontId="20" fillId="8" borderId="6" xfId="13" applyFont="1" applyFill="1" applyBorder="1" applyAlignment="1"/>
    <xf numFmtId="168" fontId="20" fillId="6" borderId="3" xfId="2" applyNumberFormat="1" applyFont="1" applyFill="1" applyBorder="1" applyAlignment="1"/>
    <xf numFmtId="168" fontId="20" fillId="6" borderId="6" xfId="2" applyNumberFormat="1" applyFont="1" applyFill="1" applyBorder="1" applyAlignment="1"/>
    <xf numFmtId="168" fontId="21" fillId="6" borderId="5" xfId="2" applyNumberFormat="1" applyFont="1" applyFill="1" applyBorder="1" applyAlignment="1"/>
    <xf numFmtId="0" fontId="22" fillId="9" borderId="0" xfId="13" applyFont="1" applyFill="1" applyBorder="1" applyAlignment="1"/>
    <xf numFmtId="0" fontId="0" fillId="9" borderId="0" xfId="0" applyFill="1" applyBorder="1" applyAlignment="1"/>
    <xf numFmtId="0" fontId="22" fillId="7" borderId="8" xfId="13" applyFont="1" applyFill="1" applyBorder="1" applyAlignment="1"/>
    <xf numFmtId="169" fontId="20" fillId="6" borderId="3" xfId="2" applyNumberFormat="1" applyFont="1" applyFill="1" applyBorder="1" applyAlignment="1">
      <alignment horizontal="center"/>
    </xf>
    <xf numFmtId="168" fontId="20" fillId="6" borderId="3" xfId="2" applyNumberFormat="1" applyFont="1" applyFill="1" applyBorder="1" applyAlignment="1">
      <alignment horizontal="center"/>
    </xf>
    <xf numFmtId="168" fontId="20" fillId="6" borderId="5" xfId="2" applyNumberFormat="1" applyFont="1" applyFill="1" applyBorder="1" applyAlignment="1">
      <alignment horizontal="center"/>
    </xf>
    <xf numFmtId="0" fontId="21" fillId="8" borderId="6" xfId="13" applyFont="1" applyFill="1" applyBorder="1" applyAlignment="1"/>
    <xf numFmtId="168" fontId="20" fillId="6" borderId="6" xfId="2" applyNumberFormat="1" applyFont="1" applyFill="1" applyBorder="1" applyAlignment="1">
      <alignment horizontal="center"/>
    </xf>
    <xf numFmtId="169" fontId="20" fillId="6" borderId="6" xfId="2" applyNumberFormat="1" applyFont="1" applyFill="1" applyBorder="1" applyAlignment="1">
      <alignment horizontal="center"/>
    </xf>
    <xf numFmtId="9" fontId="20" fillId="6" borderId="3" xfId="10" applyFont="1" applyFill="1" applyBorder="1" applyAlignment="1">
      <alignment horizontal="center"/>
    </xf>
    <xf numFmtId="9" fontId="20" fillId="6" borderId="6" xfId="10" applyFont="1" applyFill="1" applyBorder="1" applyAlignment="1">
      <alignment horizontal="center"/>
    </xf>
    <xf numFmtId="168" fontId="20" fillId="6" borderId="12" xfId="2" applyNumberFormat="1" applyFont="1" applyFill="1" applyBorder="1" applyAlignment="1"/>
    <xf numFmtId="1" fontId="20" fillId="9" borderId="13" xfId="0" applyNumberFormat="1" applyFont="1" applyFill="1" applyBorder="1" applyAlignment="1">
      <alignment horizontal="center" vertical="center" wrapText="1"/>
    </xf>
    <xf numFmtId="1" fontId="20" fillId="9" borderId="4" xfId="0" applyNumberFormat="1" applyFont="1" applyFill="1" applyBorder="1" applyAlignment="1">
      <alignment horizontal="center" vertical="center" wrapText="1"/>
    </xf>
    <xf numFmtId="1" fontId="20" fillId="9" borderId="14" xfId="0" applyNumberFormat="1" applyFont="1" applyFill="1" applyBorder="1" applyAlignment="1">
      <alignment horizontal="center" vertical="center" wrapText="1"/>
    </xf>
    <xf numFmtId="1" fontId="25" fillId="0" borderId="3" xfId="32" applyNumberFormat="1" applyFont="1" applyBorder="1" applyAlignment="1">
      <alignment horizontal="center" vertical="center"/>
    </xf>
    <xf numFmtId="0" fontId="34" fillId="0" borderId="3" xfId="31" applyFont="1" applyBorder="1" applyAlignment="1">
      <alignment horizontal="center"/>
    </xf>
    <xf numFmtId="0" fontId="22" fillId="7" borderId="3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right"/>
    </xf>
    <xf numFmtId="6" fontId="21" fillId="9" borderId="0" xfId="0" applyNumberFormat="1" applyFont="1" applyFill="1" applyBorder="1"/>
    <xf numFmtId="9" fontId="25" fillId="0" borderId="9" xfId="10" applyFont="1" applyBorder="1" applyAlignment="1">
      <alignment horizontal="center" vertical="center"/>
    </xf>
    <xf numFmtId="0" fontId="22" fillId="7" borderId="3" xfId="13" applyFont="1" applyFill="1" applyBorder="1" applyAlignment="1">
      <alignment horizontal="center"/>
    </xf>
    <xf numFmtId="0" fontId="21" fillId="9" borderId="24" xfId="0" applyFont="1" applyFill="1" applyBorder="1" applyAlignment="1"/>
    <xf numFmtId="0" fontId="21" fillId="0" borderId="10" xfId="0" applyFont="1" applyBorder="1" applyAlignment="1">
      <alignment horizontal="right"/>
    </xf>
    <xf numFmtId="0" fontId="0" fillId="9" borderId="0" xfId="0" applyFill="1" applyBorder="1" applyAlignment="1">
      <alignment horizontal="left"/>
    </xf>
    <xf numFmtId="0" fontId="21" fillId="9" borderId="0" xfId="13" applyFont="1" applyFill="1" applyBorder="1" applyAlignment="1">
      <alignment vertical="top"/>
    </xf>
    <xf numFmtId="3" fontId="20" fillId="9" borderId="20" xfId="13" applyNumberFormat="1" applyFont="1" applyFill="1" applyBorder="1" applyAlignment="1">
      <alignment horizontal="center"/>
    </xf>
    <xf numFmtId="0" fontId="2" fillId="9" borderId="0" xfId="31" applyFont="1" applyFill="1"/>
    <xf numFmtId="9" fontId="25" fillId="10" borderId="9" xfId="1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/>
    </xf>
    <xf numFmtId="169" fontId="21" fillId="6" borderId="5" xfId="2" applyNumberFormat="1" applyFont="1" applyFill="1" applyBorder="1" applyAlignment="1">
      <alignment horizontal="center"/>
    </xf>
    <xf numFmtId="169" fontId="21" fillId="6" borderId="3" xfId="2" applyNumberFormat="1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right"/>
    </xf>
    <xf numFmtId="170" fontId="20" fillId="5" borderId="17" xfId="0" applyNumberFormat="1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 vertical="center" wrapText="1"/>
    </xf>
    <xf numFmtId="168" fontId="20" fillId="4" borderId="3" xfId="2" applyNumberFormat="1" applyFont="1" applyFill="1" applyBorder="1" applyAlignment="1">
      <alignment horizontal="left" vertical="center" wrapText="1"/>
    </xf>
    <xf numFmtId="0" fontId="22" fillId="7" borderId="22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34" fillId="0" borderId="12" xfId="31" applyFont="1" applyFill="1" applyBorder="1" applyAlignment="1">
      <alignment horizontal="right"/>
    </xf>
    <xf numFmtId="171" fontId="20" fillId="0" borderId="17" xfId="3" applyNumberFormat="1" applyFont="1" applyFill="1" applyBorder="1" applyAlignment="1"/>
    <xf numFmtId="171" fontId="20" fillId="5" borderId="17" xfId="3" applyNumberFormat="1" applyFont="1" applyFill="1" applyBorder="1" applyAlignment="1"/>
    <xf numFmtId="171" fontId="20" fillId="0" borderId="27" xfId="3" applyNumberFormat="1" applyFont="1" applyFill="1" applyBorder="1" applyAlignment="1"/>
    <xf numFmtId="171" fontId="20" fillId="5" borderId="27" xfId="3" applyNumberFormat="1" applyFont="1" applyFill="1" applyBorder="1" applyAlignment="1"/>
    <xf numFmtId="171" fontId="20" fillId="0" borderId="5" xfId="3" applyNumberFormat="1" applyFont="1" applyFill="1" applyBorder="1" applyAlignment="1"/>
    <xf numFmtId="171" fontId="20" fillId="5" borderId="5" xfId="3" applyNumberFormat="1" applyFont="1" applyFill="1" applyBorder="1" applyAlignment="1"/>
    <xf numFmtId="171" fontId="24" fillId="5" borderId="5" xfId="0" applyNumberFormat="1" applyFont="1" applyFill="1" applyBorder="1" applyAlignment="1">
      <alignment horizontal="right"/>
    </xf>
    <xf numFmtId="171" fontId="20" fillId="5" borderId="31" xfId="3" applyNumberFormat="1" applyFont="1" applyFill="1" applyBorder="1" applyAlignment="1"/>
    <xf numFmtId="171" fontId="20" fillId="5" borderId="7" xfId="3" applyNumberFormat="1" applyFont="1" applyFill="1" applyBorder="1" applyAlignment="1"/>
    <xf numFmtId="171" fontId="27" fillId="0" borderId="5" xfId="3" applyNumberFormat="1" applyFont="1" applyFill="1" applyBorder="1" applyAlignment="1">
      <alignment horizontal="center" vertical="center"/>
    </xf>
    <xf numFmtId="171" fontId="20" fillId="4" borderId="3" xfId="3" applyNumberFormat="1" applyFont="1" applyFill="1" applyBorder="1" applyAlignment="1">
      <alignment horizontal="right"/>
    </xf>
    <xf numFmtId="171" fontId="20" fillId="5" borderId="3" xfId="3" applyNumberFormat="1" applyFont="1" applyFill="1" applyBorder="1" applyAlignment="1">
      <alignment horizontal="right"/>
    </xf>
    <xf numFmtId="171" fontId="20" fillId="5" borderId="15" xfId="3" applyNumberFormat="1" applyFont="1" applyFill="1" applyBorder="1" applyAlignment="1">
      <alignment horizontal="right"/>
    </xf>
    <xf numFmtId="171" fontId="20" fillId="0" borderId="17" xfId="3" applyNumberFormat="1" applyFont="1" applyFill="1" applyBorder="1" applyAlignment="1">
      <alignment horizontal="right"/>
    </xf>
    <xf numFmtId="171" fontId="20" fillId="5" borderId="27" xfId="3" applyNumberFormat="1" applyFont="1" applyFill="1" applyBorder="1" applyAlignment="1">
      <alignment horizontal="right"/>
    </xf>
    <xf numFmtId="171" fontId="20" fillId="0" borderId="27" xfId="3" applyNumberFormat="1" applyFont="1" applyFill="1" applyBorder="1" applyAlignment="1">
      <alignment horizontal="right"/>
    </xf>
    <xf numFmtId="171" fontId="21" fillId="5" borderId="5" xfId="3" applyNumberFormat="1" applyFont="1" applyFill="1" applyBorder="1" applyAlignment="1">
      <alignment horizontal="right"/>
    </xf>
    <xf numFmtId="171" fontId="21" fillId="0" borderId="5" xfId="3" applyNumberFormat="1" applyFont="1" applyFill="1" applyBorder="1" applyAlignment="1">
      <alignment horizontal="right"/>
    </xf>
    <xf numFmtId="171" fontId="20" fillId="5" borderId="13" xfId="35" applyNumberFormat="1" applyFont="1" applyFill="1" applyBorder="1" applyAlignment="1">
      <alignment horizontal="right"/>
    </xf>
    <xf numFmtId="171" fontId="20" fillId="5" borderId="15" xfId="35" applyNumberFormat="1" applyFont="1" applyFill="1" applyBorder="1" applyAlignment="1">
      <alignment horizontal="right"/>
    </xf>
    <xf numFmtId="171" fontId="20" fillId="5" borderId="27" xfId="35" applyNumberFormat="1" applyFont="1" applyFill="1" applyBorder="1" applyAlignment="1">
      <alignment horizontal="right"/>
    </xf>
    <xf numFmtId="171" fontId="34" fillId="5" borderId="5" xfId="32" applyNumberFormat="1" applyFont="1" applyFill="1" applyBorder="1" applyAlignment="1">
      <alignment horizontal="right"/>
    </xf>
    <xf numFmtId="171" fontId="20" fillId="0" borderId="13" xfId="35" applyNumberFormat="1" applyFont="1" applyFill="1" applyBorder="1" applyAlignment="1">
      <alignment horizontal="right"/>
    </xf>
    <xf numFmtId="171" fontId="20" fillId="0" borderId="15" xfId="35" applyNumberFormat="1" applyFont="1" applyFill="1" applyBorder="1" applyAlignment="1">
      <alignment horizontal="right"/>
    </xf>
    <xf numFmtId="171" fontId="20" fillId="0" borderId="27" xfId="35" applyNumberFormat="1" applyFont="1" applyFill="1" applyBorder="1" applyAlignment="1">
      <alignment horizontal="right"/>
    </xf>
    <xf numFmtId="171" fontId="34" fillId="0" borderId="5" xfId="32" applyNumberFormat="1" applyFont="1" applyFill="1" applyBorder="1" applyAlignment="1">
      <alignment horizontal="right"/>
    </xf>
    <xf numFmtId="171" fontId="20" fillId="10" borderId="13" xfId="0" applyNumberFormat="1" applyFont="1" applyFill="1" applyBorder="1" applyAlignment="1">
      <alignment horizontal="right" vertical="center" wrapText="1"/>
    </xf>
    <xf numFmtId="171" fontId="20" fillId="9" borderId="13" xfId="0" applyNumberFormat="1" applyFont="1" applyFill="1" applyBorder="1" applyAlignment="1">
      <alignment horizontal="right" vertical="center" wrapText="1"/>
    </xf>
    <xf numFmtId="171" fontId="20" fillId="10" borderId="4" xfId="0" applyNumberFormat="1" applyFont="1" applyFill="1" applyBorder="1" applyAlignment="1">
      <alignment horizontal="right" vertical="center" wrapText="1"/>
    </xf>
    <xf numFmtId="171" fontId="20" fillId="9" borderId="4" xfId="0" applyNumberFormat="1" applyFont="1" applyFill="1" applyBorder="1" applyAlignment="1">
      <alignment horizontal="right" vertical="center" wrapText="1"/>
    </xf>
    <xf numFmtId="171" fontId="20" fillId="0" borderId="14" xfId="0" applyNumberFormat="1" applyFont="1" applyFill="1" applyBorder="1" applyAlignment="1">
      <alignment horizontal="right" vertical="center" wrapText="1"/>
    </xf>
    <xf numFmtId="171" fontId="20" fillId="10" borderId="14" xfId="0" applyNumberFormat="1" applyFont="1" applyFill="1" applyBorder="1" applyAlignment="1">
      <alignment horizontal="right" vertical="center" wrapText="1"/>
    </xf>
    <xf numFmtId="171" fontId="20" fillId="0" borderId="13" xfId="0" applyNumberFormat="1" applyFont="1" applyFill="1" applyBorder="1" applyAlignment="1">
      <alignment horizontal="right" vertical="center" wrapText="1"/>
    </xf>
    <xf numFmtId="171" fontId="20" fillId="0" borderId="3" xfId="0" applyNumberFormat="1" applyFont="1" applyFill="1" applyBorder="1" applyAlignment="1">
      <alignment horizontal="right" vertical="center" wrapText="1"/>
    </xf>
    <xf numFmtId="171" fontId="20" fillId="5" borderId="17" xfId="3" applyNumberFormat="1" applyFont="1" applyFill="1" applyBorder="1"/>
    <xf numFmtId="171" fontId="20" fillId="0" borderId="17" xfId="3" applyNumberFormat="1" applyFont="1" applyFill="1" applyBorder="1"/>
    <xf numFmtId="171" fontId="20" fillId="0" borderId="17" xfId="0" applyNumberFormat="1" applyFont="1" applyFill="1" applyBorder="1"/>
    <xf numFmtId="171" fontId="20" fillId="5" borderId="27" xfId="3" applyNumberFormat="1" applyFont="1" applyFill="1" applyBorder="1"/>
    <xf numFmtId="171" fontId="20" fillId="0" borderId="27" xfId="3" applyNumberFormat="1" applyFont="1" applyFill="1" applyBorder="1"/>
    <xf numFmtId="171" fontId="20" fillId="0" borderId="27" xfId="0" applyNumberFormat="1" applyFont="1" applyFill="1" applyBorder="1"/>
    <xf numFmtId="171" fontId="21" fillId="5" borderId="5" xfId="3" applyNumberFormat="1" applyFont="1" applyFill="1" applyBorder="1" applyAlignment="1"/>
    <xf numFmtId="171" fontId="21" fillId="0" borderId="5" xfId="3" applyNumberFormat="1" applyFont="1" applyFill="1" applyBorder="1"/>
    <xf numFmtId="171" fontId="21" fillId="0" borderId="5" xfId="0" applyNumberFormat="1" applyFont="1" applyFill="1" applyBorder="1"/>
    <xf numFmtId="171" fontId="20" fillId="5" borderId="17" xfId="3" applyNumberFormat="1" applyFont="1" applyFill="1" applyBorder="1" applyAlignment="1">
      <alignment horizontal="center"/>
    </xf>
    <xf numFmtId="171" fontId="20" fillId="5" borderId="27" xfId="3" applyNumberFormat="1" applyFont="1" applyFill="1" applyBorder="1" applyAlignment="1">
      <alignment horizontal="center"/>
    </xf>
    <xf numFmtId="171" fontId="21" fillId="5" borderId="5" xfId="0" applyNumberFormat="1" applyFont="1" applyFill="1" applyBorder="1" applyAlignment="1"/>
    <xf numFmtId="171" fontId="20" fillId="0" borderId="17" xfId="3" applyNumberFormat="1" applyFont="1" applyFill="1" applyBorder="1" applyAlignment="1">
      <alignment horizontal="center"/>
    </xf>
    <xf numFmtId="171" fontId="21" fillId="0" borderId="33" xfId="0" applyNumberFormat="1" applyFont="1" applyBorder="1" applyAlignment="1">
      <alignment horizontal="right"/>
    </xf>
    <xf numFmtId="171" fontId="29" fillId="6" borderId="3" xfId="13" applyNumberFormat="1" applyFont="1" applyFill="1" applyBorder="1" applyAlignment="1">
      <alignment horizontal="center" vertical="center" wrapText="1"/>
    </xf>
    <xf numFmtId="171" fontId="20" fillId="0" borderId="27" xfId="3" applyNumberFormat="1" applyFont="1" applyFill="1" applyBorder="1" applyAlignment="1">
      <alignment horizontal="center"/>
    </xf>
    <xf numFmtId="171" fontId="13" fillId="9" borderId="5" xfId="0" applyNumberFormat="1" applyFont="1" applyFill="1" applyBorder="1"/>
    <xf numFmtId="171" fontId="13" fillId="5" borderId="5" xfId="0" applyNumberFormat="1" applyFont="1" applyFill="1" applyBorder="1"/>
    <xf numFmtId="171" fontId="21" fillId="5" borderId="18" xfId="0" applyNumberFormat="1" applyFont="1" applyFill="1" applyBorder="1" applyAlignment="1">
      <alignment horizontal="right"/>
    </xf>
    <xf numFmtId="171" fontId="21" fillId="5" borderId="28" xfId="0" applyNumberFormat="1" applyFont="1" applyFill="1" applyBorder="1" applyAlignment="1">
      <alignment horizontal="right"/>
    </xf>
    <xf numFmtId="172" fontId="20" fillId="0" borderId="13" xfId="0" applyNumberFormat="1" applyFont="1" applyBorder="1" applyAlignment="1">
      <alignment horizontal="right"/>
    </xf>
    <xf numFmtId="172" fontId="20" fillId="0" borderId="16" xfId="3" applyNumberFormat="1" applyFont="1" applyBorder="1" applyAlignment="1">
      <alignment horizontal="right"/>
    </xf>
    <xf numFmtId="172" fontId="20" fillId="0" borderId="17" xfId="0" applyNumberFormat="1" applyFont="1" applyBorder="1" applyAlignment="1">
      <alignment horizontal="right"/>
    </xf>
    <xf numFmtId="172" fontId="20" fillId="0" borderId="15" xfId="0" applyNumberFormat="1" applyFont="1" applyBorder="1" applyAlignment="1">
      <alignment horizontal="right"/>
    </xf>
    <xf numFmtId="172" fontId="20" fillId="0" borderId="15" xfId="3" applyNumberFormat="1" applyFont="1" applyBorder="1" applyAlignment="1">
      <alignment horizontal="right"/>
    </xf>
    <xf numFmtId="172" fontId="20" fillId="0" borderId="14" xfId="3" applyNumberFormat="1" applyFont="1" applyBorder="1" applyAlignment="1">
      <alignment horizontal="right"/>
    </xf>
    <xf numFmtId="171" fontId="20" fillId="6" borderId="3" xfId="3" applyNumberFormat="1" applyFont="1" applyFill="1" applyBorder="1"/>
    <xf numFmtId="171" fontId="20" fillId="6" borderId="6" xfId="3" applyNumberFormat="1" applyFont="1" applyFill="1" applyBorder="1"/>
    <xf numFmtId="171" fontId="21" fillId="6" borderId="5" xfId="3" applyNumberFormat="1" applyFont="1" applyFill="1" applyBorder="1"/>
    <xf numFmtId="172" fontId="21" fillId="8" borderId="3" xfId="3" applyNumberFormat="1" applyFont="1" applyFill="1" applyBorder="1" applyAlignment="1"/>
    <xf numFmtId="0" fontId="20" fillId="9" borderId="13" xfId="0" applyFont="1" applyFill="1" applyBorder="1" applyAlignment="1">
      <alignment horizontal="left" vertical="center" wrapText="1"/>
    </xf>
    <xf numFmtId="0" fontId="20" fillId="9" borderId="4" xfId="0" applyFont="1" applyFill="1" applyBorder="1" applyAlignment="1">
      <alignment horizontal="left" vertical="center" wrapText="1"/>
    </xf>
    <xf numFmtId="0" fontId="20" fillId="9" borderId="14" xfId="0" applyFont="1" applyFill="1" applyBorder="1" applyAlignment="1">
      <alignment horizontal="left" vertical="center" wrapText="1"/>
    </xf>
    <xf numFmtId="0" fontId="1" fillId="9" borderId="0" xfId="31" applyFont="1" applyFill="1"/>
    <xf numFmtId="0" fontId="1" fillId="10" borderId="3" xfId="31" applyFont="1" applyFill="1" applyBorder="1" applyAlignment="1">
      <alignment horizontal="center"/>
    </xf>
    <xf numFmtId="0" fontId="22" fillId="7" borderId="12" xfId="13" applyFont="1" applyFill="1" applyBorder="1" applyAlignment="1">
      <alignment horizontal="center"/>
    </xf>
    <xf numFmtId="0" fontId="22" fillId="7" borderId="9" xfId="13" applyFont="1" applyFill="1" applyBorder="1" applyAlignment="1">
      <alignment horizontal="center"/>
    </xf>
    <xf numFmtId="168" fontId="20" fillId="10" borderId="3" xfId="2" applyNumberFormat="1" applyFont="1" applyFill="1" applyBorder="1" applyAlignment="1">
      <alignment horizontal="center"/>
    </xf>
    <xf numFmtId="173" fontId="20" fillId="6" borderId="5" xfId="2" applyNumberFormat="1" applyFont="1" applyFill="1" applyBorder="1" applyAlignment="1">
      <alignment horizontal="center"/>
    </xf>
    <xf numFmtId="168" fontId="20" fillId="10" borderId="6" xfId="2" applyNumberFormat="1" applyFont="1" applyFill="1" applyBorder="1" applyAlignment="1">
      <alignment horizontal="center"/>
    </xf>
    <xf numFmtId="43" fontId="20" fillId="6" borderId="5" xfId="2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4" fontId="20" fillId="0" borderId="27" xfId="0" applyNumberFormat="1" applyFont="1" applyFill="1" applyBorder="1" applyAlignment="1">
      <alignment horizontal="center"/>
    </xf>
    <xf numFmtId="0" fontId="22" fillId="7" borderId="3" xfId="0" applyFont="1" applyFill="1" applyBorder="1" applyAlignment="1">
      <alignment horizontal="left"/>
    </xf>
    <xf numFmtId="0" fontId="22" fillId="7" borderId="3" xfId="0" applyFont="1" applyFill="1" applyBorder="1"/>
    <xf numFmtId="0" fontId="21" fillId="8" borderId="3" xfId="0" applyFont="1" applyFill="1" applyBorder="1" applyAlignment="1">
      <alignment horizontal="left"/>
    </xf>
    <xf numFmtId="166" fontId="20" fillId="4" borderId="3" xfId="3" applyNumberFormat="1" applyFont="1" applyFill="1" applyBorder="1"/>
    <xf numFmtId="0" fontId="21" fillId="9" borderId="0" xfId="0" applyFont="1" applyFill="1" applyAlignment="1">
      <alignment horizontal="left" wrapText="1"/>
    </xf>
    <xf numFmtId="0" fontId="21" fillId="8" borderId="13" xfId="0" applyFont="1" applyFill="1" applyBorder="1" applyAlignment="1">
      <alignment horizontal="left"/>
    </xf>
    <xf numFmtId="166" fontId="20" fillId="4" borderId="13" xfId="3" applyNumberFormat="1" applyFont="1" applyFill="1" applyBorder="1" applyAlignment="1">
      <alignment horizontal="right"/>
    </xf>
    <xf numFmtId="0" fontId="21" fillId="8" borderId="15" xfId="0" applyFont="1" applyFill="1" applyBorder="1" applyAlignment="1">
      <alignment horizontal="left"/>
    </xf>
    <xf numFmtId="166" fontId="20" fillId="4" borderId="15" xfId="3" applyNumberFormat="1" applyFont="1" applyFill="1" applyBorder="1" applyAlignment="1">
      <alignment horizontal="right"/>
    </xf>
    <xf numFmtId="166" fontId="20" fillId="4" borderId="15" xfId="3" applyNumberFormat="1" applyFont="1" applyFill="1" applyBorder="1" applyAlignment="1">
      <alignment horizontal="right" vertical="center"/>
    </xf>
    <xf numFmtId="0" fontId="21" fillId="8" borderId="14" xfId="0" applyFont="1" applyFill="1" applyBorder="1" applyAlignment="1">
      <alignment horizontal="left" wrapText="1"/>
    </xf>
    <xf numFmtId="166" fontId="20" fillId="4" borderId="14" xfId="3" applyNumberFormat="1" applyFont="1" applyFill="1" applyBorder="1" applyAlignment="1">
      <alignment horizontal="right" vertical="center"/>
    </xf>
    <xf numFmtId="0" fontId="26" fillId="7" borderId="6" xfId="9" applyFont="1" applyFill="1" applyBorder="1" applyAlignment="1">
      <alignment horizontal="center" vertical="center"/>
    </xf>
    <xf numFmtId="0" fontId="29" fillId="8" borderId="10" xfId="9" applyFont="1" applyFill="1" applyBorder="1" applyAlignment="1">
      <alignment horizontal="center" vertical="center" wrapText="1"/>
    </xf>
    <xf numFmtId="0" fontId="29" fillId="8" borderId="18" xfId="9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6" fontId="25" fillId="0" borderId="22" xfId="0" applyNumberFormat="1" applyFont="1" applyFill="1" applyBorder="1" applyAlignment="1">
      <alignment horizontal="right"/>
    </xf>
    <xf numFmtId="6" fontId="25" fillId="0" borderId="23" xfId="0" applyNumberFormat="1" applyFont="1" applyFill="1" applyBorder="1" applyAlignment="1">
      <alignment horizontal="right"/>
    </xf>
    <xf numFmtId="6" fontId="25" fillId="0" borderId="21" xfId="0" applyNumberFormat="1" applyFont="1" applyFill="1" applyBorder="1" applyAlignment="1">
      <alignment horizontal="right"/>
    </xf>
    <xf numFmtId="0" fontId="22" fillId="7" borderId="1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 wrapText="1"/>
    </xf>
    <xf numFmtId="0" fontId="22" fillId="7" borderId="7" xfId="0" applyFont="1" applyFill="1" applyBorder="1" applyAlignment="1">
      <alignment horizontal="center" wrapText="1"/>
    </xf>
    <xf numFmtId="0" fontId="32" fillId="7" borderId="12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left"/>
    </xf>
    <xf numFmtId="0" fontId="29" fillId="8" borderId="3" xfId="0" applyFont="1" applyFill="1" applyBorder="1" applyAlignment="1">
      <alignment horizontal="left"/>
    </xf>
    <xf numFmtId="0" fontId="22" fillId="7" borderId="11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/>
    </xf>
    <xf numFmtId="0" fontId="21" fillId="8" borderId="9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2" fillId="7" borderId="1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right" vertical="center"/>
    </xf>
    <xf numFmtId="0" fontId="34" fillId="0" borderId="12" xfId="31" applyFont="1" applyBorder="1" applyAlignment="1">
      <alignment horizontal="right"/>
    </xf>
    <xf numFmtId="0" fontId="34" fillId="0" borderId="2" xfId="31" applyFont="1" applyBorder="1" applyAlignment="1">
      <alignment horizontal="right"/>
    </xf>
    <xf numFmtId="0" fontId="34" fillId="0" borderId="9" xfId="31" applyFont="1" applyBorder="1" applyAlignment="1">
      <alignment horizontal="right"/>
    </xf>
    <xf numFmtId="0" fontId="22" fillId="7" borderId="8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9" fillId="8" borderId="3" xfId="13" applyFont="1" applyFill="1" applyBorder="1" applyAlignment="1">
      <alignment horizontal="center" vertical="center" wrapText="1"/>
    </xf>
    <xf numFmtId="171" fontId="29" fillId="6" borderId="3" xfId="3" applyNumberFormat="1" applyFont="1" applyFill="1" applyBorder="1" applyAlignment="1">
      <alignment horizontal="center" vertical="center" wrapText="1"/>
    </xf>
    <xf numFmtId="0" fontId="32" fillId="7" borderId="12" xfId="13" applyFont="1" applyFill="1" applyBorder="1" applyAlignment="1">
      <alignment horizontal="center" vertical="center" wrapText="1"/>
    </xf>
    <xf numFmtId="0" fontId="32" fillId="7" borderId="2" xfId="13" applyFont="1" applyFill="1" applyBorder="1" applyAlignment="1">
      <alignment horizontal="center" vertical="center" wrapText="1"/>
    </xf>
    <xf numFmtId="0" fontId="32" fillId="7" borderId="9" xfId="13" applyFont="1" applyFill="1" applyBorder="1" applyAlignment="1">
      <alignment horizontal="center" vertical="center" wrapText="1"/>
    </xf>
    <xf numFmtId="0" fontId="32" fillId="7" borderId="3" xfId="13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2" fillId="7" borderId="7" xfId="0" applyFont="1" applyFill="1" applyBorder="1" applyAlignment="1">
      <alignment horizontal="center" vertical="center" wrapText="1"/>
    </xf>
    <xf numFmtId="0" fontId="22" fillId="7" borderId="12" xfId="13" applyFont="1" applyFill="1" applyBorder="1" applyAlignment="1">
      <alignment horizontal="center"/>
    </xf>
    <xf numFmtId="0" fontId="22" fillId="7" borderId="9" xfId="13" applyFont="1" applyFill="1" applyBorder="1" applyAlignment="1">
      <alignment horizontal="center"/>
    </xf>
    <xf numFmtId="0" fontId="20" fillId="0" borderId="3" xfId="0" applyFont="1" applyBorder="1" applyAlignment="1">
      <alignment horizontal="left" wrapText="1"/>
    </xf>
    <xf numFmtId="0" fontId="20" fillId="9" borderId="3" xfId="0" applyFont="1" applyFill="1" applyBorder="1" applyAlignment="1">
      <alignment horizontal="left"/>
    </xf>
    <xf numFmtId="0" fontId="22" fillId="7" borderId="8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 wrapText="1"/>
    </xf>
    <xf numFmtId="171" fontId="29" fillId="6" borderId="3" xfId="13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 wrapText="1"/>
    </xf>
    <xf numFmtId="0" fontId="22" fillId="7" borderId="3" xfId="13" applyFont="1" applyFill="1" applyBorder="1" applyAlignment="1">
      <alignment horizontal="center"/>
    </xf>
    <xf numFmtId="0" fontId="20" fillId="7" borderId="8" xfId="13" applyFont="1" applyFill="1" applyBorder="1" applyAlignment="1">
      <alignment horizontal="center"/>
    </xf>
    <xf numFmtId="0" fontId="20" fillId="7" borderId="5" xfId="13" applyFont="1" applyFill="1" applyBorder="1" applyAlignment="1">
      <alignment horizontal="center"/>
    </xf>
    <xf numFmtId="165" fontId="21" fillId="0" borderId="10" xfId="0" applyNumberFormat="1" applyFont="1" applyBorder="1" applyAlignment="1">
      <alignment horizontal="right"/>
    </xf>
    <xf numFmtId="165" fontId="21" fillId="0" borderId="28" xfId="0" applyNumberFormat="1" applyFont="1" applyBorder="1" applyAlignment="1">
      <alignment horizontal="right"/>
    </xf>
    <xf numFmtId="165" fontId="21" fillId="0" borderId="18" xfId="0" applyNumberFormat="1" applyFont="1" applyBorder="1" applyAlignment="1">
      <alignment horizontal="right"/>
    </xf>
    <xf numFmtId="0" fontId="22" fillId="7" borderId="5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left" wrapText="1"/>
    </xf>
    <xf numFmtId="0" fontId="0" fillId="9" borderId="12" xfId="0" applyFill="1" applyBorder="1" applyAlignment="1">
      <alignment horizontal="left"/>
    </xf>
    <xf numFmtId="0" fontId="0" fillId="9" borderId="9" xfId="0" applyFill="1" applyBorder="1" applyAlignment="1">
      <alignment horizontal="left"/>
    </xf>
  </cellXfs>
  <cellStyles count="37">
    <cellStyle name="active" xfId="1" xr:uid="{00000000-0005-0000-0000-000000000000}"/>
    <cellStyle name="Comma" xfId="2" builtinId="3"/>
    <cellStyle name="Comma 2" xfId="14" xr:uid="{00000000-0005-0000-0000-000002000000}"/>
    <cellStyle name="Comma 3" xfId="24" xr:uid="{00000000-0005-0000-0000-000003000000}"/>
    <cellStyle name="Comma 4" xfId="34" xr:uid="{B314593C-B056-4326-B550-3800D60DC842}"/>
    <cellStyle name="Comma 4 2" xfId="27" xr:uid="{AE6857C9-D639-4B27-B668-4C520CC60211}"/>
    <cellStyle name="Currency" xfId="3" builtinId="4"/>
    <cellStyle name="Currency 2" xfId="28" xr:uid="{C14D5CEE-8BDE-45A8-A5EC-4BDC800DCA11}"/>
    <cellStyle name="Currency 2 2" xfId="21" xr:uid="{00000000-0005-0000-0000-000005000000}"/>
    <cellStyle name="Currency 3" xfId="22" xr:uid="{00000000-0005-0000-0000-000006000000}"/>
    <cellStyle name="Currency 4" xfId="32" xr:uid="{1DCD3180-B863-415D-9AE6-0777C48B8838}"/>
    <cellStyle name="Currency 4 2" xfId="35" xr:uid="{738BF59D-7947-4496-AC4C-96EABD024925}"/>
    <cellStyle name="Currency 8" xfId="18" xr:uid="{00000000-0005-0000-0000-000007000000}"/>
    <cellStyle name="Grey" xfId="4" xr:uid="{00000000-0005-0000-0000-000008000000}"/>
    <cellStyle name="Header1" xfId="5" xr:uid="{00000000-0005-0000-0000-000009000000}"/>
    <cellStyle name="Header2" xfId="6" xr:uid="{00000000-0005-0000-0000-00000A000000}"/>
    <cellStyle name="Hyperlink" xfId="36" builtinId="8"/>
    <cellStyle name="Hyperlink 2" xfId="29" xr:uid="{D8D2B306-04C1-4812-8C6F-26FEE931DDA3}"/>
    <cellStyle name="Input [yellow]" xfId="7" xr:uid="{00000000-0005-0000-0000-00000C000000}"/>
    <cellStyle name="Normal" xfId="0" builtinId="0"/>
    <cellStyle name="Normal - Style1" xfId="8" xr:uid="{00000000-0005-0000-0000-00000E000000}"/>
    <cellStyle name="Normal 11" xfId="17" xr:uid="{00000000-0005-0000-0000-00000F000000}"/>
    <cellStyle name="Normal 11 2" xfId="25" xr:uid="{00000000-0005-0000-0000-000010000000}"/>
    <cellStyle name="Normal 16" xfId="13" xr:uid="{00000000-0005-0000-0000-000011000000}"/>
    <cellStyle name="Normal 2" xfId="9" xr:uid="{00000000-0005-0000-0000-000012000000}"/>
    <cellStyle name="Normal 2 2" xfId="20" xr:uid="{00000000-0005-0000-0000-000013000000}"/>
    <cellStyle name="Normal 3" xfId="26" xr:uid="{078A139F-4F1B-4FEB-B837-880CBB0954E6}"/>
    <cellStyle name="Normal 4" xfId="15" xr:uid="{00000000-0005-0000-0000-000014000000}"/>
    <cellStyle name="Normal 4 2" xfId="16" xr:uid="{00000000-0005-0000-0000-000015000000}"/>
    <cellStyle name="Normal 4 3" xfId="19" xr:uid="{00000000-0005-0000-0000-000016000000}"/>
    <cellStyle name="Normal 5" xfId="23" xr:uid="{00000000-0005-0000-0000-000017000000}"/>
    <cellStyle name="Normal 6" xfId="30" xr:uid="{25233F65-2044-4ABD-93B6-7B8ECACACE0B}"/>
    <cellStyle name="Normal 7" xfId="31" xr:uid="{1183A224-93F5-4E11-976C-75437B20E09A}"/>
    <cellStyle name="Percent" xfId="10" builtinId="5"/>
    <cellStyle name="Percent [2]" xfId="11" xr:uid="{00000000-0005-0000-0000-000019000000}"/>
    <cellStyle name="Percent 2" xfId="33" xr:uid="{7BF367AD-F801-46DF-A1E4-1FBAEFE24983}"/>
    <cellStyle name="PSChar" xfId="12" xr:uid="{00000000-0005-0000-0000-00001A000000}"/>
  </cellStyles>
  <dxfs count="0"/>
  <tableStyles count="0" defaultTableStyle="TableStyleMedium9" defaultPivotStyle="PivotStyleLight16"/>
  <colors>
    <mruColors>
      <color rgb="FFFFFFCC"/>
      <color rgb="FFFEF5E4"/>
      <color rgb="FFFDB924"/>
      <color rgb="FF029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0</xdr:rowOff>
    </xdr:from>
    <xdr:to>
      <xdr:col>16</xdr:col>
      <xdr:colOff>302941</xdr:colOff>
      <xdr:row>39</xdr:row>
      <xdr:rowOff>33345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C71C12-3A80-4A67-AE10-900018E9A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4150" y="0"/>
          <a:ext cx="4932091" cy="6681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yoming%20TIGER\CBA%20Working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MCKEN~1\LOCALS~1\Temp\notesE97E9E\Template%20of%20Benefits%20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ow00\KCMDepartments\DOCUME~1\EMCKEN~1\LOCALS~1\Temp\notesE97E9E\Template%20of%20Benefits%20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Matrix"/>
      <sheetName val="START Summary"/>
      <sheetName val="START Narrative"/>
      <sheetName val="START Distance Benefit"/>
      <sheetName val="START Costs"/>
      <sheetName val="START VMT Table"/>
      <sheetName val="START Assumptions"/>
      <sheetName val="START Inside Storage Benefit"/>
      <sheetName val="START Mobility Benefit"/>
      <sheetName val="START Safety Benefit"/>
      <sheetName val="START Cost of Extra Idling"/>
      <sheetName val="START Road Cost Benefit"/>
      <sheetName val="START Parking Benefit"/>
      <sheetName val="START Remaining Capital Value"/>
      <sheetName val="START Global Benefit"/>
      <sheetName val="START Energy Cost"/>
      <sheetName val="START CNG Benefits"/>
      <sheetName val="START Value of CO2 rdctn"/>
    </sheetNames>
    <sheetDataSet>
      <sheetData sheetId="0"/>
      <sheetData sheetId="1"/>
      <sheetData sheetId="2"/>
      <sheetData sheetId="3"/>
      <sheetData sheetId="4">
        <row r="5">
          <cell r="I5">
            <v>35873401.852506503</v>
          </cell>
          <cell r="L5">
            <v>-11950617.593879221</v>
          </cell>
        </row>
      </sheetData>
      <sheetData sheetId="5"/>
      <sheetData sheetId="6">
        <row r="31">
          <cell r="B31">
            <v>2013</v>
          </cell>
        </row>
        <row r="32">
          <cell r="B32">
            <v>2015</v>
          </cell>
        </row>
        <row r="33">
          <cell r="B33">
            <v>50</v>
          </cell>
        </row>
        <row r="35">
          <cell r="B35">
            <v>7.0000000000000007E-2</v>
          </cell>
        </row>
        <row r="37">
          <cell r="B37">
            <v>0.26</v>
          </cell>
        </row>
        <row r="39">
          <cell r="B39">
            <v>0.02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I8">
            <v>101752.39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>
        <row r="2">
          <cell r="C2">
            <v>8000</v>
          </cell>
        </row>
        <row r="3">
          <cell r="C3">
            <v>0.57999999999999996</v>
          </cell>
        </row>
        <row r="4">
          <cell r="C4">
            <v>0</v>
          </cell>
        </row>
        <row r="5">
          <cell r="C5">
            <v>63</v>
          </cell>
        </row>
        <row r="6">
          <cell r="C6">
            <v>36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>
        <row r="2">
          <cell r="C2">
            <v>8000</v>
          </cell>
        </row>
        <row r="3">
          <cell r="C3">
            <v>0.57999999999999996</v>
          </cell>
        </row>
        <row r="4">
          <cell r="C4">
            <v>0</v>
          </cell>
        </row>
        <row r="5">
          <cell r="C5">
            <v>63</v>
          </cell>
        </row>
        <row r="6">
          <cell r="C6">
            <v>36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>
        <row r="2">
          <cell r="A2" t="str">
            <v>Median</v>
          </cell>
        </row>
        <row r="3">
          <cell r="A3" t="str">
            <v>NEW</v>
          </cell>
        </row>
        <row r="4">
          <cell r="A4" t="str">
            <v>EXISTING</v>
          </cell>
        </row>
      </sheetData>
      <sheetData sheetId="2">
        <row r="6">
          <cell r="B6">
            <v>155.07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ts.gov/topics/national-transportation-statistics" TargetMode="External"/><Relationship Id="rId2" Type="http://schemas.openxmlformats.org/officeDocument/2006/relationships/hyperlink" Target="https://www.bts.gov/topics/national-transportation-statistics" TargetMode="External"/><Relationship Id="rId1" Type="http://schemas.openxmlformats.org/officeDocument/2006/relationships/hyperlink" Target="https://www.bts.gov/topics/national-transportation-statistics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fmcsa.dot.gov/safety/data-and-statistics/motor-carrier-safety-progress-report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opoa.net/history/facts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wt.usace.army.mil/Missions/Navigation/Navigation-Cha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FB200"/>
  <sheetViews>
    <sheetView zoomScaleNormal="100" workbookViewId="0">
      <selection activeCell="B3" sqref="B3:C3"/>
    </sheetView>
  </sheetViews>
  <sheetFormatPr defaultRowHeight="12.75" x14ac:dyDescent="0.2"/>
  <cols>
    <col min="2" max="2" width="10.28515625" customWidth="1"/>
    <col min="3" max="3" width="11.28515625" bestFit="1" customWidth="1"/>
    <col min="4" max="4" width="18.85546875" customWidth="1"/>
    <col min="5" max="5" width="21" customWidth="1"/>
    <col min="6" max="6" width="22.42578125" customWidth="1"/>
    <col min="7" max="7" width="25" bestFit="1" customWidth="1"/>
    <col min="8" max="8" width="20.140625" bestFit="1" customWidth="1"/>
    <col min="27" max="158" width="8.85546875" style="33"/>
  </cols>
  <sheetData>
    <row r="1" spans="1:26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2.25" customHeight="1" thickBot="1" x14ac:dyDescent="0.25">
      <c r="A2" s="33"/>
      <c r="B2" s="259" t="s">
        <v>22</v>
      </c>
      <c r="C2" s="259"/>
      <c r="D2" s="6" t="s">
        <v>2</v>
      </c>
      <c r="E2" s="6" t="s">
        <v>40</v>
      </c>
      <c r="F2" s="6" t="s">
        <v>5</v>
      </c>
      <c r="G2" s="6" t="s">
        <v>23</v>
      </c>
      <c r="H2" s="6" t="s">
        <v>8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62.25" customHeight="1" thickTop="1" x14ac:dyDescent="0.2">
      <c r="A3" s="33"/>
      <c r="B3" s="260" t="str">
        <f>'Summary Table'!A1</f>
        <v>2020 BCA SUMMARY - MKARNS Mooring Modernization Project</v>
      </c>
      <c r="C3" s="261"/>
      <c r="D3" s="179">
        <f>Costs!C3</f>
        <v>26270000</v>
      </c>
      <c r="E3" s="179">
        <f>'Summary Table'!Q35</f>
        <v>16664159.704345167</v>
      </c>
      <c r="F3" s="179">
        <f>'Summary Table'!L35</f>
        <v>145651042.31516701</v>
      </c>
      <c r="G3" s="179">
        <f>'Summary Table'!M35</f>
        <v>52846404.453305908</v>
      </c>
      <c r="H3" s="7">
        <f>'Summary Table'!C4</f>
        <v>3.1712612811509633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x14ac:dyDescent="0.2">
      <c r="A6" s="33"/>
      <c r="B6" s="33"/>
      <c r="C6" s="33"/>
      <c r="D6" s="33"/>
      <c r="E6" s="33"/>
      <c r="F6" s="33"/>
      <c r="G6" s="33"/>
      <c r="H6" s="54"/>
      <c r="I6" s="54"/>
      <c r="J6" s="54"/>
      <c r="K6" s="5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x14ac:dyDescent="0.25">
      <c r="A7" s="33"/>
      <c r="B7" s="33"/>
      <c r="C7" s="33"/>
      <c r="D7" s="33"/>
      <c r="E7" s="33"/>
      <c r="F7" s="33"/>
      <c r="G7" s="33"/>
      <c r="H7" s="54"/>
      <c r="I7" s="65"/>
      <c r="J7" s="65"/>
      <c r="K7" s="54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x14ac:dyDescent="0.25">
      <c r="A8" s="33"/>
      <c r="B8" s="33"/>
      <c r="C8" s="33"/>
      <c r="D8" s="33"/>
      <c r="E8" s="33"/>
      <c r="F8" s="33"/>
      <c r="G8" s="33"/>
      <c r="H8" s="54"/>
      <c r="I8" s="65"/>
      <c r="J8" s="65"/>
      <c r="K8" s="54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x14ac:dyDescent="0.2">
      <c r="A9" s="33"/>
      <c r="B9" s="33"/>
      <c r="C9" s="33"/>
      <c r="D9" s="33"/>
      <c r="E9" s="33"/>
      <c r="F9" s="33"/>
      <c r="G9" s="33"/>
      <c r="H9" s="54"/>
      <c r="I9" s="54"/>
      <c r="J9" s="54"/>
      <c r="K9" s="54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x14ac:dyDescent="0.2">
      <c r="A10" s="33"/>
      <c r="B10" s="33"/>
      <c r="C10" s="33"/>
      <c r="D10" s="33"/>
      <c r="E10" s="33"/>
      <c r="F10" s="33"/>
      <c r="G10" s="33"/>
      <c r="H10" s="54"/>
      <c r="I10" s="54"/>
      <c r="J10" s="54"/>
      <c r="K10" s="5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s="33" customFormat="1" x14ac:dyDescent="0.2"/>
    <row r="41" spans="1:26" s="33" customFormat="1" x14ac:dyDescent="0.2"/>
    <row r="42" spans="1:26" s="33" customFormat="1" x14ac:dyDescent="0.2"/>
    <row r="43" spans="1:26" s="33" customFormat="1" x14ac:dyDescent="0.2"/>
    <row r="44" spans="1:26" s="33" customFormat="1" x14ac:dyDescent="0.2"/>
    <row r="45" spans="1:26" s="33" customFormat="1" x14ac:dyDescent="0.2"/>
    <row r="46" spans="1:26" s="33" customFormat="1" x14ac:dyDescent="0.2"/>
    <row r="47" spans="1:26" s="33" customFormat="1" x14ac:dyDescent="0.2"/>
    <row r="48" spans="1:26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  <row r="60" s="33" customFormat="1" x14ac:dyDescent="0.2"/>
    <row r="61" s="33" customFormat="1" x14ac:dyDescent="0.2"/>
    <row r="62" s="33" customFormat="1" x14ac:dyDescent="0.2"/>
    <row r="63" s="33" customFormat="1" x14ac:dyDescent="0.2"/>
    <row r="64" s="33" customFormat="1" x14ac:dyDescent="0.2"/>
    <row r="65" s="33" customFormat="1" x14ac:dyDescent="0.2"/>
    <row r="66" s="33" customFormat="1" x14ac:dyDescent="0.2"/>
    <row r="67" s="33" customFormat="1" x14ac:dyDescent="0.2"/>
    <row r="68" s="33" customFormat="1" x14ac:dyDescent="0.2"/>
    <row r="69" s="33" customFormat="1" x14ac:dyDescent="0.2"/>
    <row r="70" s="33" customFormat="1" x14ac:dyDescent="0.2"/>
    <row r="71" s="33" customFormat="1" x14ac:dyDescent="0.2"/>
    <row r="72" s="33" customFormat="1" x14ac:dyDescent="0.2"/>
    <row r="73" s="33" customFormat="1" x14ac:dyDescent="0.2"/>
    <row r="74" s="33" customFormat="1" x14ac:dyDescent="0.2"/>
    <row r="75" s="33" customFormat="1" x14ac:dyDescent="0.2"/>
    <row r="76" s="33" customFormat="1" x14ac:dyDescent="0.2"/>
    <row r="77" s="33" customFormat="1" x14ac:dyDescent="0.2"/>
    <row r="78" s="33" customFormat="1" x14ac:dyDescent="0.2"/>
    <row r="79" s="33" customFormat="1" x14ac:dyDescent="0.2"/>
    <row r="80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  <row r="112" s="33" customFormat="1" x14ac:dyDescent="0.2"/>
    <row r="113" s="33" customFormat="1" x14ac:dyDescent="0.2"/>
    <row r="114" s="33" customFormat="1" x14ac:dyDescent="0.2"/>
    <row r="115" s="33" customFormat="1" x14ac:dyDescent="0.2"/>
    <row r="116" s="33" customFormat="1" x14ac:dyDescent="0.2"/>
    <row r="117" s="33" customFormat="1" x14ac:dyDescent="0.2"/>
    <row r="118" s="33" customFormat="1" x14ac:dyDescent="0.2"/>
    <row r="119" s="33" customFormat="1" x14ac:dyDescent="0.2"/>
    <row r="120" s="33" customFormat="1" x14ac:dyDescent="0.2"/>
    <row r="121" s="33" customFormat="1" x14ac:dyDescent="0.2"/>
    <row r="122" s="33" customFormat="1" x14ac:dyDescent="0.2"/>
    <row r="123" s="33" customFormat="1" x14ac:dyDescent="0.2"/>
    <row r="124" s="33" customFormat="1" x14ac:dyDescent="0.2"/>
    <row r="125" s="33" customFormat="1" x14ac:dyDescent="0.2"/>
    <row r="126" s="33" customFormat="1" x14ac:dyDescent="0.2"/>
    <row r="127" s="33" customFormat="1" x14ac:dyDescent="0.2"/>
    <row r="128" s="33" customFormat="1" x14ac:dyDescent="0.2"/>
    <row r="129" s="33" customFormat="1" x14ac:dyDescent="0.2"/>
    <row r="130" s="33" customFormat="1" x14ac:dyDescent="0.2"/>
    <row r="131" s="33" customFormat="1" x14ac:dyDescent="0.2"/>
    <row r="132" s="33" customFormat="1" x14ac:dyDescent="0.2"/>
    <row r="133" s="33" customFormat="1" x14ac:dyDescent="0.2"/>
    <row r="134" s="33" customFormat="1" x14ac:dyDescent="0.2"/>
    <row r="135" s="33" customFormat="1" x14ac:dyDescent="0.2"/>
    <row r="136" s="33" customFormat="1" x14ac:dyDescent="0.2"/>
    <row r="137" s="33" customFormat="1" x14ac:dyDescent="0.2"/>
    <row r="138" s="33" customFormat="1" x14ac:dyDescent="0.2"/>
    <row r="139" s="33" customFormat="1" x14ac:dyDescent="0.2"/>
    <row r="140" s="33" customFormat="1" x14ac:dyDescent="0.2"/>
    <row r="141" s="33" customFormat="1" x14ac:dyDescent="0.2"/>
    <row r="142" s="33" customFormat="1" x14ac:dyDescent="0.2"/>
    <row r="143" s="33" customFormat="1" x14ac:dyDescent="0.2"/>
    <row r="144" s="33" customFormat="1" x14ac:dyDescent="0.2"/>
    <row r="145" s="33" customFormat="1" x14ac:dyDescent="0.2"/>
    <row r="146" s="33" customFormat="1" x14ac:dyDescent="0.2"/>
    <row r="147" s="33" customFormat="1" x14ac:dyDescent="0.2"/>
    <row r="148" s="33" customFormat="1" x14ac:dyDescent="0.2"/>
    <row r="149" s="33" customFormat="1" x14ac:dyDescent="0.2"/>
    <row r="150" s="33" customFormat="1" x14ac:dyDescent="0.2"/>
    <row r="151" s="33" customFormat="1" x14ac:dyDescent="0.2"/>
    <row r="152" s="33" customFormat="1" x14ac:dyDescent="0.2"/>
    <row r="153" s="33" customFormat="1" x14ac:dyDescent="0.2"/>
    <row r="154" s="33" customFormat="1" x14ac:dyDescent="0.2"/>
    <row r="155" s="33" customFormat="1" x14ac:dyDescent="0.2"/>
    <row r="156" s="33" customFormat="1" x14ac:dyDescent="0.2"/>
    <row r="157" s="33" customFormat="1" x14ac:dyDescent="0.2"/>
    <row r="158" s="33" customFormat="1" x14ac:dyDescent="0.2"/>
    <row r="159" s="33" customFormat="1" x14ac:dyDescent="0.2"/>
    <row r="160" s="33" customFormat="1" x14ac:dyDescent="0.2"/>
    <row r="161" s="33" customFormat="1" x14ac:dyDescent="0.2"/>
    <row r="162" s="33" customFormat="1" x14ac:dyDescent="0.2"/>
    <row r="163" s="33" customFormat="1" x14ac:dyDescent="0.2"/>
    <row r="164" s="33" customFormat="1" x14ac:dyDescent="0.2"/>
    <row r="165" s="33" customFormat="1" x14ac:dyDescent="0.2"/>
    <row r="166" s="33" customFormat="1" x14ac:dyDescent="0.2"/>
    <row r="167" s="33" customFormat="1" x14ac:dyDescent="0.2"/>
    <row r="168" s="33" customFormat="1" x14ac:dyDescent="0.2"/>
    <row r="169" s="33" customFormat="1" x14ac:dyDescent="0.2"/>
    <row r="170" s="33" customFormat="1" x14ac:dyDescent="0.2"/>
    <row r="171" s="33" customFormat="1" x14ac:dyDescent="0.2"/>
    <row r="172" s="33" customFormat="1" x14ac:dyDescent="0.2"/>
    <row r="173" s="33" customFormat="1" x14ac:dyDescent="0.2"/>
    <row r="174" s="33" customFormat="1" x14ac:dyDescent="0.2"/>
    <row r="175" s="33" customFormat="1" x14ac:dyDescent="0.2"/>
    <row r="176" s="33" customFormat="1" x14ac:dyDescent="0.2"/>
    <row r="177" s="33" customFormat="1" x14ac:dyDescent="0.2"/>
    <row r="178" s="33" customFormat="1" x14ac:dyDescent="0.2"/>
    <row r="179" s="33" customFormat="1" x14ac:dyDescent="0.2"/>
    <row r="180" s="33" customFormat="1" x14ac:dyDescent="0.2"/>
    <row r="181" s="33" customFormat="1" x14ac:dyDescent="0.2"/>
    <row r="182" s="33" customFormat="1" x14ac:dyDescent="0.2"/>
    <row r="183" s="33" customFormat="1" x14ac:dyDescent="0.2"/>
    <row r="184" s="33" customFormat="1" x14ac:dyDescent="0.2"/>
    <row r="185" s="33" customFormat="1" x14ac:dyDescent="0.2"/>
    <row r="186" s="33" customFormat="1" x14ac:dyDescent="0.2"/>
    <row r="187" s="33" customFormat="1" x14ac:dyDescent="0.2"/>
    <row r="188" s="33" customFormat="1" x14ac:dyDescent="0.2"/>
    <row r="189" s="33" customFormat="1" x14ac:dyDescent="0.2"/>
    <row r="190" s="33" customFormat="1" x14ac:dyDescent="0.2"/>
    <row r="191" s="33" customFormat="1" x14ac:dyDescent="0.2"/>
    <row r="192" s="33" customFormat="1" x14ac:dyDescent="0.2"/>
    <row r="193" s="33" customFormat="1" x14ac:dyDescent="0.2"/>
    <row r="194" s="33" customFormat="1" x14ac:dyDescent="0.2"/>
    <row r="195" s="33" customFormat="1" x14ac:dyDescent="0.2"/>
    <row r="196" s="33" customFormat="1" x14ac:dyDescent="0.2"/>
    <row r="197" s="33" customFormat="1" x14ac:dyDescent="0.2"/>
    <row r="198" s="33" customFormat="1" x14ac:dyDescent="0.2"/>
    <row r="199" s="33" customFormat="1" x14ac:dyDescent="0.2"/>
    <row r="200" s="33" customFormat="1" x14ac:dyDescent="0.2"/>
  </sheetData>
  <mergeCells count="2">
    <mergeCell ref="B2:C2"/>
    <mergeCell ref="B3:C3"/>
  </mergeCells>
  <pageMargins left="0.7" right="0.7" top="0.75" bottom="0.75" header="0.3" footer="0.3"/>
  <pageSetup scale="96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81F9-3E96-449E-A527-903E83E687E2}">
  <sheetPr>
    <tabColor theme="6"/>
    <pageSetUpPr fitToPage="1"/>
  </sheetPr>
  <dimension ref="A1:AZ100"/>
  <sheetViews>
    <sheetView tabSelected="1" zoomScale="90" zoomScaleNormal="90" workbookViewId="0">
      <selection activeCell="E5" sqref="E5"/>
    </sheetView>
  </sheetViews>
  <sheetFormatPr defaultRowHeight="12.75" x14ac:dyDescent="0.2"/>
  <cols>
    <col min="1" max="1" width="13.85546875" customWidth="1"/>
    <col min="2" max="2" width="16.7109375" customWidth="1"/>
    <col min="3" max="3" width="15.7109375" customWidth="1"/>
    <col min="4" max="4" width="16.140625" bestFit="1" customWidth="1"/>
    <col min="5" max="5" width="14.7109375" customWidth="1"/>
    <col min="6" max="6" width="10.7109375" customWidth="1"/>
    <col min="7" max="7" width="12.42578125" bestFit="1" customWidth="1"/>
    <col min="8" max="8" width="15.5703125" customWidth="1"/>
    <col min="9" max="9" width="21.85546875" bestFit="1" customWidth="1"/>
    <col min="10" max="10" width="15.5703125" customWidth="1"/>
    <col min="11" max="11" width="15.85546875" customWidth="1"/>
    <col min="12" max="12" width="13.7109375" customWidth="1"/>
    <col min="13" max="13" width="15.5703125" customWidth="1"/>
    <col min="14" max="14" width="10.7109375" customWidth="1"/>
    <col min="15" max="15" width="11.140625" customWidth="1"/>
    <col min="16" max="16" width="14" customWidth="1"/>
    <col min="17" max="17" width="12.28515625" customWidth="1"/>
    <col min="18" max="18" width="10.28515625" bestFit="1" customWidth="1"/>
    <col min="19" max="19" width="13.7109375" customWidth="1"/>
    <col min="20" max="26" width="10.7109375" customWidth="1"/>
  </cols>
  <sheetData>
    <row r="1" spans="1:52" ht="23.25" x14ac:dyDescent="0.35">
      <c r="A1" s="63" t="s">
        <v>214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ht="18.75" x14ac:dyDescent="0.3">
      <c r="A2" s="6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8" customHeight="1" x14ac:dyDescent="0.2">
      <c r="A3" s="278" t="s">
        <v>26</v>
      </c>
      <c r="B3" s="279"/>
      <c r="C3" s="280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9.899999999999999" customHeight="1" x14ac:dyDescent="0.3">
      <c r="A4" s="281" t="s">
        <v>29</v>
      </c>
      <c r="B4" s="281"/>
      <c r="C4" s="26">
        <f>M35/Q35</f>
        <v>3.1712612811509633</v>
      </c>
      <c r="D4" s="5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52" ht="18" customHeight="1" x14ac:dyDescent="0.25">
      <c r="A5" s="282" t="s">
        <v>28</v>
      </c>
      <c r="B5" s="282"/>
      <c r="C5" s="24">
        <f>IRR(D13:D34)</f>
        <v>0.10785407887002241</v>
      </c>
      <c r="D5" s="5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2" ht="18" customHeight="1" x14ac:dyDescent="0.25">
      <c r="A6" s="282" t="s">
        <v>27</v>
      </c>
      <c r="B6" s="282"/>
      <c r="C6" s="25">
        <f>M35-Q35</f>
        <v>36182244.748960741</v>
      </c>
      <c r="D6" s="50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:52" ht="18" customHeight="1" x14ac:dyDescent="0.25">
      <c r="A7" s="282" t="s">
        <v>7</v>
      </c>
      <c r="B7" s="282"/>
      <c r="C7" s="24">
        <v>7.0000000000000007E-2</v>
      </c>
      <c r="D7" s="50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:52" ht="18" customHeight="1" x14ac:dyDescent="0.2">
      <c r="A8" s="33"/>
      <c r="B8" s="33"/>
      <c r="C8" s="33"/>
      <c r="D8" s="5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2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2" ht="14.45" customHeight="1" x14ac:dyDescent="0.2">
      <c r="A10" s="262" t="s">
        <v>38</v>
      </c>
      <c r="B10" s="263"/>
      <c r="C10" s="263"/>
      <c r="D10" s="263"/>
      <c r="E10" s="264"/>
      <c r="F10" s="33"/>
      <c r="G10" s="271" t="s">
        <v>42</v>
      </c>
      <c r="H10" s="272"/>
      <c r="I10" s="272"/>
      <c r="J10" s="272"/>
      <c r="K10" s="272"/>
      <c r="L10" s="272"/>
      <c r="M10" s="273"/>
      <c r="N10" s="33"/>
      <c r="O10" s="262" t="s">
        <v>43</v>
      </c>
      <c r="P10" s="263"/>
      <c r="Q10" s="26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:52" ht="14.45" customHeight="1" x14ac:dyDescent="0.2">
      <c r="A11" s="265"/>
      <c r="B11" s="266"/>
      <c r="C11" s="266"/>
      <c r="D11" s="266"/>
      <c r="E11" s="267"/>
      <c r="F11" s="33"/>
      <c r="G11" s="276" t="s">
        <v>30</v>
      </c>
      <c r="H11" s="276" t="s">
        <v>32</v>
      </c>
      <c r="I11" s="83" t="s">
        <v>3</v>
      </c>
      <c r="J11" s="27" t="s">
        <v>36</v>
      </c>
      <c r="K11" s="27" t="s">
        <v>4</v>
      </c>
      <c r="L11" s="274" t="s">
        <v>0</v>
      </c>
      <c r="M11" s="274" t="s">
        <v>33</v>
      </c>
      <c r="N11" s="33"/>
      <c r="O11" s="265"/>
      <c r="P11" s="266"/>
      <c r="Q11" s="267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2" ht="26.25" thickBot="1" x14ac:dyDescent="0.25">
      <c r="A12" s="29" t="s">
        <v>30</v>
      </c>
      <c r="B12" s="29" t="s">
        <v>34</v>
      </c>
      <c r="C12" s="29" t="s">
        <v>24</v>
      </c>
      <c r="D12" s="29" t="s">
        <v>35</v>
      </c>
      <c r="E12" s="29" t="s">
        <v>47</v>
      </c>
      <c r="F12" s="33"/>
      <c r="G12" s="277"/>
      <c r="H12" s="277"/>
      <c r="I12" s="29" t="s">
        <v>167</v>
      </c>
      <c r="J12" s="29" t="s">
        <v>37</v>
      </c>
      <c r="K12" s="30" t="s">
        <v>31</v>
      </c>
      <c r="L12" s="275"/>
      <c r="M12" s="275"/>
      <c r="N12" s="33"/>
      <c r="O12" s="29" t="s">
        <v>30</v>
      </c>
      <c r="P12" s="29" t="s">
        <v>2</v>
      </c>
      <c r="Q12" s="29" t="s">
        <v>33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2" ht="13.5" thickTop="1" x14ac:dyDescent="0.2">
      <c r="A13" s="73">
        <v>2021</v>
      </c>
      <c r="B13" s="170">
        <f>Q13</f>
        <v>6433243.5677768039</v>
      </c>
      <c r="C13" s="171">
        <f t="shared" ref="C13:C34" si="0">M13</f>
        <v>0</v>
      </c>
      <c r="D13" s="170">
        <f>C13-B13</f>
        <v>-6433243.5677768039</v>
      </c>
      <c r="E13" s="171">
        <f>D13</f>
        <v>-6433243.5677768039</v>
      </c>
      <c r="F13" s="33"/>
      <c r="G13" s="73">
        <v>2021</v>
      </c>
      <c r="H13" s="170"/>
      <c r="I13" s="171"/>
      <c r="J13" s="170"/>
      <c r="K13" s="171"/>
      <c r="L13" s="170">
        <f t="shared" ref="L13:L14" si="1">SUM(I13:K13)</f>
        <v>0</v>
      </c>
      <c r="M13" s="171">
        <f>L13*NPV!C6</f>
        <v>0</v>
      </c>
      <c r="N13" s="33"/>
      <c r="O13" s="73">
        <v>2021</v>
      </c>
      <c r="P13" s="170">
        <f>Costs!G5</f>
        <v>7881000</v>
      </c>
      <c r="Q13" s="177">
        <f>P13*NPV!C6</f>
        <v>6433243.5677768039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2" x14ac:dyDescent="0.2">
      <c r="A14" s="73">
        <f t="shared" ref="A14:A34" si="2">A13+1</f>
        <v>2022</v>
      </c>
      <c r="B14" s="170">
        <f t="shared" ref="B14:B34" si="3">Q14</f>
        <v>14028880.05434194</v>
      </c>
      <c r="C14" s="171">
        <f t="shared" si="0"/>
        <v>0</v>
      </c>
      <c r="D14" s="170">
        <f t="shared" ref="D14:D34" si="4">C14-B14</f>
        <v>-14028880.05434194</v>
      </c>
      <c r="E14" s="171">
        <f>D14+E13</f>
        <v>-20462123.622118745</v>
      </c>
      <c r="F14" s="33"/>
      <c r="G14" s="73">
        <f t="shared" ref="G14:G34" si="5">G13+1</f>
        <v>2022</v>
      </c>
      <c r="H14" s="170"/>
      <c r="I14" s="171"/>
      <c r="J14" s="170"/>
      <c r="K14" s="171"/>
      <c r="L14" s="170">
        <f t="shared" si="1"/>
        <v>0</v>
      </c>
      <c r="M14" s="171">
        <f>L14*NPV!C7</f>
        <v>0</v>
      </c>
      <c r="N14" s="33"/>
      <c r="O14" s="73">
        <f t="shared" ref="O14:O34" si="6">O13+1</f>
        <v>2022</v>
      </c>
      <c r="P14" s="170">
        <f>Costs!G6</f>
        <v>18389000</v>
      </c>
      <c r="Q14" s="171">
        <f>P14*NPV!C7</f>
        <v>14028880.05434194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2" x14ac:dyDescent="0.2">
      <c r="A15" s="73">
        <f t="shared" si="2"/>
        <v>2023</v>
      </c>
      <c r="B15" s="170">
        <f t="shared" si="3"/>
        <v>0</v>
      </c>
      <c r="C15" s="171">
        <f t="shared" si="0"/>
        <v>-1556818.9994763501</v>
      </c>
      <c r="D15" s="170">
        <f t="shared" si="4"/>
        <v>-1556818.9994763501</v>
      </c>
      <c r="E15" s="171">
        <f t="shared" ref="E15:E34" si="7">D15+E14</f>
        <v>-22018942.621595096</v>
      </c>
      <c r="F15" s="33"/>
      <c r="G15" s="73">
        <f t="shared" si="5"/>
        <v>2023</v>
      </c>
      <c r="H15" s="170">
        <f>'Operations &amp; Maintenance Costs'!F12</f>
        <v>6545.454545454546</v>
      </c>
      <c r="I15" s="171">
        <f>Econ!D11</f>
        <v>-634</v>
      </c>
      <c r="J15" s="170">
        <f>'Environmental Protection - Hour'!D7</f>
        <v>-1174920.6366476519</v>
      </c>
      <c r="K15" s="171">
        <f>Safety!D9</f>
        <v>-1014510</v>
      </c>
      <c r="L15" s="170">
        <f>SUM(H15:K15)</f>
        <v>-2183519.1821021973</v>
      </c>
      <c r="M15" s="171">
        <f>L15*NPV!C8</f>
        <v>-1556818.9994763501</v>
      </c>
      <c r="N15" s="33"/>
      <c r="O15" s="73">
        <f t="shared" si="6"/>
        <v>2023</v>
      </c>
      <c r="P15" s="170">
        <f>Costs!G7</f>
        <v>0</v>
      </c>
      <c r="Q15" s="171">
        <f>P15*NPV!C8</f>
        <v>0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2" x14ac:dyDescent="0.2">
      <c r="A16" s="73">
        <f t="shared" si="2"/>
        <v>2024</v>
      </c>
      <c r="B16" s="170">
        <f t="shared" si="3"/>
        <v>0</v>
      </c>
      <c r="C16" s="171">
        <f t="shared" si="0"/>
        <v>-1454971.0275479907</v>
      </c>
      <c r="D16" s="170">
        <f t="shared" si="4"/>
        <v>-1454971.0275479907</v>
      </c>
      <c r="E16" s="171">
        <f t="shared" si="7"/>
        <v>-23473913.649143085</v>
      </c>
      <c r="F16" s="33"/>
      <c r="G16" s="73">
        <f t="shared" si="5"/>
        <v>2024</v>
      </c>
      <c r="H16" s="170">
        <f>'Operations &amp; Maintenance Costs'!F13</f>
        <v>6545.454545454546</v>
      </c>
      <c r="I16" s="171">
        <f>Econ!D12</f>
        <v>-634</v>
      </c>
      <c r="J16" s="170">
        <f>'Environmental Protection - Hour'!D8</f>
        <v>-1174920.6366476519</v>
      </c>
      <c r="K16" s="171">
        <f>Safety!D10</f>
        <v>-1014510</v>
      </c>
      <c r="L16" s="170">
        <f t="shared" ref="L16:L34" si="8">SUM(H16:K16)</f>
        <v>-2183519.1821021973</v>
      </c>
      <c r="M16" s="171">
        <f>L16*NPV!C9</f>
        <v>-1454971.0275479907</v>
      </c>
      <c r="N16" s="33"/>
      <c r="O16" s="73">
        <f t="shared" si="6"/>
        <v>2024</v>
      </c>
      <c r="P16" s="170">
        <f>Costs!G8</f>
        <v>0</v>
      </c>
      <c r="Q16" s="171">
        <f>P16*NPV!C9</f>
        <v>0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x14ac:dyDescent="0.2">
      <c r="A17" s="73">
        <f t="shared" si="2"/>
        <v>2025</v>
      </c>
      <c r="B17" s="170">
        <f t="shared" si="3"/>
        <v>0</v>
      </c>
      <c r="C17" s="171">
        <f t="shared" si="0"/>
        <v>5186751.7441240102</v>
      </c>
      <c r="D17" s="170">
        <f t="shared" si="4"/>
        <v>5186751.7441240102</v>
      </c>
      <c r="E17" s="171">
        <f t="shared" si="7"/>
        <v>-18287161.905019075</v>
      </c>
      <c r="F17" s="33"/>
      <c r="G17" s="73">
        <f t="shared" si="5"/>
        <v>2025</v>
      </c>
      <c r="H17" s="170">
        <f>'Operations &amp; Maintenance Costs'!F14</f>
        <v>6545.454545454546</v>
      </c>
      <c r="I17" s="171">
        <f>Econ!D13</f>
        <v>2408</v>
      </c>
      <c r="J17" s="170">
        <f>'Environmental Protection - Hour'!D9</f>
        <v>4464698.4192610728</v>
      </c>
      <c r="K17" s="171">
        <f>Safety!D11</f>
        <v>3855138</v>
      </c>
      <c r="L17" s="170">
        <f t="shared" si="8"/>
        <v>8328789.8738065269</v>
      </c>
      <c r="M17" s="171">
        <f>L17*NPV!C10</f>
        <v>5186751.7441240102</v>
      </c>
      <c r="N17" s="33"/>
      <c r="O17" s="73">
        <f t="shared" si="6"/>
        <v>2025</v>
      </c>
      <c r="P17" s="170">
        <f>Costs!G9</f>
        <v>0</v>
      </c>
      <c r="Q17" s="171">
        <f>P17*NPV!C10</f>
        <v>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x14ac:dyDescent="0.2">
      <c r="A18" s="73">
        <f t="shared" si="2"/>
        <v>2026</v>
      </c>
      <c r="B18" s="170">
        <f t="shared" si="3"/>
        <v>0</v>
      </c>
      <c r="C18" s="171">
        <f t="shared" si="0"/>
        <v>4847431.5365644963</v>
      </c>
      <c r="D18" s="170">
        <f t="shared" si="4"/>
        <v>4847431.5365644963</v>
      </c>
      <c r="E18" s="171">
        <f t="shared" si="7"/>
        <v>-13439730.368454579</v>
      </c>
      <c r="F18" s="33"/>
      <c r="G18" s="73">
        <f t="shared" si="5"/>
        <v>2026</v>
      </c>
      <c r="H18" s="170">
        <f>'Operations &amp; Maintenance Costs'!F15</f>
        <v>6545.454545454546</v>
      </c>
      <c r="I18" s="171">
        <f>Econ!D14</f>
        <v>2408</v>
      </c>
      <c r="J18" s="170">
        <f>'Environmental Protection - Hour'!D10</f>
        <v>4464698.4192610728</v>
      </c>
      <c r="K18" s="171">
        <f>Safety!D12</f>
        <v>3855138</v>
      </c>
      <c r="L18" s="170">
        <f t="shared" si="8"/>
        <v>8328789.8738065269</v>
      </c>
      <c r="M18" s="171">
        <f>L18*NPV!C11</f>
        <v>4847431.5365644963</v>
      </c>
      <c r="N18" s="33"/>
      <c r="O18" s="73">
        <f t="shared" si="6"/>
        <v>2026</v>
      </c>
      <c r="P18" s="170">
        <f>Costs!G10</f>
        <v>0</v>
      </c>
      <c r="Q18" s="171">
        <f>P18*NPV!C11</f>
        <v>0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x14ac:dyDescent="0.2">
      <c r="A19" s="73">
        <f t="shared" si="2"/>
        <v>2027</v>
      </c>
      <c r="B19" s="170">
        <f t="shared" si="3"/>
        <v>0</v>
      </c>
      <c r="C19" s="171">
        <f t="shared" si="0"/>
        <v>4530309.8472565385</v>
      </c>
      <c r="D19" s="170">
        <f t="shared" si="4"/>
        <v>4530309.8472565385</v>
      </c>
      <c r="E19" s="171">
        <f t="shared" si="7"/>
        <v>-8909420.5211980417</v>
      </c>
      <c r="F19" s="33"/>
      <c r="G19" s="73">
        <f t="shared" si="5"/>
        <v>2027</v>
      </c>
      <c r="H19" s="170">
        <f>'Operations &amp; Maintenance Costs'!F16</f>
        <v>6545.454545454546</v>
      </c>
      <c r="I19" s="171">
        <f>Econ!D15</f>
        <v>2408</v>
      </c>
      <c r="J19" s="170">
        <f>'Environmental Protection - Hour'!D11</f>
        <v>4464698.4192610728</v>
      </c>
      <c r="K19" s="171">
        <f>Safety!D13</f>
        <v>3855138</v>
      </c>
      <c r="L19" s="170">
        <f t="shared" si="8"/>
        <v>8328789.8738065269</v>
      </c>
      <c r="M19" s="171">
        <f>L19*NPV!C12</f>
        <v>4530309.8472565385</v>
      </c>
      <c r="N19" s="33"/>
      <c r="O19" s="73">
        <f t="shared" si="6"/>
        <v>2027</v>
      </c>
      <c r="P19" s="170">
        <f>Costs!G11</f>
        <v>0</v>
      </c>
      <c r="Q19" s="171">
        <f>P19*NPV!C12</f>
        <v>0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x14ac:dyDescent="0.2">
      <c r="A20" s="73">
        <f t="shared" si="2"/>
        <v>2028</v>
      </c>
      <c r="B20" s="170">
        <f t="shared" si="3"/>
        <v>0</v>
      </c>
      <c r="C20" s="171">
        <f t="shared" si="0"/>
        <v>4233934.4366883533</v>
      </c>
      <c r="D20" s="170">
        <f t="shared" si="4"/>
        <v>4233934.4366883533</v>
      </c>
      <c r="E20" s="171">
        <f t="shared" si="7"/>
        <v>-4675486.0845096884</v>
      </c>
      <c r="F20" s="33"/>
      <c r="G20" s="73">
        <f t="shared" si="5"/>
        <v>2028</v>
      </c>
      <c r="H20" s="170">
        <f>'Operations &amp; Maintenance Costs'!F17</f>
        <v>6545.454545454546</v>
      </c>
      <c r="I20" s="171">
        <f>Econ!D16</f>
        <v>2408</v>
      </c>
      <c r="J20" s="170">
        <f>'Environmental Protection - Hour'!D12</f>
        <v>4464698.4192610728</v>
      </c>
      <c r="K20" s="171">
        <f>Safety!D14</f>
        <v>3855138</v>
      </c>
      <c r="L20" s="170">
        <f t="shared" si="8"/>
        <v>8328789.8738065269</v>
      </c>
      <c r="M20" s="171">
        <f>L20*NPV!C13</f>
        <v>4233934.4366883533</v>
      </c>
      <c r="N20" s="33"/>
      <c r="O20" s="73">
        <f t="shared" si="6"/>
        <v>2028</v>
      </c>
      <c r="P20" s="170">
        <f>Costs!G12</f>
        <v>0</v>
      </c>
      <c r="Q20" s="171">
        <f>P20*NPV!C13</f>
        <v>0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x14ac:dyDescent="0.2">
      <c r="A21" s="73">
        <f t="shared" si="2"/>
        <v>2029</v>
      </c>
      <c r="B21" s="170">
        <f t="shared" si="3"/>
        <v>0</v>
      </c>
      <c r="C21" s="171">
        <f t="shared" si="0"/>
        <v>3956948.0716713578</v>
      </c>
      <c r="D21" s="170">
        <f t="shared" si="4"/>
        <v>3956948.0716713578</v>
      </c>
      <c r="E21" s="171">
        <f t="shared" si="7"/>
        <v>-718538.01283833059</v>
      </c>
      <c r="F21" s="33"/>
      <c r="G21" s="73">
        <f t="shared" si="5"/>
        <v>2029</v>
      </c>
      <c r="H21" s="170">
        <f>'Operations &amp; Maintenance Costs'!F18</f>
        <v>6545.454545454546</v>
      </c>
      <c r="I21" s="171">
        <f>Econ!D17</f>
        <v>2408</v>
      </c>
      <c r="J21" s="170">
        <f>'Environmental Protection - Hour'!D13</f>
        <v>4464698.4192610728</v>
      </c>
      <c r="K21" s="171">
        <f>Safety!D15</f>
        <v>3855138</v>
      </c>
      <c r="L21" s="170">
        <f t="shared" si="8"/>
        <v>8328789.8738065269</v>
      </c>
      <c r="M21" s="171">
        <f>L21*NPV!C14</f>
        <v>3956948.0716713578</v>
      </c>
      <c r="N21" s="33"/>
      <c r="O21" s="73">
        <f t="shared" si="6"/>
        <v>2029</v>
      </c>
      <c r="P21" s="170">
        <f>Costs!G13</f>
        <v>0</v>
      </c>
      <c r="Q21" s="171">
        <f>P21*NPV!C14</f>
        <v>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x14ac:dyDescent="0.2">
      <c r="A22" s="73">
        <f t="shared" si="2"/>
        <v>2030</v>
      </c>
      <c r="B22" s="170">
        <f t="shared" si="3"/>
        <v>0</v>
      </c>
      <c r="C22" s="171">
        <f t="shared" si="0"/>
        <v>3698082.3099732324</v>
      </c>
      <c r="D22" s="170">
        <f t="shared" si="4"/>
        <v>3698082.3099732324</v>
      </c>
      <c r="E22" s="171">
        <f t="shared" si="7"/>
        <v>2979544.2971349019</v>
      </c>
      <c r="F22" s="33"/>
      <c r="G22" s="73">
        <f t="shared" si="5"/>
        <v>2030</v>
      </c>
      <c r="H22" s="170">
        <f>'Operations &amp; Maintenance Costs'!F19</f>
        <v>6545.454545454546</v>
      </c>
      <c r="I22" s="171">
        <f>Econ!D18</f>
        <v>2408</v>
      </c>
      <c r="J22" s="170">
        <f>'Environmental Protection - Hour'!D14</f>
        <v>4464698.4192610728</v>
      </c>
      <c r="K22" s="171">
        <f>Safety!D16</f>
        <v>3855138</v>
      </c>
      <c r="L22" s="170">
        <f t="shared" si="8"/>
        <v>8328789.8738065269</v>
      </c>
      <c r="M22" s="171">
        <f>L22*NPV!C15</f>
        <v>3698082.3099732324</v>
      </c>
      <c r="N22" s="33"/>
      <c r="O22" s="73">
        <f t="shared" si="6"/>
        <v>2030</v>
      </c>
      <c r="P22" s="170">
        <f>Costs!G14</f>
        <v>0</v>
      </c>
      <c r="Q22" s="171">
        <f>P22*NPV!C15</f>
        <v>0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x14ac:dyDescent="0.2">
      <c r="A23" s="73">
        <f t="shared" si="2"/>
        <v>2031</v>
      </c>
      <c r="B23" s="170">
        <f t="shared" si="3"/>
        <v>0</v>
      </c>
      <c r="C23" s="171">
        <f t="shared" si="0"/>
        <v>3473504.7502936525</v>
      </c>
      <c r="D23" s="170">
        <f t="shared" si="4"/>
        <v>3473504.7502936525</v>
      </c>
      <c r="E23" s="171">
        <f t="shared" si="7"/>
        <v>6453049.0474285539</v>
      </c>
      <c r="F23" s="33"/>
      <c r="G23" s="73">
        <f t="shared" si="5"/>
        <v>2031</v>
      </c>
      <c r="H23" s="170">
        <f>'Operations &amp; Maintenance Costs'!F20</f>
        <v>48363.636363636382</v>
      </c>
      <c r="I23" s="171">
        <f>Econ!D19</f>
        <v>2408</v>
      </c>
      <c r="J23" s="170">
        <f>'Environmental Protection - Hour'!D15</f>
        <v>4464698.4192610728</v>
      </c>
      <c r="K23" s="171">
        <f>Safety!D17</f>
        <v>3855138</v>
      </c>
      <c r="L23" s="170">
        <f t="shared" si="8"/>
        <v>8370608.0556247095</v>
      </c>
      <c r="M23" s="171">
        <f>L23*NPV!C16</f>
        <v>3473504.7502936525</v>
      </c>
      <c r="N23" s="33"/>
      <c r="O23" s="73">
        <f t="shared" si="6"/>
        <v>2031</v>
      </c>
      <c r="P23" s="170">
        <f>Costs!G15</f>
        <v>0</v>
      </c>
      <c r="Q23" s="171">
        <f>P23*NPV!C16</f>
        <v>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x14ac:dyDescent="0.2">
      <c r="A24" s="73">
        <f t="shared" si="2"/>
        <v>2032</v>
      </c>
      <c r="B24" s="170">
        <f t="shared" si="3"/>
        <v>0</v>
      </c>
      <c r="C24" s="171">
        <f t="shared" si="0"/>
        <v>3230048.3098726808</v>
      </c>
      <c r="D24" s="170">
        <f t="shared" si="4"/>
        <v>3230048.3098726808</v>
      </c>
      <c r="E24" s="171">
        <f t="shared" si="7"/>
        <v>9683097.3573012352</v>
      </c>
      <c r="F24" s="33"/>
      <c r="G24" s="73">
        <f t="shared" si="5"/>
        <v>2032</v>
      </c>
      <c r="H24" s="170">
        <f>'Operations &amp; Maintenance Costs'!F21</f>
        <v>6545.454545454546</v>
      </c>
      <c r="I24" s="171">
        <f>Econ!D20</f>
        <v>2408</v>
      </c>
      <c r="J24" s="170">
        <f>'Environmental Protection - Hour'!D16</f>
        <v>4464698.4192610728</v>
      </c>
      <c r="K24" s="171">
        <f>Safety!D18</f>
        <v>3855138</v>
      </c>
      <c r="L24" s="170">
        <f t="shared" si="8"/>
        <v>8328789.8738065269</v>
      </c>
      <c r="M24" s="171">
        <f>L24*NPV!C17</f>
        <v>3230048.3098726808</v>
      </c>
      <c r="N24" s="33"/>
      <c r="O24" s="73">
        <f t="shared" si="6"/>
        <v>2032</v>
      </c>
      <c r="P24" s="170">
        <f>Costs!G16</f>
        <v>0</v>
      </c>
      <c r="Q24" s="171">
        <f>P24*NPV!C17</f>
        <v>0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x14ac:dyDescent="0.2">
      <c r="A25" s="73">
        <f t="shared" si="2"/>
        <v>2033</v>
      </c>
      <c r="B25" s="170">
        <f t="shared" si="3"/>
        <v>0</v>
      </c>
      <c r="C25" s="171">
        <f t="shared" si="0"/>
        <v>3018736.738198767</v>
      </c>
      <c r="D25" s="170">
        <f t="shared" si="4"/>
        <v>3018736.738198767</v>
      </c>
      <c r="E25" s="171">
        <f t="shared" si="7"/>
        <v>12701834.095500002</v>
      </c>
      <c r="F25" s="33"/>
      <c r="G25" s="73">
        <f t="shared" si="5"/>
        <v>2033</v>
      </c>
      <c r="H25" s="170">
        <f>'Operations &amp; Maintenance Costs'!F22</f>
        <v>6545.454545454546</v>
      </c>
      <c r="I25" s="171">
        <f>Econ!D21</f>
        <v>2408</v>
      </c>
      <c r="J25" s="170">
        <f>'Environmental Protection - Hour'!D17</f>
        <v>4464698.4192610728</v>
      </c>
      <c r="K25" s="171">
        <f>Safety!D19</f>
        <v>3855138</v>
      </c>
      <c r="L25" s="170">
        <f t="shared" si="8"/>
        <v>8328789.8738065269</v>
      </c>
      <c r="M25" s="171">
        <f>L25*NPV!C18</f>
        <v>3018736.738198767</v>
      </c>
      <c r="N25" s="33"/>
      <c r="O25" s="73">
        <f t="shared" si="6"/>
        <v>2033</v>
      </c>
      <c r="P25" s="170">
        <f>Costs!G17</f>
        <v>0</v>
      </c>
      <c r="Q25" s="171">
        <f>P25*NPV!C18</f>
        <v>0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x14ac:dyDescent="0.2">
      <c r="A26" s="73">
        <f t="shared" si="2"/>
        <v>2034</v>
      </c>
      <c r="B26" s="170">
        <f t="shared" si="3"/>
        <v>0</v>
      </c>
      <c r="C26" s="171">
        <f t="shared" si="0"/>
        <v>2821249.288036231</v>
      </c>
      <c r="D26" s="170">
        <f t="shared" si="4"/>
        <v>2821249.288036231</v>
      </c>
      <c r="E26" s="171">
        <f t="shared" si="7"/>
        <v>15523083.383536233</v>
      </c>
      <c r="F26" s="33"/>
      <c r="G26" s="73">
        <f t="shared" si="5"/>
        <v>2034</v>
      </c>
      <c r="H26" s="170">
        <f>'Operations &amp; Maintenance Costs'!F23</f>
        <v>6545.454545454546</v>
      </c>
      <c r="I26" s="171">
        <f>Econ!D22</f>
        <v>2408</v>
      </c>
      <c r="J26" s="170">
        <f>'Environmental Protection - Hour'!D18</f>
        <v>4464698.4192610728</v>
      </c>
      <c r="K26" s="171">
        <f>Safety!D20</f>
        <v>3855138</v>
      </c>
      <c r="L26" s="170">
        <f t="shared" si="8"/>
        <v>8328789.8738065269</v>
      </c>
      <c r="M26" s="171">
        <f>L26*NPV!C19</f>
        <v>2821249.288036231</v>
      </c>
      <c r="N26" s="33"/>
      <c r="O26" s="73">
        <f t="shared" si="6"/>
        <v>2034</v>
      </c>
      <c r="P26" s="170">
        <f>Costs!G18</f>
        <v>0</v>
      </c>
      <c r="Q26" s="171">
        <f>P26*NPV!C19</f>
        <v>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x14ac:dyDescent="0.2">
      <c r="A27" s="73">
        <f t="shared" si="2"/>
        <v>2035</v>
      </c>
      <c r="B27" s="170">
        <f t="shared" si="3"/>
        <v>0</v>
      </c>
      <c r="C27" s="171">
        <f t="shared" si="0"/>
        <v>2638978.5135260951</v>
      </c>
      <c r="D27" s="170">
        <f t="shared" si="4"/>
        <v>2638978.5135260951</v>
      </c>
      <c r="E27" s="171">
        <f t="shared" si="7"/>
        <v>18162061.897062328</v>
      </c>
      <c r="F27" s="33"/>
      <c r="G27" s="73">
        <f t="shared" si="5"/>
        <v>2035</v>
      </c>
      <c r="H27" s="170">
        <f>'Operations &amp; Maintenance Costs'!F24</f>
        <v>6545.454545454546</v>
      </c>
      <c r="I27" s="171">
        <f>Econ!D23</f>
        <v>2408</v>
      </c>
      <c r="J27" s="170">
        <f>'Environmental Protection - Hour'!D19</f>
        <v>4471954.0153905433</v>
      </c>
      <c r="K27" s="171">
        <f>Safety!D21</f>
        <v>3855138</v>
      </c>
      <c r="L27" s="170">
        <f t="shared" si="8"/>
        <v>8336045.4699359974</v>
      </c>
      <c r="M27" s="171">
        <f>L27*NPV!C20</f>
        <v>2638978.5135260951</v>
      </c>
      <c r="N27" s="33"/>
      <c r="O27" s="73">
        <f t="shared" si="6"/>
        <v>2035</v>
      </c>
      <c r="P27" s="170">
        <f>Costs!G19</f>
        <v>0</v>
      </c>
      <c r="Q27" s="171">
        <f>P27*NPV!C20</f>
        <v>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x14ac:dyDescent="0.2">
      <c r="A28" s="73">
        <f t="shared" si="2"/>
        <v>2036</v>
      </c>
      <c r="B28" s="170">
        <f t="shared" si="3"/>
        <v>0</v>
      </c>
      <c r="C28" s="171">
        <f t="shared" si="0"/>
        <v>2466335.059370182</v>
      </c>
      <c r="D28" s="170">
        <f t="shared" si="4"/>
        <v>2466335.059370182</v>
      </c>
      <c r="E28" s="171">
        <f t="shared" si="7"/>
        <v>20628396.95643251</v>
      </c>
      <c r="F28" s="33"/>
      <c r="G28" s="73">
        <f t="shared" si="5"/>
        <v>2036</v>
      </c>
      <c r="H28" s="170">
        <f>'Operations &amp; Maintenance Costs'!F25</f>
        <v>6545.454545454546</v>
      </c>
      <c r="I28" s="171">
        <f>Econ!D24</f>
        <v>2408</v>
      </c>
      <c r="J28" s="170">
        <f>'Environmental Protection - Hour'!D20</f>
        <v>4471954.0153905433</v>
      </c>
      <c r="K28" s="171">
        <f>Safety!D22</f>
        <v>3855138</v>
      </c>
      <c r="L28" s="170">
        <f t="shared" si="8"/>
        <v>8336045.4699359974</v>
      </c>
      <c r="M28" s="171">
        <f>L28*NPV!C21</f>
        <v>2466335.059370182</v>
      </c>
      <c r="N28" s="33"/>
      <c r="O28" s="73">
        <f t="shared" si="6"/>
        <v>2036</v>
      </c>
      <c r="P28" s="170">
        <f>Costs!G20</f>
        <v>0</v>
      </c>
      <c r="Q28" s="171">
        <f>P28*NPV!C21</f>
        <v>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x14ac:dyDescent="0.2">
      <c r="A29" s="73">
        <f t="shared" si="2"/>
        <v>2037</v>
      </c>
      <c r="B29" s="170">
        <f t="shared" si="3"/>
        <v>0</v>
      </c>
      <c r="C29" s="171">
        <f t="shared" si="0"/>
        <v>2304986.0367945628</v>
      </c>
      <c r="D29" s="170">
        <f t="shared" si="4"/>
        <v>2304986.0367945628</v>
      </c>
      <c r="E29" s="171">
        <f t="shared" si="7"/>
        <v>22933382.993227072</v>
      </c>
      <c r="F29" s="33"/>
      <c r="G29" s="73">
        <f t="shared" si="5"/>
        <v>2037</v>
      </c>
      <c r="H29" s="170">
        <f>'Operations &amp; Maintenance Costs'!F26</f>
        <v>6545.454545454546</v>
      </c>
      <c r="I29" s="171">
        <f>Econ!D25</f>
        <v>2408</v>
      </c>
      <c r="J29" s="170">
        <f>'Environmental Protection - Hour'!D21</f>
        <v>4471954.0153905433</v>
      </c>
      <c r="K29" s="171">
        <f>Safety!D23</f>
        <v>3855138</v>
      </c>
      <c r="L29" s="170">
        <f t="shared" si="8"/>
        <v>8336045.4699359974</v>
      </c>
      <c r="M29" s="171">
        <f>L29*NPV!C22</f>
        <v>2304986.0367945628</v>
      </c>
      <c r="N29" s="33"/>
      <c r="O29" s="73">
        <f t="shared" si="6"/>
        <v>2037</v>
      </c>
      <c r="P29" s="170">
        <f>Costs!G21</f>
        <v>0</v>
      </c>
      <c r="Q29" s="171">
        <f>P29*NPV!C22</f>
        <v>0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x14ac:dyDescent="0.2">
      <c r="A30" s="73">
        <f t="shared" si="2"/>
        <v>2038</v>
      </c>
      <c r="B30" s="170">
        <f t="shared" si="3"/>
        <v>0</v>
      </c>
      <c r="C30" s="171">
        <f t="shared" si="0"/>
        <v>2154192.557751928</v>
      </c>
      <c r="D30" s="170">
        <f t="shared" si="4"/>
        <v>2154192.557751928</v>
      </c>
      <c r="E30" s="171">
        <f t="shared" si="7"/>
        <v>25087575.550979</v>
      </c>
      <c r="F30" s="33"/>
      <c r="G30" s="73">
        <f t="shared" si="5"/>
        <v>2038</v>
      </c>
      <c r="H30" s="170">
        <f>'Operations &amp; Maintenance Costs'!F27</f>
        <v>6545.454545454546</v>
      </c>
      <c r="I30" s="171">
        <f>Econ!D26</f>
        <v>2408</v>
      </c>
      <c r="J30" s="170">
        <f>'Environmental Protection - Hour'!D22</f>
        <v>4471954.0153905433</v>
      </c>
      <c r="K30" s="171">
        <f>Safety!D24</f>
        <v>3855138</v>
      </c>
      <c r="L30" s="170">
        <f t="shared" si="8"/>
        <v>8336045.4699359974</v>
      </c>
      <c r="M30" s="171">
        <f>L30*NPV!C23</f>
        <v>2154192.557751928</v>
      </c>
      <c r="N30" s="33"/>
      <c r="O30" s="73">
        <f t="shared" si="6"/>
        <v>2038</v>
      </c>
      <c r="P30" s="170">
        <f>Costs!G22</f>
        <v>0</v>
      </c>
      <c r="Q30" s="171">
        <f>P30*NPV!C23</f>
        <v>0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x14ac:dyDescent="0.2">
      <c r="A31" s="73">
        <f t="shared" si="2"/>
        <v>2039</v>
      </c>
      <c r="B31" s="170">
        <f t="shared" si="3"/>
        <v>0</v>
      </c>
      <c r="C31" s="171">
        <f t="shared" si="0"/>
        <v>2013264.0726653533</v>
      </c>
      <c r="D31" s="170">
        <f t="shared" si="4"/>
        <v>2013264.0726653533</v>
      </c>
      <c r="E31" s="171">
        <f t="shared" si="7"/>
        <v>27100839.623644352</v>
      </c>
      <c r="F31" s="33"/>
      <c r="G31" s="73">
        <f t="shared" si="5"/>
        <v>2039</v>
      </c>
      <c r="H31" s="170">
        <f>'Operations &amp; Maintenance Costs'!F28</f>
        <v>6545.454545454546</v>
      </c>
      <c r="I31" s="171">
        <f>Econ!D27</f>
        <v>2408</v>
      </c>
      <c r="J31" s="170">
        <f>'Environmental Protection - Hour'!D23</f>
        <v>4471954.0153905433</v>
      </c>
      <c r="K31" s="171">
        <f>Safety!D25</f>
        <v>3855138</v>
      </c>
      <c r="L31" s="170">
        <f t="shared" si="8"/>
        <v>8336045.4699359974</v>
      </c>
      <c r="M31" s="171">
        <f>L31*NPV!C24</f>
        <v>2013264.0726653533</v>
      </c>
      <c r="N31" s="33"/>
      <c r="O31" s="73">
        <f t="shared" si="6"/>
        <v>2039</v>
      </c>
      <c r="P31" s="170">
        <f>Costs!G23</f>
        <v>0</v>
      </c>
      <c r="Q31" s="171">
        <f>P31*NPV!C24</f>
        <v>0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x14ac:dyDescent="0.2">
      <c r="A32" s="73">
        <f t="shared" si="2"/>
        <v>2040</v>
      </c>
      <c r="B32" s="170">
        <f t="shared" si="3"/>
        <v>0</v>
      </c>
      <c r="C32" s="171">
        <f t="shared" si="0"/>
        <v>1881555.2080984609</v>
      </c>
      <c r="D32" s="170">
        <f t="shared" si="4"/>
        <v>1881555.2080984609</v>
      </c>
      <c r="E32" s="171">
        <f t="shared" si="7"/>
        <v>28982394.831742812</v>
      </c>
      <c r="F32" s="33"/>
      <c r="G32" s="73">
        <f t="shared" si="5"/>
        <v>2040</v>
      </c>
      <c r="H32" s="170">
        <f>'Operations &amp; Maintenance Costs'!F29</f>
        <v>6545.454545454546</v>
      </c>
      <c r="I32" s="171">
        <f>Econ!D28</f>
        <v>2408</v>
      </c>
      <c r="J32" s="170">
        <f>'Environmental Protection - Hour'!D24</f>
        <v>4471954.0153905433</v>
      </c>
      <c r="K32" s="171">
        <f>Safety!D26</f>
        <v>3855138</v>
      </c>
      <c r="L32" s="170">
        <f t="shared" si="8"/>
        <v>8336045.4699359974</v>
      </c>
      <c r="M32" s="171">
        <f>L32*NPV!C25</f>
        <v>1881555.2080984609</v>
      </c>
      <c r="N32" s="33"/>
      <c r="O32" s="73">
        <f t="shared" si="6"/>
        <v>2040</v>
      </c>
      <c r="P32" s="170">
        <f>Costs!G24</f>
        <v>0</v>
      </c>
      <c r="Q32" s="171">
        <f>P32*NPV!C25</f>
        <v>0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2" x14ac:dyDescent="0.2">
      <c r="A33" s="73">
        <f t="shared" si="2"/>
        <v>2041</v>
      </c>
      <c r="B33" s="170">
        <f t="shared" si="3"/>
        <v>0</v>
      </c>
      <c r="C33" s="171">
        <f t="shared" si="0"/>
        <v>1758462.8113069728</v>
      </c>
      <c r="D33" s="170">
        <f t="shared" si="4"/>
        <v>1758462.8113069728</v>
      </c>
      <c r="E33" s="171">
        <f t="shared" si="7"/>
        <v>30740857.643049784</v>
      </c>
      <c r="F33" s="33"/>
      <c r="G33" s="73">
        <f t="shared" si="5"/>
        <v>2041</v>
      </c>
      <c r="H33" s="170">
        <f>'Operations &amp; Maintenance Costs'!F30</f>
        <v>6545.454545454546</v>
      </c>
      <c r="I33" s="171">
        <f>Econ!D29</f>
        <v>2408</v>
      </c>
      <c r="J33" s="170">
        <f>'Environmental Protection - Hour'!D25</f>
        <v>4471954.0153905433</v>
      </c>
      <c r="K33" s="171">
        <f>Safety!D27</f>
        <v>3855138</v>
      </c>
      <c r="L33" s="170">
        <f t="shared" si="8"/>
        <v>8336045.4699359974</v>
      </c>
      <c r="M33" s="171">
        <f>L33*NPV!C26</f>
        <v>1758462.8113069728</v>
      </c>
      <c r="N33" s="33"/>
      <c r="O33" s="73">
        <f t="shared" si="6"/>
        <v>2041</v>
      </c>
      <c r="P33" s="170">
        <f>Costs!G25</f>
        <v>0</v>
      </c>
      <c r="Q33" s="171">
        <f>P33*NPV!C26</f>
        <v>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2" ht="13.5" thickBot="1" x14ac:dyDescent="0.25">
      <c r="A34" s="74">
        <f t="shared" si="2"/>
        <v>2042</v>
      </c>
      <c r="B34" s="172">
        <f t="shared" si="3"/>
        <v>-3797963.9177735788</v>
      </c>
      <c r="C34" s="173">
        <f t="shared" si="0"/>
        <v>1643423.1881373578</v>
      </c>
      <c r="D34" s="172">
        <f t="shared" si="4"/>
        <v>5441387.1059109364</v>
      </c>
      <c r="E34" s="173">
        <f t="shared" si="7"/>
        <v>36182244.748960719</v>
      </c>
      <c r="F34" s="33"/>
      <c r="G34" s="76">
        <f t="shared" si="5"/>
        <v>2042</v>
      </c>
      <c r="H34" s="172">
        <f>'Operations &amp; Maintenance Costs'!F31</f>
        <v>6545.454545454546</v>
      </c>
      <c r="I34" s="173">
        <f>Econ!D30</f>
        <v>2408</v>
      </c>
      <c r="J34" s="172">
        <f>'Environmental Protection - Hour'!D26</f>
        <v>4471954.0153905433</v>
      </c>
      <c r="K34" s="173">
        <f>Safety!D28</f>
        <v>3855138</v>
      </c>
      <c r="L34" s="172">
        <f t="shared" si="8"/>
        <v>8336045.4699359974</v>
      </c>
      <c r="M34" s="173">
        <f>L34*NPV!C27</f>
        <v>1643423.1881373578</v>
      </c>
      <c r="N34" s="33"/>
      <c r="O34" s="76">
        <f t="shared" si="6"/>
        <v>2042</v>
      </c>
      <c r="P34" s="172">
        <f>Costs!G26</f>
        <v>-19264666.666666664</v>
      </c>
      <c r="Q34" s="178">
        <f>P34*NPV!C27</f>
        <v>-3797963.9177735788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2" ht="17.25" thickTop="1" x14ac:dyDescent="0.3">
      <c r="A35" s="75" t="s">
        <v>0</v>
      </c>
      <c r="B35" s="174">
        <f>SUM(B13:B34)</f>
        <v>16664159.704345167</v>
      </c>
      <c r="C35" s="175">
        <f>SUM(C13:C34)</f>
        <v>52846404.453305908</v>
      </c>
      <c r="D35" s="174">
        <f>SUM(D13:D34)</f>
        <v>36182244.748960719</v>
      </c>
      <c r="E35" s="176"/>
      <c r="F35" s="33"/>
      <c r="G35" s="268" t="s">
        <v>46</v>
      </c>
      <c r="H35" s="270"/>
      <c r="I35" s="270"/>
      <c r="J35" s="270"/>
      <c r="K35" s="269"/>
      <c r="L35" s="174">
        <f>SUM(L13:L34)</f>
        <v>145651042.31516701</v>
      </c>
      <c r="M35" s="175">
        <f>SUM(M13:M34)</f>
        <v>52846404.453305908</v>
      </c>
      <c r="N35" s="33"/>
      <c r="O35" s="268" t="s">
        <v>10</v>
      </c>
      <c r="P35" s="269"/>
      <c r="Q35" s="175">
        <f>SUM(Q13:Q34)</f>
        <v>16664159.704345167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2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:52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1:52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1:52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</row>
    <row r="100" spans="1:52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</sheetData>
  <mergeCells count="14">
    <mergeCell ref="A3:C3"/>
    <mergeCell ref="A4:B4"/>
    <mergeCell ref="A5:B5"/>
    <mergeCell ref="A7:B7"/>
    <mergeCell ref="A6:B6"/>
    <mergeCell ref="O10:Q11"/>
    <mergeCell ref="O35:P35"/>
    <mergeCell ref="G35:K35"/>
    <mergeCell ref="G10:M10"/>
    <mergeCell ref="A10:E11"/>
    <mergeCell ref="M11:M12"/>
    <mergeCell ref="L11:L12"/>
    <mergeCell ref="G11:G12"/>
    <mergeCell ref="H11:H12"/>
  </mergeCells>
  <pageMargins left="0.25" right="0.25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AA50"/>
  <sheetViews>
    <sheetView zoomScale="85" zoomScaleNormal="85" workbookViewId="0"/>
  </sheetViews>
  <sheetFormatPr defaultRowHeight="12.75" x14ac:dyDescent="0.2"/>
  <cols>
    <col min="5" max="5" width="9.5703125" bestFit="1" customWidth="1"/>
    <col min="6" max="6" width="14.28515625" customWidth="1"/>
  </cols>
  <sheetData>
    <row r="1" spans="1:27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3.5" thickBot="1" x14ac:dyDescent="0.25">
      <c r="A2" s="283" t="s">
        <v>6</v>
      </c>
      <c r="B2" s="284"/>
      <c r="C2" s="285"/>
      <c r="D2" s="33"/>
      <c r="E2" s="271" t="s">
        <v>59</v>
      </c>
      <c r="F2" s="27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13.5" thickTop="1" x14ac:dyDescent="0.2">
      <c r="A3" s="73">
        <v>0</v>
      </c>
      <c r="B3" s="73">
        <v>2018</v>
      </c>
      <c r="C3" s="23">
        <f t="shared" ref="C3:C43" si="0">1/(1+$C$44)^A3</f>
        <v>1</v>
      </c>
      <c r="D3" s="33"/>
      <c r="E3" s="166" t="s">
        <v>60</v>
      </c>
      <c r="F3" s="158" t="s">
        <v>61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x14ac:dyDescent="0.2">
      <c r="A4" s="73">
        <f>A3+1</f>
        <v>1</v>
      </c>
      <c r="B4" s="73">
        <f>B3+1</f>
        <v>2019</v>
      </c>
      <c r="C4" s="15">
        <f t="shared" si="0"/>
        <v>0.93457943925233644</v>
      </c>
      <c r="D4" s="33"/>
      <c r="E4" s="73">
        <v>2001</v>
      </c>
      <c r="F4" s="31">
        <v>1.3838999999999999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x14ac:dyDescent="0.2">
      <c r="A5" s="73">
        <f t="shared" ref="A5:A43" si="1">A4+1</f>
        <v>2</v>
      </c>
      <c r="B5" s="73">
        <f t="shared" ref="B5:B43" si="2">B4+1</f>
        <v>2020</v>
      </c>
      <c r="C5" s="15">
        <f t="shared" si="0"/>
        <v>0.87343872827321156</v>
      </c>
      <c r="D5" s="33"/>
      <c r="E5" s="73">
        <f t="shared" ref="E5:E21" si="3">E4+1</f>
        <v>2002</v>
      </c>
      <c r="F5" s="31">
        <v>1.3623000000000001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x14ac:dyDescent="0.2">
      <c r="A6" s="73">
        <f t="shared" si="1"/>
        <v>3</v>
      </c>
      <c r="B6" s="73">
        <f t="shared" si="2"/>
        <v>2021</v>
      </c>
      <c r="C6" s="15">
        <f t="shared" si="0"/>
        <v>0.81629787689085187</v>
      </c>
      <c r="D6" s="33"/>
      <c r="E6" s="73">
        <f t="shared" si="3"/>
        <v>2003</v>
      </c>
      <c r="F6" s="31">
        <v>1.3374999999999999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x14ac:dyDescent="0.2">
      <c r="A7" s="73">
        <f t="shared" si="1"/>
        <v>4</v>
      </c>
      <c r="B7" s="73">
        <f t="shared" si="2"/>
        <v>2022</v>
      </c>
      <c r="C7" s="15">
        <f t="shared" si="0"/>
        <v>0.7628952120475252</v>
      </c>
      <c r="D7" s="33"/>
      <c r="E7" s="73">
        <f t="shared" si="3"/>
        <v>2004</v>
      </c>
      <c r="F7" s="31">
        <v>1.3024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x14ac:dyDescent="0.2">
      <c r="A8" s="73">
        <f t="shared" si="1"/>
        <v>5</v>
      </c>
      <c r="B8" s="73">
        <f t="shared" si="2"/>
        <v>2023</v>
      </c>
      <c r="C8" s="15">
        <f t="shared" si="0"/>
        <v>0.71298617948366838</v>
      </c>
      <c r="D8" s="33"/>
      <c r="E8" s="73">
        <f t="shared" si="3"/>
        <v>2005</v>
      </c>
      <c r="F8" s="31">
        <v>1.2630999999999999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x14ac:dyDescent="0.2">
      <c r="A9" s="73">
        <f t="shared" si="1"/>
        <v>6</v>
      </c>
      <c r="B9" s="73">
        <f t="shared" si="2"/>
        <v>2024</v>
      </c>
      <c r="C9" s="15">
        <f t="shared" si="0"/>
        <v>0.66634222381651254</v>
      </c>
      <c r="D9" s="33"/>
      <c r="E9" s="73">
        <f t="shared" si="3"/>
        <v>2006</v>
      </c>
      <c r="F9" s="32">
        <v>1.226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x14ac:dyDescent="0.2">
      <c r="A10" s="73">
        <f t="shared" si="1"/>
        <v>7</v>
      </c>
      <c r="B10" s="73">
        <f t="shared" si="2"/>
        <v>2025</v>
      </c>
      <c r="C10" s="15">
        <f t="shared" si="0"/>
        <v>0.62274974188459109</v>
      </c>
      <c r="D10" s="33"/>
      <c r="E10" s="73">
        <f t="shared" si="3"/>
        <v>2007</v>
      </c>
      <c r="F10" s="31">
        <v>1.1939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x14ac:dyDescent="0.2">
      <c r="A11" s="73">
        <f t="shared" si="1"/>
        <v>8</v>
      </c>
      <c r="B11" s="73">
        <f t="shared" si="2"/>
        <v>2026</v>
      </c>
      <c r="C11" s="15">
        <f t="shared" si="0"/>
        <v>0.5820091045650384</v>
      </c>
      <c r="D11" s="33"/>
      <c r="E11" s="73">
        <f t="shared" si="3"/>
        <v>2008</v>
      </c>
      <c r="F11" s="31">
        <v>1.1711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x14ac:dyDescent="0.2">
      <c r="A12" s="73">
        <f t="shared" si="1"/>
        <v>9</v>
      </c>
      <c r="B12" s="73">
        <f t="shared" si="2"/>
        <v>2027</v>
      </c>
      <c r="C12" s="15">
        <f t="shared" si="0"/>
        <v>0.54393374258414806</v>
      </c>
      <c r="D12" s="33"/>
      <c r="E12" s="73">
        <f t="shared" si="3"/>
        <v>2009</v>
      </c>
      <c r="F12" s="31">
        <v>1.1623000000000001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x14ac:dyDescent="0.2">
      <c r="A13" s="73">
        <f t="shared" si="1"/>
        <v>10</v>
      </c>
      <c r="B13" s="73">
        <f t="shared" si="2"/>
        <v>2028</v>
      </c>
      <c r="C13" s="15">
        <f t="shared" si="0"/>
        <v>0.5083492921347178</v>
      </c>
      <c r="D13" s="33"/>
      <c r="E13" s="73">
        <f t="shared" si="3"/>
        <v>2010</v>
      </c>
      <c r="F13" s="31">
        <v>1.1489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x14ac:dyDescent="0.2">
      <c r="A14" s="73">
        <f t="shared" si="1"/>
        <v>11</v>
      </c>
      <c r="B14" s="73">
        <f t="shared" si="2"/>
        <v>2029</v>
      </c>
      <c r="C14" s="15">
        <f t="shared" si="0"/>
        <v>0.47509279638758667</v>
      </c>
      <c r="D14" s="33"/>
      <c r="E14" s="73">
        <f t="shared" si="3"/>
        <v>2011</v>
      </c>
      <c r="F14" s="31">
        <v>1.1254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x14ac:dyDescent="0.2">
      <c r="A15" s="73">
        <f t="shared" si="1"/>
        <v>12</v>
      </c>
      <c r="B15" s="73">
        <f t="shared" si="2"/>
        <v>2030</v>
      </c>
      <c r="C15" s="15">
        <f t="shared" si="0"/>
        <v>0.44401195924073528</v>
      </c>
      <c r="D15" s="33"/>
      <c r="E15" s="73">
        <f t="shared" si="3"/>
        <v>2012</v>
      </c>
      <c r="F15" s="31">
        <v>1.1042000000000001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x14ac:dyDescent="0.2">
      <c r="A16" s="73">
        <f t="shared" si="1"/>
        <v>13</v>
      </c>
      <c r="B16" s="73">
        <f t="shared" si="2"/>
        <v>2031</v>
      </c>
      <c r="C16" s="15">
        <f t="shared" si="0"/>
        <v>0.41496444788853759</v>
      </c>
      <c r="D16" s="33"/>
      <c r="E16" s="73">
        <f t="shared" si="3"/>
        <v>2013</v>
      </c>
      <c r="F16" s="31">
        <v>1.0851999999999999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x14ac:dyDescent="0.2">
      <c r="A17" s="73">
        <f t="shared" si="1"/>
        <v>14</v>
      </c>
      <c r="B17" s="73">
        <f t="shared" si="2"/>
        <v>2032</v>
      </c>
      <c r="C17" s="15">
        <f t="shared" si="0"/>
        <v>0.3878172410173249</v>
      </c>
      <c r="D17" s="33"/>
      <c r="E17" s="73">
        <f t="shared" si="3"/>
        <v>2014</v>
      </c>
      <c r="F17" s="31">
        <v>1.0653999999999999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x14ac:dyDescent="0.2">
      <c r="A18" s="73">
        <f t="shared" si="1"/>
        <v>15</v>
      </c>
      <c r="B18" s="73">
        <f t="shared" si="2"/>
        <v>2033</v>
      </c>
      <c r="C18" s="15">
        <f t="shared" si="0"/>
        <v>0.36244601964235967</v>
      </c>
      <c r="D18" s="33"/>
      <c r="E18" s="73">
        <f t="shared" si="3"/>
        <v>2015</v>
      </c>
      <c r="F18" s="31">
        <v>1.0545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x14ac:dyDescent="0.2">
      <c r="A19" s="73">
        <f t="shared" si="1"/>
        <v>16</v>
      </c>
      <c r="B19" s="73">
        <f t="shared" si="2"/>
        <v>2034</v>
      </c>
      <c r="C19" s="15">
        <f t="shared" si="0"/>
        <v>0.33873459779659787</v>
      </c>
      <c r="D19" s="33"/>
      <c r="E19" s="73">
        <f t="shared" si="3"/>
        <v>2016</v>
      </c>
      <c r="F19" s="31">
        <v>1.0437000000000001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x14ac:dyDescent="0.2">
      <c r="A20" s="73">
        <f t="shared" si="1"/>
        <v>17</v>
      </c>
      <c r="B20" s="73">
        <f t="shared" si="2"/>
        <v>2035</v>
      </c>
      <c r="C20" s="15">
        <f t="shared" si="0"/>
        <v>0.31657439046411018</v>
      </c>
      <c r="D20" s="33"/>
      <c r="E20" s="73">
        <f t="shared" si="3"/>
        <v>2017</v>
      </c>
      <c r="F20" s="31">
        <v>1.0244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x14ac:dyDescent="0.2">
      <c r="A21" s="73">
        <f t="shared" si="1"/>
        <v>18</v>
      </c>
      <c r="B21" s="73">
        <f t="shared" si="2"/>
        <v>2036</v>
      </c>
      <c r="C21" s="15">
        <f t="shared" si="0"/>
        <v>0.29586391632159825</v>
      </c>
      <c r="D21" s="33"/>
      <c r="E21" s="73">
        <f t="shared" si="3"/>
        <v>2018</v>
      </c>
      <c r="F21" s="32">
        <v>1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x14ac:dyDescent="0.2">
      <c r="A22" s="73">
        <f t="shared" si="1"/>
        <v>19</v>
      </c>
      <c r="B22" s="73">
        <f t="shared" si="2"/>
        <v>2037</v>
      </c>
      <c r="C22" s="15">
        <f t="shared" si="0"/>
        <v>0.27650833301083949</v>
      </c>
      <c r="D22" s="33"/>
      <c r="E22" s="288" t="s">
        <v>62</v>
      </c>
      <c r="F22" s="28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x14ac:dyDescent="0.2">
      <c r="A23" s="73">
        <f t="shared" si="1"/>
        <v>20</v>
      </c>
      <c r="B23" s="73">
        <f t="shared" si="2"/>
        <v>2038</v>
      </c>
      <c r="C23" s="15">
        <f t="shared" si="0"/>
        <v>0.2584190028138687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x14ac:dyDescent="0.2">
      <c r="A24" s="73">
        <f t="shared" si="1"/>
        <v>21</v>
      </c>
      <c r="B24" s="73">
        <f t="shared" si="2"/>
        <v>2039</v>
      </c>
      <c r="C24" s="15">
        <f t="shared" si="0"/>
        <v>0.24151308674193336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x14ac:dyDescent="0.2">
      <c r="A25" s="73">
        <f t="shared" si="1"/>
        <v>22</v>
      </c>
      <c r="B25" s="73">
        <f t="shared" si="2"/>
        <v>2040</v>
      </c>
      <c r="C25" s="15">
        <f t="shared" si="0"/>
        <v>0.22571316517937698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x14ac:dyDescent="0.2">
      <c r="A26" s="73">
        <f t="shared" si="1"/>
        <v>23</v>
      </c>
      <c r="B26" s="73">
        <f t="shared" si="2"/>
        <v>2041</v>
      </c>
      <c r="C26" s="15">
        <f t="shared" si="0"/>
        <v>0.21094688334521211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x14ac:dyDescent="0.2">
      <c r="A27" s="73">
        <f t="shared" si="1"/>
        <v>24</v>
      </c>
      <c r="B27" s="73">
        <f t="shared" si="2"/>
        <v>2042</v>
      </c>
      <c r="C27" s="15">
        <f t="shared" si="0"/>
        <v>0.19714661994879637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x14ac:dyDescent="0.2">
      <c r="A28" s="73">
        <f t="shared" si="1"/>
        <v>25</v>
      </c>
      <c r="B28" s="73">
        <f t="shared" si="2"/>
        <v>2043</v>
      </c>
      <c r="C28" s="15">
        <f t="shared" si="0"/>
        <v>0.18424917752223957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x14ac:dyDescent="0.2">
      <c r="A29" s="73">
        <f t="shared" si="1"/>
        <v>26</v>
      </c>
      <c r="B29" s="73">
        <f t="shared" si="2"/>
        <v>2044</v>
      </c>
      <c r="C29" s="15">
        <f t="shared" si="0"/>
        <v>0.17219549301143888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x14ac:dyDescent="0.2">
      <c r="A30" s="73">
        <f t="shared" si="1"/>
        <v>27</v>
      </c>
      <c r="B30" s="73">
        <f t="shared" si="2"/>
        <v>2045</v>
      </c>
      <c r="C30" s="15">
        <f t="shared" si="0"/>
        <v>0.16093036730041013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x14ac:dyDescent="0.2">
      <c r="A31" s="73">
        <f t="shared" si="1"/>
        <v>28</v>
      </c>
      <c r="B31" s="73">
        <f t="shared" si="2"/>
        <v>2046</v>
      </c>
      <c r="C31" s="15">
        <f t="shared" si="0"/>
        <v>0.15040221243028987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x14ac:dyDescent="0.2">
      <c r="A32" s="73">
        <f t="shared" si="1"/>
        <v>29</v>
      </c>
      <c r="B32" s="73">
        <f t="shared" si="2"/>
        <v>2047</v>
      </c>
      <c r="C32" s="15">
        <f t="shared" si="0"/>
        <v>0.1405628153554111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x14ac:dyDescent="0.2">
      <c r="A33" s="73">
        <f t="shared" si="1"/>
        <v>30</v>
      </c>
      <c r="B33" s="73">
        <f t="shared" si="2"/>
        <v>2048</v>
      </c>
      <c r="C33" s="15">
        <f t="shared" si="0"/>
        <v>0.13136711715458982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x14ac:dyDescent="0.2">
      <c r="A34" s="73">
        <f t="shared" si="1"/>
        <v>31</v>
      </c>
      <c r="B34" s="73">
        <f t="shared" si="2"/>
        <v>2049</v>
      </c>
      <c r="C34" s="15">
        <f t="shared" si="0"/>
        <v>0.1227730066865325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x14ac:dyDescent="0.2">
      <c r="A35" s="73">
        <f t="shared" si="1"/>
        <v>32</v>
      </c>
      <c r="B35" s="73">
        <f t="shared" si="2"/>
        <v>2050</v>
      </c>
      <c r="C35" s="15">
        <f t="shared" si="0"/>
        <v>0.11474112774442291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x14ac:dyDescent="0.2">
      <c r="A36" s="73">
        <f t="shared" si="1"/>
        <v>33</v>
      </c>
      <c r="B36" s="73">
        <f t="shared" si="2"/>
        <v>2051</v>
      </c>
      <c r="C36" s="15">
        <f t="shared" si="0"/>
        <v>0.10723469882656347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x14ac:dyDescent="0.2">
      <c r="A37" s="73">
        <f t="shared" si="1"/>
        <v>34</v>
      </c>
      <c r="B37" s="73">
        <f t="shared" si="2"/>
        <v>2052</v>
      </c>
      <c r="C37" s="15">
        <f t="shared" si="0"/>
        <v>0.10021934469772288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x14ac:dyDescent="0.2">
      <c r="A38" s="73">
        <f t="shared" si="1"/>
        <v>35</v>
      </c>
      <c r="B38" s="73">
        <f t="shared" si="2"/>
        <v>2053</v>
      </c>
      <c r="C38" s="15">
        <f t="shared" si="0"/>
        <v>9.366293896983445E-2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x14ac:dyDescent="0.2">
      <c r="A39" s="73">
        <f t="shared" si="1"/>
        <v>36</v>
      </c>
      <c r="B39" s="73">
        <f t="shared" si="2"/>
        <v>2054</v>
      </c>
      <c r="C39" s="15">
        <f t="shared" si="0"/>
        <v>8.7535456981153698E-2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x14ac:dyDescent="0.2">
      <c r="A40" s="73">
        <f t="shared" si="1"/>
        <v>37</v>
      </c>
      <c r="B40" s="73">
        <f t="shared" si="2"/>
        <v>2055</v>
      </c>
      <c r="C40" s="15">
        <f t="shared" si="0"/>
        <v>8.1808838300143641E-2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x14ac:dyDescent="0.2">
      <c r="A41" s="73">
        <f t="shared" si="1"/>
        <v>38</v>
      </c>
      <c r="B41" s="73">
        <f t="shared" si="2"/>
        <v>2056</v>
      </c>
      <c r="C41" s="15">
        <f t="shared" si="0"/>
        <v>7.6456858224433308E-2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x14ac:dyDescent="0.2">
      <c r="A42" s="73">
        <f t="shared" si="1"/>
        <v>39</v>
      </c>
      <c r="B42" s="73">
        <f t="shared" si="2"/>
        <v>2057</v>
      </c>
      <c r="C42" s="15">
        <f t="shared" si="0"/>
        <v>7.1455007686386268E-2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x14ac:dyDescent="0.2">
      <c r="A43" s="73">
        <f t="shared" si="1"/>
        <v>40</v>
      </c>
      <c r="B43" s="73">
        <f t="shared" si="2"/>
        <v>2058</v>
      </c>
      <c r="C43" s="15">
        <f t="shared" si="0"/>
        <v>6.6780381015314264E-2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3.15" customHeight="1" x14ac:dyDescent="0.2">
      <c r="A44" s="286" t="s">
        <v>7</v>
      </c>
      <c r="B44" s="287"/>
      <c r="C44" s="16">
        <f>0.07</f>
        <v>7.0000000000000007E-2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</sheetData>
  <mergeCells count="4">
    <mergeCell ref="A2:C2"/>
    <mergeCell ref="A44:B44"/>
    <mergeCell ref="E2:F2"/>
    <mergeCell ref="E22:F2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B230"/>
  <sheetViews>
    <sheetView zoomScale="110" zoomScaleNormal="110" workbookViewId="0">
      <selection activeCell="C5" sqref="C5"/>
    </sheetView>
  </sheetViews>
  <sheetFormatPr defaultRowHeight="12.75" x14ac:dyDescent="0.2"/>
  <cols>
    <col min="1" max="1" width="16.28515625" customWidth="1"/>
    <col min="2" max="2" width="5.7109375" customWidth="1"/>
    <col min="3" max="3" width="11.28515625" customWidth="1"/>
    <col min="4" max="4" width="1.28515625" customWidth="1"/>
    <col min="5" max="5" width="7.5703125" customWidth="1"/>
    <col min="6" max="6" width="12.7109375" customWidth="1"/>
    <col min="7" max="7" width="11.7109375" customWidth="1"/>
    <col min="8" max="8" width="12.140625" customWidth="1"/>
    <col min="11" max="11" width="9.7109375" bestFit="1" customWidth="1"/>
    <col min="13" max="13" width="13.7109375" bestFit="1" customWidth="1"/>
    <col min="18" max="80" width="8.85546875" style="33"/>
  </cols>
  <sheetData>
    <row r="1" spans="1:17" ht="18" x14ac:dyDescent="0.25">
      <c r="A1" s="87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" customHeight="1" x14ac:dyDescent="0.3">
      <c r="A2" s="6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A3" s="293" t="s">
        <v>57</v>
      </c>
      <c r="B3" s="293"/>
      <c r="C3" s="180">
        <v>26270000</v>
      </c>
      <c r="D3" s="33"/>
      <c r="E3" s="290" t="s">
        <v>45</v>
      </c>
      <c r="F3" s="291"/>
      <c r="G3" s="291"/>
      <c r="H3" s="292"/>
      <c r="I3" s="33"/>
      <c r="J3" s="33"/>
      <c r="K3" s="33"/>
      <c r="L3" s="33"/>
      <c r="M3" s="33"/>
      <c r="N3" s="33"/>
      <c r="O3" s="33"/>
      <c r="P3" s="33"/>
      <c r="Q3" s="33"/>
    </row>
    <row r="4" spans="1:17" ht="26.25" thickBot="1" x14ac:dyDescent="0.25">
      <c r="A4" s="293" t="s">
        <v>44</v>
      </c>
      <c r="B4" s="293"/>
      <c r="C4" s="181">
        <f>((C5-20)/C5)*C3</f>
        <v>19264666.666666664</v>
      </c>
      <c r="D4" s="33"/>
      <c r="E4" s="4" t="s">
        <v>1</v>
      </c>
      <c r="F4" s="5" t="s">
        <v>21</v>
      </c>
      <c r="G4" s="5" t="s">
        <v>20</v>
      </c>
      <c r="H4" s="5" t="s">
        <v>41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ht="13.5" thickTop="1" x14ac:dyDescent="0.2">
      <c r="A5" s="293" t="s">
        <v>39</v>
      </c>
      <c r="B5" s="293"/>
      <c r="C5" s="13">
        <v>75</v>
      </c>
      <c r="D5" s="33"/>
      <c r="E5" s="73">
        <v>2021</v>
      </c>
      <c r="F5" s="11">
        <v>0.3</v>
      </c>
      <c r="G5" s="182">
        <f>F5*$C$3</f>
        <v>7881000</v>
      </c>
      <c r="H5" s="183">
        <f>ROUND((G5)*NPV!C6,0)</f>
        <v>6433244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">
      <c r="A6" s="59"/>
      <c r="B6" s="33"/>
      <c r="C6" s="33"/>
      <c r="D6" s="33"/>
      <c r="E6" s="73">
        <f t="shared" ref="E6:E24" si="0">E5+1</f>
        <v>2022</v>
      </c>
      <c r="F6" s="11">
        <v>0.7</v>
      </c>
      <c r="G6" s="182">
        <f>F6*$C$3</f>
        <v>18389000</v>
      </c>
      <c r="H6" s="183">
        <f>ROUND((G6)*NPV!C7,0)</f>
        <v>14028880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3"/>
      <c r="B7" s="33"/>
      <c r="C7" s="33"/>
      <c r="D7" s="33"/>
      <c r="E7" s="73">
        <f t="shared" si="0"/>
        <v>2023</v>
      </c>
      <c r="F7" s="11"/>
      <c r="G7" s="182">
        <f t="shared" ref="G7:G25" si="1">F7*$C$3</f>
        <v>0</v>
      </c>
      <c r="H7" s="183">
        <f>ROUND((G7)*NPV!C8,0)</f>
        <v>0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x14ac:dyDescent="0.2">
      <c r="A8" s="33"/>
      <c r="B8" s="33"/>
      <c r="C8" s="33"/>
      <c r="D8" s="33"/>
      <c r="E8" s="73">
        <f t="shared" si="0"/>
        <v>2024</v>
      </c>
      <c r="F8" s="11"/>
      <c r="G8" s="182">
        <f t="shared" si="1"/>
        <v>0</v>
      </c>
      <c r="H8" s="183">
        <f>ROUND((G8)*NPV!C9,0)</f>
        <v>0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">
      <c r="A9" s="33"/>
      <c r="B9" s="33"/>
      <c r="C9" s="33"/>
      <c r="D9" s="33"/>
      <c r="E9" s="73">
        <f t="shared" si="0"/>
        <v>2025</v>
      </c>
      <c r="F9" s="12"/>
      <c r="G9" s="182">
        <f t="shared" si="1"/>
        <v>0</v>
      </c>
      <c r="H9" s="183">
        <f>ROUND((G9)*NPV!C10,0)</f>
        <v>0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x14ac:dyDescent="0.2">
      <c r="A10" s="33"/>
      <c r="B10" s="33"/>
      <c r="C10" s="33"/>
      <c r="D10" s="33"/>
      <c r="E10" s="73">
        <f t="shared" si="0"/>
        <v>2026</v>
      </c>
      <c r="F10" s="12"/>
      <c r="G10" s="182">
        <f t="shared" si="1"/>
        <v>0</v>
      </c>
      <c r="H10" s="183">
        <f>ROUND((G10)*NPV!C11,0)</f>
        <v>0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x14ac:dyDescent="0.2">
      <c r="A11" s="33"/>
      <c r="B11" s="33"/>
      <c r="C11" s="33"/>
      <c r="D11" s="33"/>
      <c r="E11" s="73">
        <f t="shared" si="0"/>
        <v>2027</v>
      </c>
      <c r="F11" s="12"/>
      <c r="G11" s="182">
        <f t="shared" si="1"/>
        <v>0</v>
      </c>
      <c r="H11" s="183">
        <f>ROUND((G11)*NPV!C12,0)</f>
        <v>0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x14ac:dyDescent="0.2">
      <c r="A12" s="33"/>
      <c r="B12" s="33"/>
      <c r="C12" s="33"/>
      <c r="D12" s="33"/>
      <c r="E12" s="73">
        <f t="shared" si="0"/>
        <v>2028</v>
      </c>
      <c r="F12" s="12"/>
      <c r="G12" s="182">
        <f t="shared" si="1"/>
        <v>0</v>
      </c>
      <c r="H12" s="183">
        <f>ROUND((G12)*NPV!C13,0)</f>
        <v>0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x14ac:dyDescent="0.2">
      <c r="A13" s="33"/>
      <c r="B13" s="33"/>
      <c r="C13" s="33"/>
      <c r="D13" s="33"/>
      <c r="E13" s="73">
        <f t="shared" si="0"/>
        <v>2029</v>
      </c>
      <c r="F13" s="12"/>
      <c r="G13" s="182">
        <f t="shared" si="1"/>
        <v>0</v>
      </c>
      <c r="H13" s="183">
        <f>ROUND((G13)*NPV!C14,0)</f>
        <v>0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x14ac:dyDescent="0.2">
      <c r="A14" s="33"/>
      <c r="B14" s="33"/>
      <c r="C14" s="33"/>
      <c r="D14" s="33"/>
      <c r="E14" s="73">
        <f t="shared" si="0"/>
        <v>2030</v>
      </c>
      <c r="F14" s="12"/>
      <c r="G14" s="182">
        <f t="shared" si="1"/>
        <v>0</v>
      </c>
      <c r="H14" s="183">
        <f>ROUND((G14)*NPV!C15,0)</f>
        <v>0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x14ac:dyDescent="0.2">
      <c r="A15" s="33"/>
      <c r="B15" s="33"/>
      <c r="C15" s="33"/>
      <c r="D15" s="33"/>
      <c r="E15" s="73">
        <f t="shared" si="0"/>
        <v>2031</v>
      </c>
      <c r="F15" s="12"/>
      <c r="G15" s="182">
        <f t="shared" si="1"/>
        <v>0</v>
      </c>
      <c r="H15" s="183">
        <f>ROUND((G15)*NPV!C16,0)</f>
        <v>0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x14ac:dyDescent="0.2">
      <c r="A16" s="33"/>
      <c r="B16" s="33"/>
      <c r="C16" s="33"/>
      <c r="D16" s="33"/>
      <c r="E16" s="73">
        <f t="shared" si="0"/>
        <v>2032</v>
      </c>
      <c r="F16" s="12"/>
      <c r="G16" s="182">
        <f t="shared" si="1"/>
        <v>0</v>
      </c>
      <c r="H16" s="183">
        <f>ROUND((G16)*NPV!C17,0)</f>
        <v>0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17" x14ac:dyDescent="0.2">
      <c r="A17" s="33"/>
      <c r="B17" s="33"/>
      <c r="C17" s="33"/>
      <c r="D17" s="33"/>
      <c r="E17" s="73">
        <f t="shared" si="0"/>
        <v>2033</v>
      </c>
      <c r="F17" s="12"/>
      <c r="G17" s="182">
        <f t="shared" si="1"/>
        <v>0</v>
      </c>
      <c r="H17" s="183">
        <f>ROUND((G17)*NPV!C18,0)</f>
        <v>0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">
      <c r="A18" s="33"/>
      <c r="B18" s="33"/>
      <c r="C18" s="33"/>
      <c r="D18" s="33"/>
      <c r="E18" s="73">
        <f t="shared" si="0"/>
        <v>2034</v>
      </c>
      <c r="F18" s="12"/>
      <c r="G18" s="182">
        <f t="shared" si="1"/>
        <v>0</v>
      </c>
      <c r="H18" s="183">
        <f>ROUND((G18)*NPV!C19,0)</f>
        <v>0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">
      <c r="A19" s="33"/>
      <c r="B19" s="33"/>
      <c r="C19" s="33"/>
      <c r="D19" s="33"/>
      <c r="E19" s="73">
        <f t="shared" si="0"/>
        <v>2035</v>
      </c>
      <c r="F19" s="12"/>
      <c r="G19" s="182">
        <f t="shared" si="1"/>
        <v>0</v>
      </c>
      <c r="H19" s="183">
        <f>ROUND((G19)*NPV!C20,0)</f>
        <v>0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">
      <c r="A20" s="33"/>
      <c r="B20" s="33"/>
      <c r="C20" s="33"/>
      <c r="D20" s="33"/>
      <c r="E20" s="73">
        <f t="shared" si="0"/>
        <v>2036</v>
      </c>
      <c r="F20" s="12"/>
      <c r="G20" s="182">
        <f t="shared" si="1"/>
        <v>0</v>
      </c>
      <c r="H20" s="183">
        <f>ROUND((G20)*NPV!C21,0)</f>
        <v>0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">
      <c r="A21" s="33"/>
      <c r="B21" s="33"/>
      <c r="C21" s="33"/>
      <c r="D21" s="33"/>
      <c r="E21" s="73">
        <f t="shared" si="0"/>
        <v>2037</v>
      </c>
      <c r="F21" s="12"/>
      <c r="G21" s="182">
        <f t="shared" si="1"/>
        <v>0</v>
      </c>
      <c r="H21" s="183">
        <f>ROUND((G21)*NPV!C22,0)</f>
        <v>0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17" x14ac:dyDescent="0.2">
      <c r="A22" s="33"/>
      <c r="B22" s="33"/>
      <c r="C22" s="33"/>
      <c r="D22" s="33"/>
      <c r="E22" s="73">
        <f t="shared" si="0"/>
        <v>2038</v>
      </c>
      <c r="F22" s="12"/>
      <c r="G22" s="182">
        <f t="shared" si="1"/>
        <v>0</v>
      </c>
      <c r="H22" s="183">
        <f>ROUND((G22)*NPV!C23,0)</f>
        <v>0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17" x14ac:dyDescent="0.2">
      <c r="A23" s="33"/>
      <c r="B23" s="33"/>
      <c r="C23" s="33"/>
      <c r="D23" s="33"/>
      <c r="E23" s="73">
        <f t="shared" si="0"/>
        <v>2039</v>
      </c>
      <c r="F23" s="12"/>
      <c r="G23" s="182">
        <f t="shared" si="1"/>
        <v>0</v>
      </c>
      <c r="H23" s="183">
        <f>ROUND((G23)*NPV!C24,0)</f>
        <v>0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17" x14ac:dyDescent="0.2">
      <c r="A24" s="33"/>
      <c r="B24" s="33"/>
      <c r="C24" s="33"/>
      <c r="D24" s="33"/>
      <c r="E24" s="73">
        <f t="shared" si="0"/>
        <v>2040</v>
      </c>
      <c r="F24" s="12"/>
      <c r="G24" s="182">
        <f t="shared" si="1"/>
        <v>0</v>
      </c>
      <c r="H24" s="183">
        <f>ROUND((G24)*NPV!C25,0)</f>
        <v>0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x14ac:dyDescent="0.2">
      <c r="A25" s="33"/>
      <c r="B25" s="33"/>
      <c r="C25" s="33"/>
      <c r="D25" s="33"/>
      <c r="E25" s="34">
        <f t="shared" ref="E25:E26" si="2">E24+1</f>
        <v>2041</v>
      </c>
      <c r="F25" s="12"/>
      <c r="G25" s="182">
        <f t="shared" si="1"/>
        <v>0</v>
      </c>
      <c r="H25" s="183">
        <f>ROUND((G25)*NPV!C26,0)</f>
        <v>0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3.5" thickBot="1" x14ac:dyDescent="0.25">
      <c r="A26" s="33"/>
      <c r="B26" s="33"/>
      <c r="C26" s="33"/>
      <c r="D26" s="33"/>
      <c r="E26" s="76">
        <f t="shared" si="2"/>
        <v>2042</v>
      </c>
      <c r="F26" s="19"/>
      <c r="G26" s="184">
        <f>-C4</f>
        <v>-19264666.666666664</v>
      </c>
      <c r="H26" s="185">
        <f>ROUND((G26)*NPV!C27,0)</f>
        <v>-3797964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3.5" thickTop="1" x14ac:dyDescent="0.2">
      <c r="A27" s="33"/>
      <c r="B27" s="33"/>
      <c r="C27" s="33"/>
      <c r="D27" s="33"/>
      <c r="E27" s="77" t="s">
        <v>0</v>
      </c>
      <c r="F27" s="14">
        <f>SUM(F5:F26)</f>
        <v>1</v>
      </c>
      <c r="G27" s="186">
        <f>SUM(G5:G26)</f>
        <v>7005333.3333333358</v>
      </c>
      <c r="H27" s="187">
        <f>SUM(H5:H26)</f>
        <v>16664160</v>
      </c>
      <c r="I27" s="33"/>
      <c r="J27" s="33"/>
      <c r="K27" s="33"/>
      <c r="L27" s="33"/>
      <c r="M27" s="33"/>
      <c r="N27" s="33"/>
      <c r="P27" s="33"/>
      <c r="Q27" s="33"/>
    </row>
    <row r="28" spans="1:17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s="33" customFormat="1" x14ac:dyDescent="0.2"/>
    <row r="41" spans="1:17" s="33" customFormat="1" x14ac:dyDescent="0.2"/>
    <row r="42" spans="1:17" s="33" customFormat="1" x14ac:dyDescent="0.2"/>
    <row r="43" spans="1:17" s="33" customFormat="1" x14ac:dyDescent="0.2"/>
    <row r="44" spans="1:17" s="33" customFormat="1" x14ac:dyDescent="0.2"/>
    <row r="45" spans="1:17" s="33" customFormat="1" x14ac:dyDescent="0.2"/>
    <row r="46" spans="1:17" s="33" customFormat="1" x14ac:dyDescent="0.2"/>
    <row r="47" spans="1:17" s="33" customFormat="1" x14ac:dyDescent="0.2"/>
    <row r="48" spans="1:17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  <row r="60" s="33" customFormat="1" x14ac:dyDescent="0.2"/>
    <row r="61" s="33" customFormat="1" x14ac:dyDescent="0.2"/>
    <row r="62" s="33" customFormat="1" x14ac:dyDescent="0.2"/>
    <row r="63" s="33" customFormat="1" x14ac:dyDescent="0.2"/>
    <row r="64" s="33" customFormat="1" x14ac:dyDescent="0.2"/>
    <row r="65" s="33" customFormat="1" x14ac:dyDescent="0.2"/>
    <row r="66" s="33" customFormat="1" x14ac:dyDescent="0.2"/>
    <row r="67" s="33" customFormat="1" x14ac:dyDescent="0.2"/>
    <row r="68" s="33" customFormat="1" x14ac:dyDescent="0.2"/>
    <row r="69" s="33" customFormat="1" x14ac:dyDescent="0.2"/>
    <row r="70" s="33" customFormat="1" x14ac:dyDescent="0.2"/>
    <row r="71" s="33" customFormat="1" x14ac:dyDescent="0.2"/>
    <row r="72" s="33" customFormat="1" x14ac:dyDescent="0.2"/>
    <row r="73" s="33" customFormat="1" x14ac:dyDescent="0.2"/>
    <row r="74" s="33" customFormat="1" x14ac:dyDescent="0.2"/>
    <row r="75" s="33" customFormat="1" x14ac:dyDescent="0.2"/>
    <row r="76" s="33" customFormat="1" x14ac:dyDescent="0.2"/>
    <row r="77" s="33" customFormat="1" x14ac:dyDescent="0.2"/>
    <row r="78" s="33" customFormat="1" x14ac:dyDescent="0.2"/>
    <row r="79" s="33" customFormat="1" x14ac:dyDescent="0.2"/>
    <row r="80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  <row r="112" s="33" customFormat="1" x14ac:dyDescent="0.2"/>
    <row r="113" s="33" customFormat="1" x14ac:dyDescent="0.2"/>
    <row r="114" s="33" customFormat="1" x14ac:dyDescent="0.2"/>
    <row r="115" s="33" customFormat="1" x14ac:dyDescent="0.2"/>
    <row r="116" s="33" customFormat="1" x14ac:dyDescent="0.2"/>
    <row r="117" s="33" customFormat="1" x14ac:dyDescent="0.2"/>
    <row r="118" s="33" customFormat="1" x14ac:dyDescent="0.2"/>
    <row r="119" s="33" customFormat="1" x14ac:dyDescent="0.2"/>
    <row r="120" s="33" customFormat="1" x14ac:dyDescent="0.2"/>
    <row r="121" s="33" customFormat="1" x14ac:dyDescent="0.2"/>
    <row r="122" s="33" customFormat="1" x14ac:dyDescent="0.2"/>
    <row r="123" s="33" customFormat="1" x14ac:dyDescent="0.2"/>
    <row r="124" s="33" customFormat="1" x14ac:dyDescent="0.2"/>
    <row r="125" s="33" customFormat="1" x14ac:dyDescent="0.2"/>
    <row r="126" s="33" customFormat="1" x14ac:dyDescent="0.2"/>
    <row r="127" s="33" customFormat="1" x14ac:dyDescent="0.2"/>
    <row r="128" s="33" customFormat="1" x14ac:dyDescent="0.2"/>
    <row r="129" s="33" customFormat="1" x14ac:dyDescent="0.2"/>
    <row r="130" s="33" customFormat="1" x14ac:dyDescent="0.2"/>
    <row r="131" s="33" customFormat="1" x14ac:dyDescent="0.2"/>
    <row r="132" s="33" customFormat="1" x14ac:dyDescent="0.2"/>
    <row r="133" s="33" customFormat="1" x14ac:dyDescent="0.2"/>
    <row r="134" s="33" customFormat="1" x14ac:dyDescent="0.2"/>
    <row r="135" s="33" customFormat="1" x14ac:dyDescent="0.2"/>
    <row r="136" s="33" customFormat="1" x14ac:dyDescent="0.2"/>
    <row r="137" s="33" customFormat="1" x14ac:dyDescent="0.2"/>
    <row r="138" s="33" customFormat="1" x14ac:dyDescent="0.2"/>
    <row r="139" s="33" customFormat="1" x14ac:dyDescent="0.2"/>
    <row r="140" s="33" customFormat="1" x14ac:dyDescent="0.2"/>
    <row r="141" s="33" customFormat="1" x14ac:dyDescent="0.2"/>
    <row r="142" s="33" customFormat="1" x14ac:dyDescent="0.2"/>
    <row r="143" s="33" customFormat="1" x14ac:dyDescent="0.2"/>
    <row r="144" s="33" customFormat="1" x14ac:dyDescent="0.2"/>
    <row r="145" s="33" customFormat="1" x14ac:dyDescent="0.2"/>
    <row r="146" s="33" customFormat="1" x14ac:dyDescent="0.2"/>
    <row r="147" s="33" customFormat="1" x14ac:dyDescent="0.2"/>
    <row r="148" s="33" customFormat="1" x14ac:dyDescent="0.2"/>
    <row r="149" s="33" customFormat="1" x14ac:dyDescent="0.2"/>
    <row r="150" s="33" customFormat="1" x14ac:dyDescent="0.2"/>
    <row r="151" s="33" customFormat="1" x14ac:dyDescent="0.2"/>
    <row r="152" s="33" customFormat="1" x14ac:dyDescent="0.2"/>
    <row r="153" s="33" customFormat="1" x14ac:dyDescent="0.2"/>
    <row r="154" s="33" customFormat="1" x14ac:dyDescent="0.2"/>
    <row r="155" s="33" customFormat="1" x14ac:dyDescent="0.2"/>
    <row r="156" s="33" customFormat="1" x14ac:dyDescent="0.2"/>
    <row r="157" s="33" customFormat="1" x14ac:dyDescent="0.2"/>
    <row r="158" s="33" customFormat="1" x14ac:dyDescent="0.2"/>
    <row r="159" s="33" customFormat="1" x14ac:dyDescent="0.2"/>
    <row r="160" s="33" customFormat="1" x14ac:dyDescent="0.2"/>
    <row r="161" s="33" customFormat="1" x14ac:dyDescent="0.2"/>
    <row r="162" s="33" customFormat="1" x14ac:dyDescent="0.2"/>
    <row r="163" s="33" customFormat="1" x14ac:dyDescent="0.2"/>
    <row r="164" s="33" customFormat="1" x14ac:dyDescent="0.2"/>
    <row r="165" s="33" customFormat="1" x14ac:dyDescent="0.2"/>
    <row r="166" s="33" customFormat="1" x14ac:dyDescent="0.2"/>
    <row r="167" s="33" customFormat="1" x14ac:dyDescent="0.2"/>
    <row r="168" s="33" customFormat="1" x14ac:dyDescent="0.2"/>
    <row r="169" s="33" customFormat="1" x14ac:dyDescent="0.2"/>
    <row r="170" s="33" customFormat="1" x14ac:dyDescent="0.2"/>
    <row r="171" s="33" customFormat="1" x14ac:dyDescent="0.2"/>
    <row r="172" s="33" customFormat="1" x14ac:dyDescent="0.2"/>
    <row r="173" s="33" customFormat="1" x14ac:dyDescent="0.2"/>
    <row r="174" s="33" customFormat="1" x14ac:dyDescent="0.2"/>
    <row r="175" s="33" customFormat="1" x14ac:dyDescent="0.2"/>
    <row r="176" s="33" customFormat="1" x14ac:dyDescent="0.2"/>
    <row r="177" s="33" customFormat="1" x14ac:dyDescent="0.2"/>
    <row r="178" s="33" customFormat="1" x14ac:dyDescent="0.2"/>
    <row r="179" s="33" customFormat="1" x14ac:dyDescent="0.2"/>
    <row r="180" s="33" customFormat="1" x14ac:dyDescent="0.2"/>
    <row r="181" s="33" customFormat="1" x14ac:dyDescent="0.2"/>
    <row r="182" s="33" customFormat="1" x14ac:dyDescent="0.2"/>
    <row r="183" s="33" customFormat="1" x14ac:dyDescent="0.2"/>
    <row r="184" s="33" customFormat="1" x14ac:dyDescent="0.2"/>
    <row r="185" s="33" customFormat="1" x14ac:dyDescent="0.2"/>
    <row r="186" s="33" customFormat="1" x14ac:dyDescent="0.2"/>
    <row r="187" s="33" customFormat="1" x14ac:dyDescent="0.2"/>
    <row r="188" s="33" customFormat="1" x14ac:dyDescent="0.2"/>
    <row r="189" s="33" customFormat="1" x14ac:dyDescent="0.2"/>
    <row r="190" s="33" customFormat="1" x14ac:dyDescent="0.2"/>
    <row r="191" s="33" customFormat="1" x14ac:dyDescent="0.2"/>
    <row r="192" s="33" customFormat="1" x14ac:dyDescent="0.2"/>
    <row r="193" s="33" customFormat="1" x14ac:dyDescent="0.2"/>
    <row r="194" s="33" customFormat="1" x14ac:dyDescent="0.2"/>
    <row r="195" s="33" customFormat="1" x14ac:dyDescent="0.2"/>
    <row r="196" s="33" customFormat="1" x14ac:dyDescent="0.2"/>
    <row r="197" s="33" customFormat="1" x14ac:dyDescent="0.2"/>
    <row r="198" s="33" customFormat="1" x14ac:dyDescent="0.2"/>
    <row r="199" s="33" customFormat="1" x14ac:dyDescent="0.2"/>
    <row r="200" s="33" customFormat="1" x14ac:dyDescent="0.2"/>
    <row r="201" s="33" customFormat="1" x14ac:dyDescent="0.2"/>
    <row r="202" s="33" customFormat="1" x14ac:dyDescent="0.2"/>
    <row r="203" s="33" customFormat="1" x14ac:dyDescent="0.2"/>
    <row r="204" s="33" customFormat="1" x14ac:dyDescent="0.2"/>
    <row r="205" s="33" customFormat="1" x14ac:dyDescent="0.2"/>
    <row r="206" s="33" customFormat="1" x14ac:dyDescent="0.2"/>
    <row r="207" s="33" customFormat="1" x14ac:dyDescent="0.2"/>
    <row r="208" s="33" customFormat="1" x14ac:dyDescent="0.2"/>
    <row r="209" spans="1:3" s="33" customFormat="1" x14ac:dyDescent="0.2"/>
    <row r="210" spans="1:3" s="33" customFormat="1" x14ac:dyDescent="0.2"/>
    <row r="211" spans="1:3" s="33" customFormat="1" x14ac:dyDescent="0.2"/>
    <row r="212" spans="1:3" s="33" customFormat="1" x14ac:dyDescent="0.2"/>
    <row r="213" spans="1:3" s="33" customFormat="1" x14ac:dyDescent="0.2"/>
    <row r="214" spans="1:3" s="33" customFormat="1" x14ac:dyDescent="0.2"/>
    <row r="215" spans="1:3" s="33" customFormat="1" x14ac:dyDescent="0.2">
      <c r="A215"/>
      <c r="B215"/>
      <c r="C215"/>
    </row>
    <row r="216" spans="1:3" s="33" customFormat="1" x14ac:dyDescent="0.2">
      <c r="A216"/>
      <c r="B216"/>
      <c r="C216"/>
    </row>
    <row r="217" spans="1:3" s="33" customFormat="1" x14ac:dyDescent="0.2">
      <c r="A217"/>
      <c r="B217"/>
      <c r="C217"/>
    </row>
    <row r="218" spans="1:3" s="33" customFormat="1" x14ac:dyDescent="0.2">
      <c r="A218"/>
      <c r="B218"/>
      <c r="C218"/>
    </row>
    <row r="219" spans="1:3" s="33" customFormat="1" x14ac:dyDescent="0.2">
      <c r="A219"/>
      <c r="B219"/>
      <c r="C219"/>
    </row>
    <row r="220" spans="1:3" s="33" customFormat="1" x14ac:dyDescent="0.2">
      <c r="A220"/>
      <c r="B220"/>
      <c r="C220"/>
    </row>
    <row r="221" spans="1:3" s="33" customFormat="1" x14ac:dyDescent="0.2">
      <c r="A221"/>
      <c r="B221"/>
      <c r="C221"/>
    </row>
    <row r="222" spans="1:3" s="33" customFormat="1" x14ac:dyDescent="0.2">
      <c r="A222"/>
      <c r="B222"/>
      <c r="C222"/>
    </row>
    <row r="223" spans="1:3" s="33" customFormat="1" x14ac:dyDescent="0.2">
      <c r="A223"/>
      <c r="B223"/>
      <c r="C223"/>
    </row>
    <row r="224" spans="1:3" s="33" customFormat="1" x14ac:dyDescent="0.2">
      <c r="A224"/>
      <c r="B224"/>
      <c r="C224"/>
    </row>
    <row r="225" spans="1:8" s="33" customFormat="1" x14ac:dyDescent="0.2">
      <c r="A225"/>
      <c r="B225"/>
      <c r="C225"/>
    </row>
    <row r="226" spans="1:8" s="33" customFormat="1" x14ac:dyDescent="0.2">
      <c r="A226"/>
      <c r="B226"/>
      <c r="C226"/>
    </row>
    <row r="227" spans="1:8" s="33" customFormat="1" x14ac:dyDescent="0.2">
      <c r="A227"/>
      <c r="B227"/>
      <c r="C227"/>
    </row>
    <row r="228" spans="1:8" s="33" customFormat="1" x14ac:dyDescent="0.2">
      <c r="A228"/>
      <c r="B228"/>
      <c r="C228"/>
    </row>
    <row r="229" spans="1:8" s="33" customFormat="1" x14ac:dyDescent="0.2">
      <c r="A229"/>
      <c r="B229"/>
      <c r="C229"/>
      <c r="E229"/>
      <c r="F229"/>
      <c r="G229"/>
      <c r="H229"/>
    </row>
    <row r="230" spans="1:8" s="33" customFormat="1" x14ac:dyDescent="0.2">
      <c r="A230"/>
      <c r="B230"/>
      <c r="C230"/>
      <c r="E230"/>
      <c r="F230"/>
      <c r="G230"/>
      <c r="H230"/>
    </row>
  </sheetData>
  <mergeCells count="4">
    <mergeCell ref="E3:H3"/>
    <mergeCell ref="A3:B3"/>
    <mergeCell ref="A5:B5"/>
    <mergeCell ref="A4:B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6ACB7-D530-45F0-9443-1DE07C959F73}">
  <sheetPr>
    <tabColor theme="6"/>
  </sheetPr>
  <dimension ref="A1:BY125"/>
  <sheetViews>
    <sheetView topLeftCell="A51" zoomScaleNormal="100" workbookViewId="0">
      <selection activeCell="G60" sqref="G60"/>
    </sheetView>
  </sheetViews>
  <sheetFormatPr defaultColWidth="8.85546875" defaultRowHeight="15" x14ac:dyDescent="0.25"/>
  <cols>
    <col min="1" max="1" width="27.140625" style="82" customWidth="1"/>
    <col min="2" max="2" width="15.85546875" style="82" customWidth="1"/>
    <col min="3" max="3" width="21.42578125" style="82" customWidth="1"/>
    <col min="4" max="4" width="20.7109375" style="82" customWidth="1"/>
    <col min="5" max="5" width="21.42578125" style="82" customWidth="1"/>
    <col min="6" max="6" width="17.7109375" style="82" bestFit="1" customWidth="1"/>
    <col min="7" max="7" width="20.7109375" style="82" customWidth="1"/>
    <col min="8" max="8" width="20.140625" style="94" customWidth="1"/>
    <col min="9" max="9" width="13.7109375" style="94" bestFit="1" customWidth="1"/>
    <col min="10" max="77" width="8.85546875" style="94"/>
    <col min="78" max="16384" width="8.85546875" style="82"/>
  </cols>
  <sheetData>
    <row r="1" spans="1:7" ht="15.75" x14ac:dyDescent="0.25">
      <c r="A1" s="304" t="s">
        <v>81</v>
      </c>
      <c r="B1" s="305"/>
      <c r="C1" s="305"/>
      <c r="D1" s="306"/>
      <c r="E1" s="94"/>
      <c r="F1" s="94"/>
      <c r="G1" s="94"/>
    </row>
    <row r="2" spans="1:7" ht="15.75" x14ac:dyDescent="0.25">
      <c r="A2" s="307" t="s">
        <v>50</v>
      </c>
      <c r="B2" s="307"/>
      <c r="C2" s="307" t="s">
        <v>80</v>
      </c>
      <c r="D2" s="307"/>
      <c r="E2" s="94"/>
      <c r="F2" s="94"/>
      <c r="G2" s="94"/>
    </row>
    <row r="3" spans="1:7" ht="15.75" x14ac:dyDescent="0.25">
      <c r="A3" s="302" t="s">
        <v>67</v>
      </c>
      <c r="B3" s="302"/>
      <c r="C3" s="303">
        <f>F32</f>
        <v>172727.27272727282</v>
      </c>
      <c r="D3" s="303"/>
      <c r="E3" s="94"/>
      <c r="F3" s="94"/>
      <c r="G3" s="94"/>
    </row>
    <row r="4" spans="1:7" ht="15.75" x14ac:dyDescent="0.25">
      <c r="A4" s="302" t="s">
        <v>169</v>
      </c>
      <c r="B4" s="302"/>
      <c r="C4" s="303">
        <f>G32</f>
        <v>70254.225783271933</v>
      </c>
      <c r="D4" s="303"/>
      <c r="E4" s="94"/>
      <c r="F4" s="94"/>
      <c r="G4" s="94"/>
    </row>
    <row r="5" spans="1:7" x14ac:dyDescent="0.25">
      <c r="A5" s="94"/>
      <c r="B5" s="94"/>
      <c r="C5" s="94"/>
      <c r="D5" s="94"/>
      <c r="E5" s="94"/>
      <c r="F5" s="94"/>
      <c r="G5" s="94"/>
    </row>
    <row r="6" spans="1:7" ht="18" x14ac:dyDescent="0.25">
      <c r="A6" s="87" t="s">
        <v>75</v>
      </c>
      <c r="B6" s="94"/>
      <c r="C6" s="94"/>
      <c r="D6" s="94"/>
      <c r="E6" s="94"/>
      <c r="F6" s="94"/>
      <c r="G6" s="94"/>
    </row>
    <row r="7" spans="1:7" x14ac:dyDescent="0.25">
      <c r="A7" s="94"/>
      <c r="B7" s="94"/>
      <c r="C7" s="94"/>
      <c r="D7" s="94"/>
      <c r="E7" s="94"/>
      <c r="F7" s="94"/>
      <c r="G7" s="94"/>
    </row>
    <row r="8" spans="1:7" ht="14.45" customHeight="1" x14ac:dyDescent="0.25">
      <c r="A8" s="297" t="s">
        <v>1</v>
      </c>
      <c r="B8" s="299" t="s">
        <v>9</v>
      </c>
      <c r="C8" s="300"/>
      <c r="D8" s="110" t="s">
        <v>11</v>
      </c>
      <c r="E8" s="111"/>
      <c r="F8" s="297" t="s">
        <v>67</v>
      </c>
      <c r="G8" s="297" t="s">
        <v>67</v>
      </c>
    </row>
    <row r="9" spans="1:7" ht="30" x14ac:dyDescent="0.25">
      <c r="A9" s="298"/>
      <c r="B9" s="85" t="s">
        <v>68</v>
      </c>
      <c r="C9" s="86" t="s">
        <v>71</v>
      </c>
      <c r="D9" s="85" t="s">
        <v>68</v>
      </c>
      <c r="E9" s="85" t="s">
        <v>77</v>
      </c>
      <c r="F9" s="298"/>
      <c r="G9" s="298"/>
    </row>
    <row r="10" spans="1:7" ht="16.5" x14ac:dyDescent="0.3">
      <c r="A10" s="88" t="s">
        <v>73</v>
      </c>
      <c r="B10" s="90" t="s">
        <v>87</v>
      </c>
      <c r="C10" s="188">
        <f>$B$58*$C$42+$B$59*$C$43+$B$60*$B$44</f>
        <v>9745.454545454546</v>
      </c>
      <c r="D10" s="90" t="s">
        <v>76</v>
      </c>
      <c r="E10" s="188">
        <v>0</v>
      </c>
      <c r="F10" s="192">
        <v>0</v>
      </c>
      <c r="G10" s="188">
        <f>F10*NPV!C6</f>
        <v>0</v>
      </c>
    </row>
    <row r="11" spans="1:7" ht="16.5" x14ac:dyDescent="0.3">
      <c r="A11" s="89" t="s">
        <v>74</v>
      </c>
      <c r="B11" s="91" t="s">
        <v>87</v>
      </c>
      <c r="C11" s="189">
        <f t="shared" ref="C11:C31" si="0">$B$58*$C$42+$B$59*$C$43+$B$60*$B$44</f>
        <v>9745.454545454546</v>
      </c>
      <c r="D11" s="91" t="s">
        <v>76</v>
      </c>
      <c r="E11" s="189">
        <v>0</v>
      </c>
      <c r="F11" s="193">
        <v>0</v>
      </c>
      <c r="G11" s="189">
        <f>F11*NPV!C7</f>
        <v>0</v>
      </c>
    </row>
    <row r="12" spans="1:7" ht="16.5" x14ac:dyDescent="0.3">
      <c r="A12" s="89">
        <v>2023</v>
      </c>
      <c r="B12" s="91" t="s">
        <v>87</v>
      </c>
      <c r="C12" s="189">
        <f t="shared" si="0"/>
        <v>9745.454545454546</v>
      </c>
      <c r="D12" s="91" t="s">
        <v>88</v>
      </c>
      <c r="E12" s="189">
        <f>$G$58*$B$49+$B$50*$G$59+$B$51*$G$60</f>
        <v>3200</v>
      </c>
      <c r="F12" s="193">
        <f t="shared" ref="F12:F31" si="1">C12-E12</f>
        <v>6545.454545454546</v>
      </c>
      <c r="G12" s="189">
        <f>F12*NPV!C8</f>
        <v>4666.8186293476483</v>
      </c>
    </row>
    <row r="13" spans="1:7" ht="16.5" x14ac:dyDescent="0.3">
      <c r="A13" s="89">
        <v>2024</v>
      </c>
      <c r="B13" s="91" t="s">
        <v>87</v>
      </c>
      <c r="C13" s="189">
        <f t="shared" si="0"/>
        <v>9745.454545454546</v>
      </c>
      <c r="D13" s="91" t="s">
        <v>88</v>
      </c>
      <c r="E13" s="189">
        <f t="shared" ref="E13:E31" si="2">$G$58*$B$49+$B$50*$G$59+$B$51*$G$60</f>
        <v>3200</v>
      </c>
      <c r="F13" s="193">
        <f t="shared" si="1"/>
        <v>6545.454545454546</v>
      </c>
      <c r="G13" s="189">
        <f>F13*NPV!C9</f>
        <v>4361.5127377080826</v>
      </c>
    </row>
    <row r="14" spans="1:7" ht="16.5" x14ac:dyDescent="0.3">
      <c r="A14" s="89">
        <v>2025</v>
      </c>
      <c r="B14" s="91" t="s">
        <v>87</v>
      </c>
      <c r="C14" s="189">
        <f t="shared" si="0"/>
        <v>9745.454545454546</v>
      </c>
      <c r="D14" s="91" t="s">
        <v>88</v>
      </c>
      <c r="E14" s="189">
        <f t="shared" si="2"/>
        <v>3200</v>
      </c>
      <c r="F14" s="193">
        <f t="shared" si="1"/>
        <v>6545.454545454546</v>
      </c>
      <c r="G14" s="189">
        <f>F14*NPV!C10</f>
        <v>4076.1801286991422</v>
      </c>
    </row>
    <row r="15" spans="1:7" ht="16.5" x14ac:dyDescent="0.3">
      <c r="A15" s="89">
        <v>2026</v>
      </c>
      <c r="B15" s="91" t="s">
        <v>87</v>
      </c>
      <c r="C15" s="189">
        <f t="shared" si="0"/>
        <v>9745.454545454546</v>
      </c>
      <c r="D15" s="91" t="s">
        <v>88</v>
      </c>
      <c r="E15" s="189">
        <f t="shared" si="2"/>
        <v>3200</v>
      </c>
      <c r="F15" s="193">
        <f t="shared" si="1"/>
        <v>6545.454545454546</v>
      </c>
      <c r="G15" s="189">
        <f>F15*NPV!C11</f>
        <v>3809.5141389711607</v>
      </c>
    </row>
    <row r="16" spans="1:7" ht="16.5" x14ac:dyDescent="0.3">
      <c r="A16" s="89">
        <v>2027</v>
      </c>
      <c r="B16" s="91" t="s">
        <v>87</v>
      </c>
      <c r="C16" s="189">
        <f t="shared" si="0"/>
        <v>9745.454545454546</v>
      </c>
      <c r="D16" s="91" t="s">
        <v>88</v>
      </c>
      <c r="E16" s="189">
        <f t="shared" si="2"/>
        <v>3200</v>
      </c>
      <c r="F16" s="193">
        <f t="shared" si="1"/>
        <v>6545.454545454546</v>
      </c>
      <c r="G16" s="189">
        <f>F16*NPV!C12</f>
        <v>3560.2935878235148</v>
      </c>
    </row>
    <row r="17" spans="1:8" ht="16.5" x14ac:dyDescent="0.3">
      <c r="A17" s="89">
        <v>2028</v>
      </c>
      <c r="B17" s="91" t="s">
        <v>87</v>
      </c>
      <c r="C17" s="189">
        <f t="shared" si="0"/>
        <v>9745.454545454546</v>
      </c>
      <c r="D17" s="91" t="s">
        <v>88</v>
      </c>
      <c r="E17" s="189">
        <f t="shared" si="2"/>
        <v>3200</v>
      </c>
      <c r="F17" s="193">
        <f t="shared" si="1"/>
        <v>6545.454545454546</v>
      </c>
      <c r="G17" s="189">
        <f>F17*NPV!C13</f>
        <v>3327.3771848817896</v>
      </c>
    </row>
    <row r="18" spans="1:8" ht="16.5" x14ac:dyDescent="0.3">
      <c r="A18" s="89">
        <v>2029</v>
      </c>
      <c r="B18" s="91" t="s">
        <v>87</v>
      </c>
      <c r="C18" s="189">
        <f t="shared" si="0"/>
        <v>9745.454545454546</v>
      </c>
      <c r="D18" s="91" t="s">
        <v>88</v>
      </c>
      <c r="E18" s="189">
        <f t="shared" si="2"/>
        <v>3200</v>
      </c>
      <c r="F18" s="193">
        <f t="shared" si="1"/>
        <v>6545.454545454546</v>
      </c>
      <c r="G18" s="189">
        <f>F18*NPV!C14</f>
        <v>3109.6983036278402</v>
      </c>
    </row>
    <row r="19" spans="1:8" ht="16.5" x14ac:dyDescent="0.3">
      <c r="A19" s="89">
        <v>2030</v>
      </c>
      <c r="B19" s="91" t="s">
        <v>87</v>
      </c>
      <c r="C19" s="189">
        <f t="shared" si="0"/>
        <v>9745.454545454546</v>
      </c>
      <c r="D19" s="91" t="s">
        <v>88</v>
      </c>
      <c r="E19" s="189">
        <f t="shared" si="2"/>
        <v>3200</v>
      </c>
      <c r="F19" s="193">
        <f t="shared" si="1"/>
        <v>6545.454545454546</v>
      </c>
      <c r="G19" s="189">
        <f>F19*NPV!C15</f>
        <v>2906.2600968484494</v>
      </c>
    </row>
    <row r="20" spans="1:8" ht="16.5" x14ac:dyDescent="0.3">
      <c r="A20" s="89">
        <v>2031</v>
      </c>
      <c r="B20" s="91" t="s">
        <v>87</v>
      </c>
      <c r="C20" s="189">
        <f>$B$58*$C$42+$B$59*$C$43+$B$60*$B$44+55*$B$67</f>
        <v>239745.45454545456</v>
      </c>
      <c r="D20" s="91" t="s">
        <v>88</v>
      </c>
      <c r="E20" s="189">
        <f>$G$58*$B$49+$B$50*$G$59+$B$51*$G$60+45*B67</f>
        <v>191381.81818181818</v>
      </c>
      <c r="F20" s="193">
        <f t="shared" si="1"/>
        <v>48363.636363636382</v>
      </c>
      <c r="G20" s="189">
        <f>F20*NPV!C16</f>
        <v>20069.189661518372</v>
      </c>
      <c r="H20" s="237" t="s">
        <v>176</v>
      </c>
    </row>
    <row r="21" spans="1:8" ht="16.5" x14ac:dyDescent="0.3">
      <c r="A21" s="89">
        <v>2032</v>
      </c>
      <c r="B21" s="91" t="s">
        <v>87</v>
      </c>
      <c r="C21" s="189">
        <f t="shared" si="0"/>
        <v>9745.454545454546</v>
      </c>
      <c r="D21" s="91" t="s">
        <v>88</v>
      </c>
      <c r="E21" s="189">
        <f t="shared" si="2"/>
        <v>3200</v>
      </c>
      <c r="F21" s="193">
        <f t="shared" si="1"/>
        <v>6545.454545454546</v>
      </c>
      <c r="G21" s="189">
        <f>F21*NPV!C17</f>
        <v>2538.4401230224903</v>
      </c>
    </row>
    <row r="22" spans="1:8" ht="16.5" x14ac:dyDescent="0.3">
      <c r="A22" s="89">
        <v>2033</v>
      </c>
      <c r="B22" s="91" t="s">
        <v>87</v>
      </c>
      <c r="C22" s="189">
        <f t="shared" si="0"/>
        <v>9745.454545454546</v>
      </c>
      <c r="D22" s="91" t="s">
        <v>88</v>
      </c>
      <c r="E22" s="189">
        <f t="shared" si="2"/>
        <v>3200</v>
      </c>
      <c r="F22" s="193">
        <f t="shared" si="1"/>
        <v>6545.454545454546</v>
      </c>
      <c r="G22" s="189">
        <f>F22*NPV!C18</f>
        <v>2372.3739467499909</v>
      </c>
    </row>
    <row r="23" spans="1:8" ht="16.5" x14ac:dyDescent="0.3">
      <c r="A23" s="89">
        <v>2034</v>
      </c>
      <c r="B23" s="91" t="s">
        <v>87</v>
      </c>
      <c r="C23" s="189">
        <f t="shared" si="0"/>
        <v>9745.454545454546</v>
      </c>
      <c r="D23" s="91" t="s">
        <v>88</v>
      </c>
      <c r="E23" s="189">
        <f t="shared" si="2"/>
        <v>3200</v>
      </c>
      <c r="F23" s="193">
        <f t="shared" si="1"/>
        <v>6545.454545454546</v>
      </c>
      <c r="G23" s="189">
        <f>F23*NPV!C19</f>
        <v>2217.1719128504587</v>
      </c>
    </row>
    <row r="24" spans="1:8" ht="16.5" x14ac:dyDescent="0.3">
      <c r="A24" s="89">
        <v>2035</v>
      </c>
      <c r="B24" s="91" t="s">
        <v>87</v>
      </c>
      <c r="C24" s="189">
        <f t="shared" si="0"/>
        <v>9745.454545454546</v>
      </c>
      <c r="D24" s="91" t="s">
        <v>88</v>
      </c>
      <c r="E24" s="189">
        <f t="shared" si="2"/>
        <v>3200</v>
      </c>
      <c r="F24" s="193">
        <f t="shared" si="1"/>
        <v>6545.454545454546</v>
      </c>
      <c r="G24" s="189">
        <f>F24*NPV!C20</f>
        <v>2072.1232830378121</v>
      </c>
    </row>
    <row r="25" spans="1:8" ht="16.5" x14ac:dyDescent="0.3">
      <c r="A25" s="89">
        <v>2036</v>
      </c>
      <c r="B25" s="91" t="s">
        <v>87</v>
      </c>
      <c r="C25" s="189">
        <f t="shared" si="0"/>
        <v>9745.454545454546</v>
      </c>
      <c r="D25" s="91" t="s">
        <v>88</v>
      </c>
      <c r="E25" s="189">
        <f t="shared" si="2"/>
        <v>3200</v>
      </c>
      <c r="F25" s="193">
        <f t="shared" si="1"/>
        <v>6545.454545454546</v>
      </c>
      <c r="G25" s="189">
        <f>F25*NPV!C21</f>
        <v>1936.5638159231887</v>
      </c>
    </row>
    <row r="26" spans="1:8" ht="16.5" x14ac:dyDescent="0.3">
      <c r="A26" s="89">
        <v>2037</v>
      </c>
      <c r="B26" s="91" t="s">
        <v>87</v>
      </c>
      <c r="C26" s="189">
        <f t="shared" si="0"/>
        <v>9745.454545454546</v>
      </c>
      <c r="D26" s="91" t="s">
        <v>88</v>
      </c>
      <c r="E26" s="189">
        <f t="shared" si="2"/>
        <v>3200</v>
      </c>
      <c r="F26" s="193">
        <f t="shared" si="1"/>
        <v>6545.454545454546</v>
      </c>
      <c r="G26" s="189">
        <f>F26*NPV!C22</f>
        <v>1809.8727251618586</v>
      </c>
    </row>
    <row r="27" spans="1:8" ht="16.5" x14ac:dyDescent="0.3">
      <c r="A27" s="89">
        <v>2038</v>
      </c>
      <c r="B27" s="91" t="s">
        <v>87</v>
      </c>
      <c r="C27" s="189">
        <f t="shared" si="0"/>
        <v>9745.454545454546</v>
      </c>
      <c r="D27" s="91" t="s">
        <v>88</v>
      </c>
      <c r="E27" s="189">
        <f t="shared" si="2"/>
        <v>3200</v>
      </c>
      <c r="F27" s="193">
        <f t="shared" si="1"/>
        <v>6545.454545454546</v>
      </c>
      <c r="G27" s="189">
        <f>F27*NPV!C23</f>
        <v>1691.4698365998679</v>
      </c>
    </row>
    <row r="28" spans="1:8" ht="16.5" x14ac:dyDescent="0.3">
      <c r="A28" s="89">
        <v>2039</v>
      </c>
      <c r="B28" s="91" t="s">
        <v>87</v>
      </c>
      <c r="C28" s="189">
        <f t="shared" si="0"/>
        <v>9745.454545454546</v>
      </c>
      <c r="D28" s="91" t="s">
        <v>88</v>
      </c>
      <c r="E28" s="189">
        <f t="shared" si="2"/>
        <v>3200</v>
      </c>
      <c r="F28" s="193">
        <f t="shared" si="1"/>
        <v>6545.454545454546</v>
      </c>
      <c r="G28" s="189">
        <f>F28*NPV!C24</f>
        <v>1580.8129314017458</v>
      </c>
    </row>
    <row r="29" spans="1:8" ht="16.5" x14ac:dyDescent="0.3">
      <c r="A29" s="89">
        <v>2040</v>
      </c>
      <c r="B29" s="91" t="s">
        <v>87</v>
      </c>
      <c r="C29" s="189">
        <f t="shared" si="0"/>
        <v>9745.454545454546</v>
      </c>
      <c r="D29" s="91" t="s">
        <v>88</v>
      </c>
      <c r="E29" s="189">
        <f t="shared" si="2"/>
        <v>3200</v>
      </c>
      <c r="F29" s="193">
        <f t="shared" si="1"/>
        <v>6545.454545454546</v>
      </c>
      <c r="G29" s="189">
        <f>F29*NPV!C25</f>
        <v>1477.3952629922858</v>
      </c>
    </row>
    <row r="30" spans="1:8" ht="16.5" x14ac:dyDescent="0.3">
      <c r="A30" s="89">
        <v>2041</v>
      </c>
      <c r="B30" s="91" t="s">
        <v>87</v>
      </c>
      <c r="C30" s="189">
        <f t="shared" si="0"/>
        <v>9745.454545454546</v>
      </c>
      <c r="D30" s="91" t="s">
        <v>88</v>
      </c>
      <c r="E30" s="189">
        <f t="shared" si="2"/>
        <v>3200</v>
      </c>
      <c r="F30" s="193">
        <f t="shared" si="1"/>
        <v>6545.454545454546</v>
      </c>
      <c r="G30" s="189">
        <f>F30*NPV!C26</f>
        <v>1380.7432364413885</v>
      </c>
    </row>
    <row r="31" spans="1:8" ht="17.25" thickBot="1" x14ac:dyDescent="0.35">
      <c r="A31" s="92">
        <v>2042</v>
      </c>
      <c r="B31" s="93" t="s">
        <v>87</v>
      </c>
      <c r="C31" s="190">
        <f t="shared" si="0"/>
        <v>9745.454545454546</v>
      </c>
      <c r="D31" s="93" t="s">
        <v>88</v>
      </c>
      <c r="E31" s="190">
        <f t="shared" si="2"/>
        <v>3200</v>
      </c>
      <c r="F31" s="194">
        <f t="shared" si="1"/>
        <v>6545.454545454546</v>
      </c>
      <c r="G31" s="190">
        <f>F31*NPV!C27</f>
        <v>1290.414239664849</v>
      </c>
    </row>
    <row r="32" spans="1:8" ht="15.75" thickTop="1" x14ac:dyDescent="0.25">
      <c r="A32" s="169" t="s">
        <v>0</v>
      </c>
      <c r="B32" s="109"/>
      <c r="C32" s="191">
        <f>SUM(C12:C31)</f>
        <v>424909.09090909077</v>
      </c>
      <c r="D32" s="108"/>
      <c r="E32" s="191">
        <f>SUM(E12:E31)</f>
        <v>252181.81818181818</v>
      </c>
      <c r="F32" s="195">
        <f>SUM(F12:F31)</f>
        <v>172727.27272727282</v>
      </c>
      <c r="G32" s="191">
        <f>SUM(G12:G31)</f>
        <v>70254.225783271933</v>
      </c>
    </row>
    <row r="33" spans="1:36" x14ac:dyDescent="0.25">
      <c r="A33" s="95"/>
      <c r="B33" s="95"/>
      <c r="C33" s="96"/>
      <c r="D33" s="97"/>
      <c r="E33" s="96"/>
      <c r="F33" s="97"/>
      <c r="G33" s="97"/>
      <c r="H33" s="101"/>
    </row>
    <row r="34" spans="1:36" x14ac:dyDescent="0.25">
      <c r="A34" s="98" t="s">
        <v>69</v>
      </c>
      <c r="B34" s="94"/>
      <c r="C34" s="94"/>
      <c r="D34" s="94"/>
      <c r="E34" s="94"/>
      <c r="F34" s="94"/>
      <c r="G34" s="94"/>
    </row>
    <row r="35" spans="1:36" x14ac:dyDescent="0.25">
      <c r="A35" s="99" t="s">
        <v>78</v>
      </c>
      <c r="B35" s="94"/>
      <c r="C35" s="94"/>
      <c r="D35" s="94"/>
      <c r="E35" s="94"/>
      <c r="F35" s="94"/>
      <c r="G35" s="94"/>
    </row>
    <row r="36" spans="1:36" x14ac:dyDescent="0.25">
      <c r="A36" s="99"/>
      <c r="B36" s="94"/>
      <c r="C36" s="94"/>
      <c r="D36" s="94"/>
      <c r="E36" s="94"/>
      <c r="F36" s="94"/>
      <c r="G36" s="94"/>
    </row>
    <row r="37" spans="1:36" x14ac:dyDescent="0.25">
      <c r="A37" s="99" t="s">
        <v>79</v>
      </c>
      <c r="B37" s="94"/>
      <c r="C37" s="94"/>
      <c r="D37" s="94"/>
      <c r="E37" s="94"/>
      <c r="F37" s="94"/>
      <c r="G37" s="94"/>
    </row>
    <row r="38" spans="1:36" x14ac:dyDescent="0.25">
      <c r="A38" s="99"/>
      <c r="B38" s="94"/>
      <c r="C38" s="94"/>
      <c r="D38" s="94"/>
      <c r="E38" s="94"/>
      <c r="F38" s="94"/>
      <c r="G38" s="94"/>
    </row>
    <row r="39" spans="1:36" x14ac:dyDescent="0.25">
      <c r="A39" s="99" t="s">
        <v>86</v>
      </c>
      <c r="B39" s="94"/>
      <c r="C39" s="94"/>
      <c r="D39" s="94"/>
      <c r="E39" s="94"/>
      <c r="F39" s="94"/>
      <c r="G39" s="94"/>
    </row>
    <row r="40" spans="1:36" x14ac:dyDescent="0.25">
      <c r="A40" s="86" t="s">
        <v>82</v>
      </c>
      <c r="B40" s="299" t="s">
        <v>70</v>
      </c>
      <c r="C40" s="300"/>
      <c r="D40" s="94"/>
      <c r="E40" s="94"/>
      <c r="F40" s="94"/>
      <c r="G40" s="94"/>
    </row>
    <row r="41" spans="1:36" ht="25.5" customHeight="1" x14ac:dyDescent="0.25">
      <c r="A41" s="106"/>
      <c r="B41" s="105" t="s">
        <v>93</v>
      </c>
      <c r="C41" s="105" t="s">
        <v>98</v>
      </c>
      <c r="D41" s="94"/>
      <c r="E41" s="94"/>
      <c r="F41" s="94"/>
      <c r="G41" s="94"/>
    </row>
    <row r="42" spans="1:36" x14ac:dyDescent="0.25">
      <c r="A42" s="79" t="s">
        <v>83</v>
      </c>
      <c r="B42" s="196"/>
      <c r="C42" s="197">
        <f>4000/20</f>
        <v>200</v>
      </c>
      <c r="D42" s="94"/>
      <c r="E42" s="94"/>
      <c r="F42" s="94"/>
      <c r="G42" s="94"/>
    </row>
    <row r="43" spans="1:36" x14ac:dyDescent="0.25">
      <c r="A43" s="107" t="s">
        <v>84</v>
      </c>
      <c r="B43" s="198"/>
      <c r="C43" s="199">
        <f t="shared" ref="C43" si="3">4000/20</f>
        <v>200</v>
      </c>
      <c r="D43" s="94"/>
      <c r="E43" s="94"/>
      <c r="F43" s="94"/>
      <c r="G43" s="94"/>
    </row>
    <row r="44" spans="1:36" x14ac:dyDescent="0.25">
      <c r="A44" s="80" t="s">
        <v>135</v>
      </c>
      <c r="B44" s="200">
        <f>25000/55</f>
        <v>454.54545454545456</v>
      </c>
      <c r="C44" s="201"/>
      <c r="D44" s="153"/>
      <c r="E44" s="94"/>
      <c r="F44" s="94"/>
      <c r="G44" s="94"/>
    </row>
    <row r="45" spans="1:36" x14ac:dyDescent="0.25">
      <c r="A45" s="153" t="s">
        <v>152</v>
      </c>
      <c r="B45" s="153"/>
      <c r="C45" s="153"/>
      <c r="D45" s="153"/>
      <c r="E45" s="94"/>
      <c r="F45" s="94"/>
      <c r="G45" s="94"/>
    </row>
    <row r="46" spans="1:36" x14ac:dyDescent="0.25">
      <c r="A46" s="153"/>
      <c r="B46" s="153"/>
      <c r="C46" s="153"/>
      <c r="D46" s="153"/>
      <c r="E46" s="94"/>
      <c r="F46" s="94"/>
      <c r="G46" s="94"/>
    </row>
    <row r="47" spans="1:36" x14ac:dyDescent="0.25">
      <c r="A47" s="99" t="s">
        <v>89</v>
      </c>
      <c r="B47" s="94"/>
      <c r="C47" s="94"/>
      <c r="D47" s="94"/>
      <c r="E47" s="94"/>
      <c r="F47" s="94"/>
      <c r="G47" s="94"/>
    </row>
    <row r="48" spans="1:36" x14ac:dyDescent="0.25">
      <c r="A48" s="103" t="s">
        <v>82</v>
      </c>
      <c r="B48" s="102" t="s">
        <v>70</v>
      </c>
      <c r="C48" s="94"/>
      <c r="D48" s="94"/>
      <c r="E48" s="94"/>
      <c r="F48" s="94"/>
      <c r="G48" s="94"/>
      <c r="AH48" s="82"/>
      <c r="AI48" s="82"/>
      <c r="AJ48" s="82"/>
    </row>
    <row r="49" spans="1:36" x14ac:dyDescent="0.25">
      <c r="A49" s="79" t="s">
        <v>83</v>
      </c>
      <c r="B49" s="202">
        <v>100</v>
      </c>
      <c r="C49" s="94"/>
      <c r="D49" s="94"/>
      <c r="E49" s="94"/>
      <c r="F49" s="94"/>
      <c r="G49" s="94"/>
      <c r="AH49" s="82"/>
      <c r="AI49" s="82"/>
      <c r="AJ49" s="82"/>
    </row>
    <row r="50" spans="1:36" x14ac:dyDescent="0.25">
      <c r="A50" s="107" t="s">
        <v>84</v>
      </c>
      <c r="B50" s="202">
        <v>100</v>
      </c>
      <c r="C50" s="100"/>
      <c r="D50" s="94"/>
      <c r="E50" s="94"/>
      <c r="F50" s="94"/>
      <c r="G50" s="94"/>
      <c r="AH50" s="82"/>
      <c r="AI50" s="82"/>
      <c r="AJ50" s="82"/>
    </row>
    <row r="51" spans="1:36" x14ac:dyDescent="0.25">
      <c r="A51" s="80" t="s">
        <v>85</v>
      </c>
      <c r="B51" s="203">
        <v>100</v>
      </c>
      <c r="C51" s="100"/>
      <c r="D51" s="94"/>
      <c r="E51" s="94"/>
      <c r="F51" s="94"/>
      <c r="G51" s="94"/>
      <c r="AH51" s="82"/>
      <c r="AI51" s="82"/>
      <c r="AJ51" s="82"/>
    </row>
    <row r="52" spans="1:36" x14ac:dyDescent="0.25">
      <c r="A52" s="100" t="s">
        <v>153</v>
      </c>
      <c r="B52" s="100"/>
      <c r="C52" s="100"/>
      <c r="D52" s="94"/>
      <c r="E52" s="94"/>
      <c r="F52" s="94"/>
      <c r="G52" s="94"/>
      <c r="AH52" s="82"/>
      <c r="AI52" s="82"/>
      <c r="AJ52" s="82"/>
    </row>
    <row r="53" spans="1:36" x14ac:dyDescent="0.25">
      <c r="A53" s="100"/>
      <c r="B53" s="100"/>
      <c r="C53" s="100"/>
      <c r="D53" s="94"/>
      <c r="E53" s="94"/>
      <c r="F53" s="94"/>
      <c r="G53" s="94"/>
      <c r="AH53" s="82"/>
      <c r="AI53" s="82"/>
      <c r="AJ53" s="82"/>
    </row>
    <row r="54" spans="1:36" x14ac:dyDescent="0.25">
      <c r="A54" s="99" t="s">
        <v>90</v>
      </c>
      <c r="B54" s="94"/>
      <c r="C54" s="94"/>
      <c r="D54" s="94"/>
      <c r="E54" s="94"/>
      <c r="F54" s="94"/>
      <c r="G54" s="94"/>
    </row>
    <row r="55" spans="1:36" ht="15" customHeight="1" x14ac:dyDescent="0.25">
      <c r="A55" s="299" t="s">
        <v>91</v>
      </c>
      <c r="B55" s="301"/>
      <c r="C55" s="301"/>
      <c r="D55" s="301"/>
      <c r="E55" s="301"/>
      <c r="F55" s="301"/>
      <c r="G55" s="301"/>
      <c r="H55" s="300"/>
    </row>
    <row r="56" spans="1:36" ht="15" customHeight="1" x14ac:dyDescent="0.25">
      <c r="A56" s="155"/>
      <c r="B56" s="299" t="s">
        <v>99</v>
      </c>
      <c r="C56" s="301"/>
      <c r="D56" s="300"/>
      <c r="E56" s="299" t="s">
        <v>49</v>
      </c>
      <c r="F56" s="300"/>
      <c r="G56" s="299" t="s">
        <v>13</v>
      </c>
      <c r="H56" s="300"/>
    </row>
    <row r="57" spans="1:36" ht="39" customHeight="1" x14ac:dyDescent="0.25">
      <c r="A57" s="156" t="s">
        <v>92</v>
      </c>
      <c r="B57" s="156" t="s">
        <v>161</v>
      </c>
      <c r="C57" s="156" t="s">
        <v>162</v>
      </c>
      <c r="D57" s="156" t="s">
        <v>154</v>
      </c>
      <c r="E57" s="156" t="s">
        <v>156</v>
      </c>
      <c r="F57" s="156" t="s">
        <v>157</v>
      </c>
      <c r="G57" s="156" t="s">
        <v>159</v>
      </c>
      <c r="H57" s="156" t="s">
        <v>158</v>
      </c>
    </row>
    <row r="58" spans="1:36" x14ac:dyDescent="0.25">
      <c r="A58" s="79" t="s">
        <v>83</v>
      </c>
      <c r="B58" s="234">
        <v>20</v>
      </c>
      <c r="C58" s="234" t="s">
        <v>163</v>
      </c>
      <c r="D58" s="138">
        <v>60</v>
      </c>
      <c r="E58" s="138">
        <v>20</v>
      </c>
      <c r="F58" s="138">
        <f>E58*3</f>
        <v>60</v>
      </c>
      <c r="G58" s="138">
        <v>20</v>
      </c>
      <c r="H58" s="138">
        <f>G58*3</f>
        <v>60</v>
      </c>
    </row>
    <row r="59" spans="1:36" x14ac:dyDescent="0.25">
      <c r="A59" s="107" t="s">
        <v>84</v>
      </c>
      <c r="B59" s="235">
        <v>6</v>
      </c>
      <c r="C59" s="235" t="s">
        <v>163</v>
      </c>
      <c r="D59" s="112">
        <v>140</v>
      </c>
      <c r="E59" s="139">
        <v>12</v>
      </c>
      <c r="F59" s="139">
        <f>E59*3</f>
        <v>36</v>
      </c>
      <c r="G59" s="139">
        <v>6</v>
      </c>
      <c r="H59" s="139">
        <f>G59*3</f>
        <v>18</v>
      </c>
    </row>
    <row r="60" spans="1:36" ht="27.75" customHeight="1" x14ac:dyDescent="0.25">
      <c r="A60" s="80" t="s">
        <v>135</v>
      </c>
      <c r="B60" s="236">
        <v>10</v>
      </c>
      <c r="C60" s="236" t="s">
        <v>164</v>
      </c>
      <c r="D60" s="113">
        <v>82</v>
      </c>
      <c r="E60" s="113">
        <v>0</v>
      </c>
      <c r="F60" s="140">
        <f>E60*3</f>
        <v>0</v>
      </c>
      <c r="G60" s="140">
        <v>6</v>
      </c>
      <c r="H60" s="140">
        <f>G60*3-20</f>
        <v>-2</v>
      </c>
    </row>
    <row r="61" spans="1:36" s="94" customFormat="1" ht="16.5" x14ac:dyDescent="0.25">
      <c r="A61" s="142" t="s">
        <v>0</v>
      </c>
      <c r="B61" s="238"/>
      <c r="C61" s="238"/>
      <c r="D61" s="141">
        <f t="shared" ref="D61:F61" si="4">SUM(D58:D60)</f>
        <v>282</v>
      </c>
      <c r="E61" s="141">
        <f t="shared" si="4"/>
        <v>32</v>
      </c>
      <c r="F61" s="141">
        <f t="shared" si="4"/>
        <v>96</v>
      </c>
      <c r="G61" s="141">
        <f t="shared" ref="G61:H61" si="5">SUM(G58:G60)</f>
        <v>32</v>
      </c>
      <c r="H61" s="141">
        <f t="shared" si="5"/>
        <v>76</v>
      </c>
    </row>
    <row r="62" spans="1:36" s="94" customFormat="1" ht="16.5" x14ac:dyDescent="0.25">
      <c r="A62" s="294" t="s">
        <v>160</v>
      </c>
      <c r="B62" s="295"/>
      <c r="C62" s="296"/>
      <c r="D62" s="146">
        <v>1</v>
      </c>
      <c r="E62" s="154"/>
      <c r="F62" s="146">
        <f>(D61-F61)/D61</f>
        <v>0.65957446808510634</v>
      </c>
      <c r="G62" s="154"/>
      <c r="H62" s="146">
        <f>1-(F61-H61)/D61</f>
        <v>0.92907801418439717</v>
      </c>
    </row>
    <row r="63" spans="1:36" s="94" customFormat="1" x14ac:dyDescent="0.25">
      <c r="A63" s="237" t="s">
        <v>170</v>
      </c>
    </row>
    <row r="64" spans="1:36" s="94" customFormat="1" x14ac:dyDescent="0.25"/>
    <row r="65" spans="1:2" s="94" customFormat="1" x14ac:dyDescent="0.25">
      <c r="A65" s="99" t="s">
        <v>173</v>
      </c>
    </row>
    <row r="66" spans="1:2" s="94" customFormat="1" x14ac:dyDescent="0.25">
      <c r="A66" s="168" t="s">
        <v>174</v>
      </c>
      <c r="B66" s="167" t="s">
        <v>175</v>
      </c>
    </row>
    <row r="67" spans="1:2" s="94" customFormat="1" x14ac:dyDescent="0.25">
      <c r="A67" s="79" t="s">
        <v>135</v>
      </c>
      <c r="B67" s="202">
        <f>230000/55</f>
        <v>4181.818181818182</v>
      </c>
    </row>
    <row r="68" spans="1:2" s="94" customFormat="1" x14ac:dyDescent="0.25"/>
    <row r="69" spans="1:2" s="94" customFormat="1" x14ac:dyDescent="0.25"/>
    <row r="70" spans="1:2" s="94" customFormat="1" x14ac:dyDescent="0.25"/>
    <row r="71" spans="1:2" s="94" customFormat="1" x14ac:dyDescent="0.25"/>
    <row r="72" spans="1:2" s="94" customFormat="1" x14ac:dyDescent="0.25"/>
    <row r="73" spans="1:2" s="94" customFormat="1" x14ac:dyDescent="0.25"/>
    <row r="74" spans="1:2" s="94" customFormat="1" x14ac:dyDescent="0.25"/>
    <row r="75" spans="1:2" s="94" customFormat="1" x14ac:dyDescent="0.25"/>
    <row r="76" spans="1:2" s="94" customFormat="1" x14ac:dyDescent="0.25"/>
    <row r="77" spans="1:2" s="94" customFormat="1" x14ac:dyDescent="0.25"/>
    <row r="78" spans="1:2" s="94" customFormat="1" x14ac:dyDescent="0.25"/>
    <row r="79" spans="1:2" s="94" customFormat="1" x14ac:dyDescent="0.25"/>
    <row r="80" spans="1:2" s="94" customFormat="1" x14ac:dyDescent="0.25"/>
    <row r="81" s="94" customFormat="1" x14ac:dyDescent="0.25"/>
    <row r="82" s="94" customFormat="1" x14ac:dyDescent="0.25"/>
    <row r="83" s="94" customFormat="1" x14ac:dyDescent="0.25"/>
    <row r="84" s="94" customFormat="1" x14ac:dyDescent="0.25"/>
    <row r="85" s="94" customFormat="1" x14ac:dyDescent="0.25"/>
    <row r="86" s="94" customFormat="1" x14ac:dyDescent="0.25"/>
    <row r="87" s="94" customFormat="1" x14ac:dyDescent="0.25"/>
    <row r="88" s="94" customFormat="1" x14ac:dyDescent="0.25"/>
    <row r="89" s="94" customFormat="1" x14ac:dyDescent="0.25"/>
    <row r="90" s="94" customFormat="1" x14ac:dyDescent="0.25"/>
    <row r="91" s="94" customFormat="1" x14ac:dyDescent="0.25"/>
    <row r="92" s="94" customFormat="1" x14ac:dyDescent="0.25"/>
    <row r="93" s="94" customFormat="1" x14ac:dyDescent="0.25"/>
    <row r="94" s="94" customFormat="1" x14ac:dyDescent="0.25"/>
    <row r="95" s="94" customFormat="1" x14ac:dyDescent="0.25"/>
    <row r="96" s="94" customFormat="1" x14ac:dyDescent="0.25"/>
    <row r="97" s="94" customFormat="1" x14ac:dyDescent="0.25"/>
    <row r="98" s="94" customFormat="1" x14ac:dyDescent="0.25"/>
    <row r="99" s="94" customFormat="1" x14ac:dyDescent="0.25"/>
    <row r="100" s="94" customFormat="1" x14ac:dyDescent="0.25"/>
    <row r="101" s="94" customFormat="1" x14ac:dyDescent="0.25"/>
    <row r="102" s="94" customFormat="1" x14ac:dyDescent="0.25"/>
    <row r="103" s="94" customFormat="1" x14ac:dyDescent="0.25"/>
    <row r="104" s="94" customFormat="1" x14ac:dyDescent="0.25"/>
    <row r="105" s="94" customFormat="1" x14ac:dyDescent="0.25"/>
    <row r="106" s="94" customFormat="1" x14ac:dyDescent="0.25"/>
    <row r="107" s="94" customFormat="1" x14ac:dyDescent="0.25"/>
    <row r="108" s="94" customFormat="1" x14ac:dyDescent="0.25"/>
    <row r="109" s="94" customFormat="1" x14ac:dyDescent="0.25"/>
    <row r="110" s="94" customFormat="1" x14ac:dyDescent="0.25"/>
    <row r="111" s="94" customFormat="1" x14ac:dyDescent="0.25"/>
    <row r="112" s="94" customFormat="1" x14ac:dyDescent="0.25"/>
    <row r="113" s="94" customFormat="1" x14ac:dyDescent="0.25"/>
    <row r="114" s="94" customFormat="1" x14ac:dyDescent="0.25"/>
    <row r="115" s="94" customFormat="1" x14ac:dyDescent="0.25"/>
    <row r="116" s="94" customFormat="1" x14ac:dyDescent="0.25"/>
    <row r="117" s="94" customFormat="1" x14ac:dyDescent="0.25"/>
    <row r="118" s="94" customFormat="1" x14ac:dyDescent="0.25"/>
    <row r="119" s="94" customFormat="1" x14ac:dyDescent="0.25"/>
    <row r="120" s="94" customFormat="1" x14ac:dyDescent="0.25"/>
    <row r="121" s="94" customFormat="1" x14ac:dyDescent="0.25"/>
    <row r="122" s="94" customFormat="1" x14ac:dyDescent="0.25"/>
    <row r="123" s="94" customFormat="1" x14ac:dyDescent="0.25"/>
    <row r="124" s="94" customFormat="1" x14ac:dyDescent="0.25"/>
    <row r="125" s="94" customFormat="1" x14ac:dyDescent="0.25"/>
  </sheetData>
  <mergeCells count="17">
    <mergeCell ref="A4:B4"/>
    <mergeCell ref="C4:D4"/>
    <mergeCell ref="A1:D1"/>
    <mergeCell ref="A2:B2"/>
    <mergeCell ref="C2:D2"/>
    <mergeCell ref="A3:B3"/>
    <mergeCell ref="C3:D3"/>
    <mergeCell ref="A62:C62"/>
    <mergeCell ref="G8:G9"/>
    <mergeCell ref="E56:F56"/>
    <mergeCell ref="G56:H56"/>
    <mergeCell ref="B56:D56"/>
    <mergeCell ref="F8:F9"/>
    <mergeCell ref="B40:C40"/>
    <mergeCell ref="A8:A9"/>
    <mergeCell ref="B8:C8"/>
    <mergeCell ref="A55:H55"/>
  </mergeCells>
  <phoneticPr fontId="40" type="noConversion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BA129"/>
  <sheetViews>
    <sheetView topLeftCell="A71" zoomScale="120" zoomScaleNormal="120" workbookViewId="0">
      <selection activeCell="C79" sqref="C79"/>
    </sheetView>
  </sheetViews>
  <sheetFormatPr defaultColWidth="8.85546875" defaultRowHeight="12.75" x14ac:dyDescent="0.2"/>
  <cols>
    <col min="1" max="1" width="26.140625" style="1" customWidth="1"/>
    <col min="2" max="2" width="16.85546875" style="1" customWidth="1"/>
    <col min="3" max="3" width="13.85546875" style="1" customWidth="1"/>
    <col min="4" max="4" width="13.7109375" style="1" customWidth="1"/>
    <col min="5" max="5" width="13.28515625" style="1" customWidth="1"/>
    <col min="6" max="6" width="14.85546875" style="1" customWidth="1"/>
    <col min="7" max="7" width="17.42578125" style="1" customWidth="1"/>
    <col min="8" max="8" width="20.140625" style="1" customWidth="1"/>
    <col min="9" max="9" width="18.42578125" style="1" customWidth="1"/>
    <col min="10" max="10" width="12.140625" style="1" customWidth="1"/>
    <col min="11" max="11" width="9.7109375" style="1" customWidth="1"/>
    <col min="12" max="12" width="8.28515625" style="1" customWidth="1"/>
    <col min="13" max="13" width="18.7109375" style="1" customWidth="1"/>
    <col min="14" max="14" width="11.28515625" style="1" customWidth="1"/>
    <col min="15" max="15" width="13.7109375" style="1" customWidth="1"/>
    <col min="16" max="16" width="16.140625" style="1" customWidth="1"/>
    <col min="17" max="18" width="12.140625" style="1" customWidth="1"/>
    <col min="19" max="19" width="10.85546875" style="1" customWidth="1"/>
    <col min="20" max="20" width="9.85546875" style="1" customWidth="1"/>
    <col min="21" max="21" width="12" style="1" customWidth="1"/>
    <col min="22" max="22" width="12.28515625" style="1" customWidth="1"/>
    <col min="23" max="23" width="7.140625" style="1" bestFit="1" customWidth="1"/>
    <col min="24" max="25" width="9.140625" style="1" bestFit="1" customWidth="1"/>
    <col min="26" max="26" width="18.42578125" style="1" customWidth="1"/>
    <col min="27" max="27" width="14.42578125" style="1" bestFit="1" customWidth="1"/>
    <col min="28" max="28" width="13" style="1" customWidth="1"/>
    <col min="29" max="29" width="12.5703125" style="1" customWidth="1"/>
    <col min="30" max="30" width="12.28515625" style="1" customWidth="1"/>
    <col min="31" max="31" width="2.7109375" style="1" bestFit="1" customWidth="1"/>
    <col min="32" max="16384" width="8.85546875" style="1"/>
  </cols>
  <sheetData>
    <row r="1" spans="1:52" ht="18" customHeight="1" x14ac:dyDescent="0.2">
      <c r="A1" s="304" t="s">
        <v>54</v>
      </c>
      <c r="B1" s="305"/>
      <c r="C1" s="305"/>
      <c r="D1" s="306"/>
      <c r="E1" s="50"/>
      <c r="F1" s="50"/>
      <c r="G1" s="50"/>
      <c r="H1" s="50"/>
      <c r="I1" s="50"/>
      <c r="J1" s="50"/>
      <c r="K1" s="52"/>
      <c r="L1" s="56"/>
      <c r="M1" s="56"/>
      <c r="N1" s="56"/>
      <c r="O1" s="56"/>
      <c r="P1" s="56"/>
      <c r="Q1" s="56"/>
      <c r="R1" s="56"/>
      <c r="S1" s="56"/>
      <c r="T1" s="56"/>
      <c r="U1" s="52"/>
      <c r="V1" s="52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18" customHeight="1" x14ac:dyDescent="0.2">
      <c r="A2" s="302" t="s">
        <v>12</v>
      </c>
      <c r="B2" s="302"/>
      <c r="C2" s="320">
        <f>D29</f>
        <v>67363464</v>
      </c>
      <c r="D2" s="320"/>
      <c r="E2" s="50"/>
      <c r="F2" s="50"/>
      <c r="G2" s="50"/>
      <c r="H2" s="50"/>
      <c r="I2" s="50"/>
      <c r="J2" s="52"/>
      <c r="K2" s="56"/>
      <c r="L2" s="56"/>
      <c r="M2" s="56"/>
      <c r="N2" s="56"/>
      <c r="O2" s="56"/>
      <c r="P2" s="56"/>
      <c r="Q2" s="56"/>
      <c r="R2" s="56"/>
      <c r="S2" s="56"/>
      <c r="T2" s="52"/>
      <c r="U2" s="52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8" customHeight="1" x14ac:dyDescent="0.3">
      <c r="A3" s="302" t="s">
        <v>55</v>
      </c>
      <c r="B3" s="302"/>
      <c r="C3" s="320">
        <f>E29</f>
        <v>24440854.711616207</v>
      </c>
      <c r="D3" s="320"/>
      <c r="E3" s="50"/>
      <c r="F3" s="49"/>
      <c r="G3" s="49"/>
      <c r="H3" s="50"/>
      <c r="I3" s="50"/>
      <c r="J3" s="52"/>
      <c r="K3" s="56"/>
      <c r="L3" s="56"/>
      <c r="M3" s="56"/>
      <c r="N3" s="56"/>
      <c r="O3" s="56"/>
      <c r="P3" s="56"/>
      <c r="Q3" s="56"/>
      <c r="R3" s="56"/>
      <c r="S3" s="56"/>
      <c r="T3" s="52"/>
      <c r="U3" s="52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ht="18" customHeight="1" x14ac:dyDescent="0.3">
      <c r="A4" s="49"/>
      <c r="B4" s="49"/>
      <c r="C4" s="50"/>
      <c r="D4" s="50"/>
      <c r="E4" s="50"/>
      <c r="F4" s="49"/>
      <c r="G4" s="49"/>
      <c r="H4" s="50"/>
      <c r="I4" s="50"/>
      <c r="J4" s="52"/>
      <c r="K4" s="56"/>
      <c r="L4" s="56"/>
      <c r="M4" s="56"/>
      <c r="N4" s="56"/>
      <c r="O4" s="56"/>
      <c r="P4" s="56"/>
      <c r="Q4" s="56"/>
      <c r="R4" s="56"/>
      <c r="S4" s="56"/>
      <c r="T4" s="52"/>
      <c r="U4" s="52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18" customHeight="1" x14ac:dyDescent="0.3">
      <c r="A5" s="304" t="s">
        <v>54</v>
      </c>
      <c r="B5" s="305"/>
      <c r="C5" s="305"/>
      <c r="D5" s="305"/>
      <c r="E5" s="306"/>
      <c r="F5" s="49"/>
      <c r="G5" s="49"/>
      <c r="H5" s="50"/>
      <c r="I5" s="50"/>
      <c r="J5" s="52"/>
      <c r="K5" s="56"/>
      <c r="L5" s="56"/>
      <c r="M5" s="56"/>
      <c r="N5" s="56"/>
      <c r="O5" s="56"/>
      <c r="P5" s="56"/>
      <c r="Q5" s="56"/>
      <c r="R5" s="56"/>
      <c r="S5" s="56"/>
      <c r="T5" s="52"/>
      <c r="U5" s="5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3.9" customHeight="1" x14ac:dyDescent="0.2">
      <c r="A6" s="324" t="s">
        <v>1</v>
      </c>
      <c r="B6" s="297" t="s">
        <v>139</v>
      </c>
      <c r="C6" s="297" t="s">
        <v>140</v>
      </c>
      <c r="D6" s="322" t="s">
        <v>12</v>
      </c>
      <c r="E6" s="322" t="s">
        <v>55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</row>
    <row r="7" spans="1:52" ht="13.15" customHeight="1" x14ac:dyDescent="0.2">
      <c r="A7" s="324"/>
      <c r="B7" s="321"/>
      <c r="C7" s="321"/>
      <c r="D7" s="322"/>
      <c r="E7" s="322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52" ht="13.5" thickBot="1" x14ac:dyDescent="0.25">
      <c r="A8" s="325"/>
      <c r="B8" s="311"/>
      <c r="C8" s="311"/>
      <c r="D8" s="323"/>
      <c r="E8" s="323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3.5" thickTop="1" x14ac:dyDescent="0.2">
      <c r="A9" s="34">
        <v>2023</v>
      </c>
      <c r="B9" s="204">
        <f>G38</f>
        <v>593539.04485082114</v>
      </c>
      <c r="C9" s="205">
        <f t="shared" ref="C9:C28" si="0">M38</f>
        <v>1608049.1515622002</v>
      </c>
      <c r="D9" s="204">
        <f t="shared" ref="D9:D28" si="1">ROUND(B9-C9,0)</f>
        <v>-1014510</v>
      </c>
      <c r="E9" s="206">
        <f>D9*NPV!C8</f>
        <v>-723331.60894797638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x14ac:dyDescent="0.2">
      <c r="A10" s="34">
        <f t="shared" ref="A10:A28" si="2">A9+1</f>
        <v>2024</v>
      </c>
      <c r="B10" s="204">
        <f t="shared" ref="B10:B28" si="3">G39</f>
        <v>593539.04485082114</v>
      </c>
      <c r="C10" s="205">
        <f t="shared" si="0"/>
        <v>1608049.1515622002</v>
      </c>
      <c r="D10" s="204">
        <f t="shared" si="1"/>
        <v>-1014510</v>
      </c>
      <c r="E10" s="206">
        <f>D10*NPV!C9</f>
        <v>-676010.84948409011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x14ac:dyDescent="0.2">
      <c r="A11" s="34">
        <f t="shared" si="2"/>
        <v>2025</v>
      </c>
      <c r="B11" s="204">
        <f t="shared" si="3"/>
        <v>5463187.5570654431</v>
      </c>
      <c r="C11" s="205">
        <f t="shared" si="0"/>
        <v>1608049.1515622002</v>
      </c>
      <c r="D11" s="204">
        <f t="shared" si="1"/>
        <v>3855138</v>
      </c>
      <c r="E11" s="206">
        <f>D11*NPV!C10</f>
        <v>2400786.1944294786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x14ac:dyDescent="0.2">
      <c r="A12" s="34">
        <f t="shared" si="2"/>
        <v>2026</v>
      </c>
      <c r="B12" s="204">
        <f t="shared" si="3"/>
        <v>5463187.5570654431</v>
      </c>
      <c r="C12" s="205">
        <f t="shared" si="0"/>
        <v>1608049.1515622002</v>
      </c>
      <c r="D12" s="204">
        <f t="shared" si="1"/>
        <v>3855138</v>
      </c>
      <c r="E12" s="206">
        <f>D12*NPV!C11</f>
        <v>2243725.4153546528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x14ac:dyDescent="0.2">
      <c r="A13" s="34">
        <f t="shared" si="2"/>
        <v>2027</v>
      </c>
      <c r="B13" s="204">
        <f t="shared" si="3"/>
        <v>5463187.5570654431</v>
      </c>
      <c r="C13" s="205">
        <f t="shared" si="0"/>
        <v>1608049.1515622002</v>
      </c>
      <c r="D13" s="204">
        <f t="shared" si="1"/>
        <v>3855138</v>
      </c>
      <c r="E13" s="206">
        <f>D13*NPV!C12</f>
        <v>2096939.6405183673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x14ac:dyDescent="0.2">
      <c r="A14" s="34">
        <f t="shared" si="2"/>
        <v>2028</v>
      </c>
      <c r="B14" s="204">
        <f t="shared" si="3"/>
        <v>5463187.5570654431</v>
      </c>
      <c r="C14" s="205">
        <f t="shared" si="0"/>
        <v>1608049.1515622002</v>
      </c>
      <c r="D14" s="204">
        <f t="shared" si="1"/>
        <v>3855138</v>
      </c>
      <c r="E14" s="206">
        <f>D14*NPV!C13</f>
        <v>1959756.6733816518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x14ac:dyDescent="0.2">
      <c r="A15" s="34">
        <f t="shared" si="2"/>
        <v>2029</v>
      </c>
      <c r="B15" s="204">
        <f t="shared" si="3"/>
        <v>5463187.5570654431</v>
      </c>
      <c r="C15" s="205">
        <f t="shared" si="0"/>
        <v>1608049.1515622002</v>
      </c>
      <c r="D15" s="204">
        <f t="shared" si="1"/>
        <v>3855138</v>
      </c>
      <c r="E15" s="206">
        <f>D15*NPV!C14</f>
        <v>1831548.292880048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x14ac:dyDescent="0.2">
      <c r="A16" s="34">
        <f t="shared" si="2"/>
        <v>2030</v>
      </c>
      <c r="B16" s="204">
        <f t="shared" si="3"/>
        <v>5463187.5570654431</v>
      </c>
      <c r="C16" s="205">
        <f t="shared" si="0"/>
        <v>1608049.1515622002</v>
      </c>
      <c r="D16" s="204">
        <f t="shared" si="1"/>
        <v>3855138</v>
      </c>
      <c r="E16" s="206">
        <f>D16*NPV!C15</f>
        <v>1711727.3765234097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3" x14ac:dyDescent="0.2">
      <c r="A17" s="34">
        <f t="shared" si="2"/>
        <v>2031</v>
      </c>
      <c r="B17" s="204">
        <f t="shared" si="3"/>
        <v>5463187.5570654431</v>
      </c>
      <c r="C17" s="205">
        <f t="shared" si="0"/>
        <v>1608049.1515622002</v>
      </c>
      <c r="D17" s="204">
        <f t="shared" si="1"/>
        <v>3855138</v>
      </c>
      <c r="E17" s="206">
        <f>D17*NPV!C16</f>
        <v>1599745.211704121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3" x14ac:dyDescent="0.2">
      <c r="A18" s="34">
        <f t="shared" si="2"/>
        <v>2032</v>
      </c>
      <c r="B18" s="204">
        <f t="shared" si="3"/>
        <v>5463187.5570654431</v>
      </c>
      <c r="C18" s="205">
        <f t="shared" si="0"/>
        <v>1608049.1515622002</v>
      </c>
      <c r="D18" s="204">
        <f t="shared" si="1"/>
        <v>3855138</v>
      </c>
      <c r="E18" s="206">
        <f>D18*NPV!C17</f>
        <v>1495088.9829010479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3" x14ac:dyDescent="0.2">
      <c r="A19" s="34">
        <f t="shared" si="2"/>
        <v>2033</v>
      </c>
      <c r="B19" s="204">
        <f t="shared" si="3"/>
        <v>5463187.5570654431</v>
      </c>
      <c r="C19" s="205">
        <f t="shared" si="0"/>
        <v>1608049.1515622002</v>
      </c>
      <c r="D19" s="204">
        <f t="shared" si="1"/>
        <v>3855138</v>
      </c>
      <c r="E19" s="206">
        <f>D19*NPV!C18</f>
        <v>1397279.4232720071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3" x14ac:dyDescent="0.2">
      <c r="A20" s="34">
        <f t="shared" si="2"/>
        <v>2034</v>
      </c>
      <c r="B20" s="204">
        <f t="shared" si="3"/>
        <v>5463187.5570654431</v>
      </c>
      <c r="C20" s="205">
        <f t="shared" si="0"/>
        <v>1608049.1515622002</v>
      </c>
      <c r="D20" s="204">
        <f t="shared" si="1"/>
        <v>3855138</v>
      </c>
      <c r="E20" s="206">
        <f>D20*NPV!C19</f>
        <v>1305868.6198803808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3" x14ac:dyDescent="0.2">
      <c r="A21" s="34">
        <f t="shared" si="2"/>
        <v>2035</v>
      </c>
      <c r="B21" s="204">
        <f t="shared" si="3"/>
        <v>5463187.5570654431</v>
      </c>
      <c r="C21" s="205">
        <f t="shared" si="0"/>
        <v>1608049.1515622002</v>
      </c>
      <c r="D21" s="204">
        <f t="shared" si="1"/>
        <v>3855138</v>
      </c>
      <c r="E21" s="206">
        <f>D21*NPV!C20</f>
        <v>1220437.9625050288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3" x14ac:dyDescent="0.2">
      <c r="A22" s="34">
        <f t="shared" si="2"/>
        <v>2036</v>
      </c>
      <c r="B22" s="204">
        <f t="shared" si="3"/>
        <v>5463187.5570654431</v>
      </c>
      <c r="C22" s="205">
        <f t="shared" si="0"/>
        <v>1608049.1515622002</v>
      </c>
      <c r="D22" s="204">
        <f t="shared" si="1"/>
        <v>3855138</v>
      </c>
      <c r="E22" s="206">
        <f>D22*NPV!C21</f>
        <v>1140596.2266402137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3" x14ac:dyDescent="0.2">
      <c r="A23" s="34">
        <f t="shared" si="2"/>
        <v>2037</v>
      </c>
      <c r="B23" s="204">
        <f t="shared" si="3"/>
        <v>5463187.5570654431</v>
      </c>
      <c r="C23" s="205">
        <f t="shared" si="0"/>
        <v>1608049.1515622002</v>
      </c>
      <c r="D23" s="204">
        <f t="shared" si="1"/>
        <v>3855138</v>
      </c>
      <c r="E23" s="206">
        <f>D23*NPV!C22</f>
        <v>1065977.7819067417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3" x14ac:dyDescent="0.2">
      <c r="A24" s="34">
        <f t="shared" si="2"/>
        <v>2038</v>
      </c>
      <c r="B24" s="204">
        <f t="shared" si="3"/>
        <v>5463187.5570654431</v>
      </c>
      <c r="C24" s="205">
        <f t="shared" si="0"/>
        <v>1608049.1515622002</v>
      </c>
      <c r="D24" s="204">
        <f t="shared" si="1"/>
        <v>3855138</v>
      </c>
      <c r="E24" s="206">
        <f>D24*NPV!C23</f>
        <v>996240.91766985215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3" x14ac:dyDescent="0.2">
      <c r="A25" s="34">
        <f t="shared" si="2"/>
        <v>2039</v>
      </c>
      <c r="B25" s="204">
        <f t="shared" si="3"/>
        <v>5463187.5570654431</v>
      </c>
      <c r="C25" s="205">
        <f t="shared" si="0"/>
        <v>1608049.1515622002</v>
      </c>
      <c r="D25" s="204">
        <f t="shared" si="1"/>
        <v>3855138</v>
      </c>
      <c r="E25" s="206">
        <f>D25*NPV!C24</f>
        <v>931066.27819612355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3" x14ac:dyDescent="0.2">
      <c r="A26" s="34">
        <f t="shared" si="2"/>
        <v>2040</v>
      </c>
      <c r="B26" s="204">
        <f t="shared" si="3"/>
        <v>5463187.5570654431</v>
      </c>
      <c r="C26" s="205">
        <f t="shared" si="0"/>
        <v>1608049.1515622002</v>
      </c>
      <c r="D26" s="204">
        <f t="shared" si="1"/>
        <v>3855138</v>
      </c>
      <c r="E26" s="206">
        <f>D26*NPV!C25</f>
        <v>870155.40018329304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3" x14ac:dyDescent="0.2">
      <c r="A27" s="34">
        <f t="shared" si="2"/>
        <v>2041</v>
      </c>
      <c r="B27" s="204">
        <f t="shared" si="3"/>
        <v>5463187.5570654431</v>
      </c>
      <c r="C27" s="205">
        <f t="shared" si="0"/>
        <v>1608049.1515622002</v>
      </c>
      <c r="D27" s="204">
        <f t="shared" si="1"/>
        <v>3855138</v>
      </c>
      <c r="E27" s="206">
        <f>D27*NPV!C26</f>
        <v>813229.34596569429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3" ht="13.5" thickBot="1" x14ac:dyDescent="0.25">
      <c r="A28" s="76">
        <f t="shared" si="2"/>
        <v>2042</v>
      </c>
      <c r="B28" s="207">
        <f t="shared" si="3"/>
        <v>5463187.5570654431</v>
      </c>
      <c r="C28" s="208">
        <f t="shared" si="0"/>
        <v>1608049.1515622002</v>
      </c>
      <c r="D28" s="207">
        <f t="shared" si="1"/>
        <v>3855138</v>
      </c>
      <c r="E28" s="209">
        <f>D28*NPV!C27</f>
        <v>760027.42613616295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3" ht="13.5" thickTop="1" x14ac:dyDescent="0.2">
      <c r="A29" s="28" t="s">
        <v>0</v>
      </c>
      <c r="B29" s="210">
        <f>SUM(B9:B28)</f>
        <v>99524454.116879612</v>
      </c>
      <c r="C29" s="211">
        <f>SUM(C9:C28)</f>
        <v>32160983.031243995</v>
      </c>
      <c r="D29" s="210">
        <f>SUM(D9:D28)</f>
        <v>67363464</v>
      </c>
      <c r="E29" s="212">
        <f>SUM(E9:E28)</f>
        <v>24440854.711616207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3" ht="16.5" x14ac:dyDescent="0.3">
      <c r="A30" s="5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spans="1:53" ht="13.9" customHeight="1" x14ac:dyDescent="0.2">
      <c r="A31" s="316" t="s">
        <v>1</v>
      </c>
      <c r="B31" s="271" t="s">
        <v>193</v>
      </c>
      <c r="C31" s="272"/>
      <c r="D31" s="272"/>
      <c r="E31" s="272"/>
      <c r="F31" s="272"/>
      <c r="G31" s="273"/>
      <c r="H31" s="271" t="s">
        <v>11</v>
      </c>
      <c r="I31" s="272"/>
      <c r="J31" s="272"/>
      <c r="K31" s="272"/>
      <c r="L31" s="272"/>
      <c r="M31" s="273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53" ht="13.15" customHeight="1" x14ac:dyDescent="0.2">
      <c r="A32" s="317"/>
      <c r="B32" s="297" t="s">
        <v>105</v>
      </c>
      <c r="C32" s="297" t="s">
        <v>136</v>
      </c>
      <c r="D32" s="262" t="s">
        <v>137</v>
      </c>
      <c r="E32" s="297" t="s">
        <v>179</v>
      </c>
      <c r="F32" s="297" t="s">
        <v>178</v>
      </c>
      <c r="G32" s="297" t="s">
        <v>191</v>
      </c>
      <c r="H32" s="264" t="s">
        <v>105</v>
      </c>
      <c r="I32" s="297" t="s">
        <v>136</v>
      </c>
      <c r="J32" s="322" t="s">
        <v>137</v>
      </c>
      <c r="K32" s="297" t="s">
        <v>179</v>
      </c>
      <c r="L32" s="297" t="s">
        <v>178</v>
      </c>
      <c r="M32" s="297" t="s">
        <v>191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ht="13.5" thickBot="1" x14ac:dyDescent="0.25">
      <c r="A33" s="318"/>
      <c r="B33" s="311"/>
      <c r="C33" s="311"/>
      <c r="D33" s="319"/>
      <c r="E33" s="311"/>
      <c r="F33" s="311"/>
      <c r="G33" s="311"/>
      <c r="H33" s="326"/>
      <c r="I33" s="311"/>
      <c r="J33" s="323"/>
      <c r="K33" s="311"/>
      <c r="L33" s="311"/>
      <c r="M33" s="311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ht="13.5" thickTop="1" x14ac:dyDescent="0.2">
      <c r="A34" s="73">
        <v>2019</v>
      </c>
      <c r="B34" s="8">
        <f>'Ton-miles'!$C$16</f>
        <v>2620153807.8000002</v>
      </c>
      <c r="C34" s="9">
        <v>0</v>
      </c>
      <c r="D34" s="8">
        <v>0</v>
      </c>
      <c r="E34" s="245">
        <f t="shared" ref="E34:E57" si="4">B34*$E$89+C34*$E$101+D34*$E$113</f>
        <v>6.0014059135573422E-2</v>
      </c>
      <c r="F34" s="245">
        <f t="shared" ref="F34:F57" si="5">B34*$F$89+C34*$F$101+D34*$F$113</f>
        <v>0.10002343189262239</v>
      </c>
      <c r="G34" s="213">
        <v>0</v>
      </c>
      <c r="H34" s="3">
        <f>B34</f>
        <v>2620153807.8000002</v>
      </c>
      <c r="I34" s="9">
        <v>0</v>
      </c>
      <c r="J34" s="3">
        <v>0</v>
      </c>
      <c r="K34" s="245">
        <f t="shared" ref="K34:K57" si="6">H34*$E$89+I34*$E$101+J34*$E$113</f>
        <v>6.0014059135573422E-2</v>
      </c>
      <c r="L34" s="245">
        <f t="shared" ref="L34:L57" si="7">H34*$F$89+I34*$F$101+J34*$F$113</f>
        <v>0.10002343189262239</v>
      </c>
      <c r="M34" s="213">
        <v>0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x14ac:dyDescent="0.2">
      <c r="A35" s="34">
        <f>A34+1</f>
        <v>2020</v>
      </c>
      <c r="B35" s="8">
        <f t="shared" ref="B35:B39" si="8">$B$34-C35-D35</f>
        <v>2620153807.8000002</v>
      </c>
      <c r="C35" s="9">
        <v>0</v>
      </c>
      <c r="D35" s="10">
        <v>0</v>
      </c>
      <c r="E35" s="245">
        <f t="shared" si="4"/>
        <v>6.0014059135573422E-2</v>
      </c>
      <c r="F35" s="245">
        <f t="shared" si="5"/>
        <v>0.10002343189262239</v>
      </c>
      <c r="G35" s="213">
        <v>0</v>
      </c>
      <c r="H35" s="8">
        <f>$H$34-I35-J35</f>
        <v>2620153807.8000002</v>
      </c>
      <c r="I35" s="9">
        <v>0</v>
      </c>
      <c r="J35" s="3">
        <v>0</v>
      </c>
      <c r="K35" s="245">
        <f t="shared" si="6"/>
        <v>6.0014059135573422E-2</v>
      </c>
      <c r="L35" s="245">
        <f t="shared" si="7"/>
        <v>0.10002343189262239</v>
      </c>
      <c r="M35" s="213">
        <v>0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40" x14ac:dyDescent="0.2">
      <c r="A36" s="34">
        <f t="shared" ref="A36:A57" si="9">A35+1</f>
        <v>2021</v>
      </c>
      <c r="B36" s="8">
        <f t="shared" si="8"/>
        <v>2620153807.8000002</v>
      </c>
      <c r="C36" s="9">
        <v>0</v>
      </c>
      <c r="D36" s="10">
        <v>0</v>
      </c>
      <c r="E36" s="245">
        <f t="shared" si="4"/>
        <v>6.0014059135573422E-2</v>
      </c>
      <c r="F36" s="245">
        <f t="shared" si="5"/>
        <v>0.10002343189262239</v>
      </c>
      <c r="G36" s="213">
        <v>0</v>
      </c>
      <c r="H36" s="8">
        <f>$H$34-I36-J36</f>
        <v>2620153807.8000002</v>
      </c>
      <c r="I36" s="9">
        <v>0</v>
      </c>
      <c r="J36" s="3">
        <v>0</v>
      </c>
      <c r="K36" s="245">
        <f t="shared" si="6"/>
        <v>6.0014059135573422E-2</v>
      </c>
      <c r="L36" s="245">
        <f t="shared" si="7"/>
        <v>0.10002343189262239</v>
      </c>
      <c r="M36" s="213">
        <v>0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x14ac:dyDescent="0.2">
      <c r="A37" s="34">
        <f t="shared" si="9"/>
        <v>2022</v>
      </c>
      <c r="B37" s="8">
        <f t="shared" si="8"/>
        <v>2620153807.8000002</v>
      </c>
      <c r="C37" s="9">
        <v>0</v>
      </c>
      <c r="D37" s="10">
        <v>0</v>
      </c>
      <c r="E37" s="245">
        <f t="shared" si="4"/>
        <v>6.0014059135573422E-2</v>
      </c>
      <c r="F37" s="245">
        <f t="shared" si="5"/>
        <v>0.10002343189262239</v>
      </c>
      <c r="G37" s="213">
        <v>0</v>
      </c>
      <c r="H37" s="8">
        <f>$H$34-I37-J37</f>
        <v>2620153807.8000002</v>
      </c>
      <c r="I37" s="9">
        <v>0</v>
      </c>
      <c r="J37" s="3">
        <v>0</v>
      </c>
      <c r="K37" s="245">
        <f t="shared" si="6"/>
        <v>6.0014059135573422E-2</v>
      </c>
      <c r="L37" s="245">
        <f t="shared" si="7"/>
        <v>0.10002343189262239</v>
      </c>
      <c r="M37" s="213">
        <v>0</v>
      </c>
      <c r="N37" s="6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40" x14ac:dyDescent="0.2">
      <c r="A38" s="34">
        <v>2023</v>
      </c>
      <c r="B38" s="8">
        <f t="shared" si="8"/>
        <v>2620153807.8000002</v>
      </c>
      <c r="C38" s="9">
        <v>0</v>
      </c>
      <c r="D38" s="10">
        <v>0</v>
      </c>
      <c r="E38" s="245">
        <f t="shared" si="4"/>
        <v>6.0014059135573422E-2</v>
      </c>
      <c r="F38" s="245">
        <f t="shared" si="5"/>
        <v>0.10002343189262239</v>
      </c>
      <c r="G38" s="213">
        <f t="shared" ref="G38:G57" si="10">E38*$B$73+F38*$B$74</f>
        <v>593539.04485082114</v>
      </c>
      <c r="H38" s="8">
        <f>$H$34*'Operations &amp; Maintenance Costs'!$H$62</f>
        <v>2434327296.608511</v>
      </c>
      <c r="I38" s="9">
        <f>(1-'Operations &amp; Maintenance Costs'!$H$62)*Safety!$B$34*0.9*0.75</f>
        <v>125432895.05425531</v>
      </c>
      <c r="J38" s="10">
        <f>(1-'Operations &amp; Maintenance Costs'!$H$62)*Safety!$B$34*0.1*0.75</f>
        <v>13936988.339361701</v>
      </c>
      <c r="K38" s="245">
        <f>H38*$E$89+I38*$E$101+J38*$E$113</f>
        <v>0.14464859901738206</v>
      </c>
      <c r="L38" s="245">
        <f>H38*$F$89+I38*$F$101+J38*$F$113</f>
        <v>1.2610494310076583</v>
      </c>
      <c r="M38" s="213">
        <f>K38*$B$73+L38*$B$74</f>
        <v>1608049.1515622002</v>
      </c>
      <c r="N38" s="6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x14ac:dyDescent="0.2">
      <c r="A39" s="34">
        <f t="shared" si="9"/>
        <v>2024</v>
      </c>
      <c r="B39" s="8">
        <f t="shared" si="8"/>
        <v>2620153807.8000002</v>
      </c>
      <c r="C39" s="9">
        <v>0</v>
      </c>
      <c r="D39" s="10">
        <v>0</v>
      </c>
      <c r="E39" s="245">
        <f t="shared" si="4"/>
        <v>6.0014059135573422E-2</v>
      </c>
      <c r="F39" s="245">
        <f t="shared" si="5"/>
        <v>0.10002343189262239</v>
      </c>
      <c r="G39" s="213">
        <f t="shared" si="10"/>
        <v>593539.04485082114</v>
      </c>
      <c r="H39" s="8">
        <f>$H$34*'Operations &amp; Maintenance Costs'!$H$62</f>
        <v>2434327296.608511</v>
      </c>
      <c r="I39" s="9">
        <f>(1-'Operations &amp; Maintenance Costs'!$H$62)*Safety!$B$34*0.9*0.75</f>
        <v>125432895.05425531</v>
      </c>
      <c r="J39" s="10">
        <f>(1-'Operations &amp; Maintenance Costs'!$H$62)*Safety!$B$34*0.1*0.75</f>
        <v>13936988.339361701</v>
      </c>
      <c r="K39" s="245">
        <f t="shared" si="6"/>
        <v>0.14464859901738206</v>
      </c>
      <c r="L39" s="245">
        <f t="shared" si="7"/>
        <v>1.2610494310076583</v>
      </c>
      <c r="M39" s="213">
        <f t="shared" ref="M39:M57" si="11">K39*$B$73+L39*$B$74</f>
        <v>1608049.1515622002</v>
      </c>
      <c r="N39" s="6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 x14ac:dyDescent="0.2">
      <c r="A40" s="34">
        <f t="shared" si="9"/>
        <v>2025</v>
      </c>
      <c r="B40" s="8">
        <f>$B$34*'Operations &amp; Maintenance Costs'!$F$62</f>
        <v>1728186554.0808511</v>
      </c>
      <c r="C40" s="9">
        <f>(1-'Operations &amp; Maintenance Costs'!$F$62)*Safety!$B$34*0.9*0.75</f>
        <v>602077896.26042569</v>
      </c>
      <c r="D40" s="10">
        <f>(1-'Operations &amp; Maintenance Costs'!$F$62)*Safety!$B$34*0.1*0.75</f>
        <v>66897544.028936192</v>
      </c>
      <c r="E40" s="245">
        <f t="shared" si="4"/>
        <v>0.46625985056825509</v>
      </c>
      <c r="F40" s="245">
        <f t="shared" si="5"/>
        <v>5.6729482276447971</v>
      </c>
      <c r="G40" s="213">
        <f>E40*$B$73+F40*$B$74</f>
        <v>5463187.5570654431</v>
      </c>
      <c r="H40" s="8">
        <f>$H$34*'Operations &amp; Maintenance Costs'!$H$62</f>
        <v>2434327296.608511</v>
      </c>
      <c r="I40" s="9">
        <f>(1-'Operations &amp; Maintenance Costs'!$H$62)*Safety!$B$34*0.9*0.75</f>
        <v>125432895.05425531</v>
      </c>
      <c r="J40" s="10">
        <f>(1-'Operations &amp; Maintenance Costs'!$H$62)*Safety!$B$34*0.1*0.75</f>
        <v>13936988.339361701</v>
      </c>
      <c r="K40" s="245">
        <f t="shared" si="6"/>
        <v>0.14464859901738206</v>
      </c>
      <c r="L40" s="245">
        <f t="shared" si="7"/>
        <v>1.2610494310076583</v>
      </c>
      <c r="M40" s="213">
        <f t="shared" si="11"/>
        <v>1608049.1515622002</v>
      </c>
      <c r="N40" s="6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x14ac:dyDescent="0.2">
      <c r="A41" s="34">
        <f t="shared" si="9"/>
        <v>2026</v>
      </c>
      <c r="B41" s="8">
        <f>$B$34*'Operations &amp; Maintenance Costs'!$F$62</f>
        <v>1728186554.0808511</v>
      </c>
      <c r="C41" s="9">
        <f>(1-'Operations &amp; Maintenance Costs'!$F$62)*Safety!$B$34*0.9*0.75</f>
        <v>602077896.26042569</v>
      </c>
      <c r="D41" s="10">
        <f>(1-'Operations &amp; Maintenance Costs'!$F$62)*Safety!$B$34*0.1*0.75</f>
        <v>66897544.028936192</v>
      </c>
      <c r="E41" s="245">
        <f t="shared" si="4"/>
        <v>0.46625985056825509</v>
      </c>
      <c r="F41" s="245">
        <f t="shared" si="5"/>
        <v>5.6729482276447971</v>
      </c>
      <c r="G41" s="213">
        <f t="shared" si="10"/>
        <v>5463187.5570654431</v>
      </c>
      <c r="H41" s="8">
        <f>$H$34*'Operations &amp; Maintenance Costs'!$H$62</f>
        <v>2434327296.608511</v>
      </c>
      <c r="I41" s="9">
        <f>(1-'Operations &amp; Maintenance Costs'!$H$62)*Safety!$B$34*0.9*0.75</f>
        <v>125432895.05425531</v>
      </c>
      <c r="J41" s="10">
        <f>(1-'Operations &amp; Maintenance Costs'!$H$62)*Safety!$B$34*0.1*0.75</f>
        <v>13936988.339361701</v>
      </c>
      <c r="K41" s="245">
        <f t="shared" si="6"/>
        <v>0.14464859901738206</v>
      </c>
      <c r="L41" s="245">
        <f t="shared" si="7"/>
        <v>1.2610494310076583</v>
      </c>
      <c r="M41" s="213">
        <f t="shared" si="11"/>
        <v>1608049.1515622002</v>
      </c>
      <c r="N41" s="6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x14ac:dyDescent="0.2">
      <c r="A42" s="34">
        <f t="shared" si="9"/>
        <v>2027</v>
      </c>
      <c r="B42" s="8">
        <f>$B$34*'Operations &amp; Maintenance Costs'!$F$62</f>
        <v>1728186554.0808511</v>
      </c>
      <c r="C42" s="9">
        <f>(1-'Operations &amp; Maintenance Costs'!$F$62)*Safety!$B$34*0.9*0.75</f>
        <v>602077896.26042569</v>
      </c>
      <c r="D42" s="10">
        <f>(1-'Operations &amp; Maintenance Costs'!$F$62)*Safety!$B$34*0.1*0.75</f>
        <v>66897544.028936192</v>
      </c>
      <c r="E42" s="245">
        <f t="shared" si="4"/>
        <v>0.46625985056825509</v>
      </c>
      <c r="F42" s="245">
        <f t="shared" si="5"/>
        <v>5.6729482276447971</v>
      </c>
      <c r="G42" s="213">
        <f t="shared" si="10"/>
        <v>5463187.5570654431</v>
      </c>
      <c r="H42" s="8">
        <f>$H$34*'Operations &amp; Maintenance Costs'!$H$62</f>
        <v>2434327296.608511</v>
      </c>
      <c r="I42" s="9">
        <f>(1-'Operations &amp; Maintenance Costs'!$H$62)*Safety!$B$34*0.9*0.75</f>
        <v>125432895.05425531</v>
      </c>
      <c r="J42" s="10">
        <f>(1-'Operations &amp; Maintenance Costs'!$H$62)*Safety!$B$34*0.1*0.75</f>
        <v>13936988.339361701</v>
      </c>
      <c r="K42" s="245">
        <f t="shared" si="6"/>
        <v>0.14464859901738206</v>
      </c>
      <c r="L42" s="245">
        <f t="shared" si="7"/>
        <v>1.2610494310076583</v>
      </c>
      <c r="M42" s="213">
        <f t="shared" si="11"/>
        <v>1608049.1515622002</v>
      </c>
      <c r="N42" s="6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x14ac:dyDescent="0.2">
      <c r="A43" s="34">
        <f t="shared" si="9"/>
        <v>2028</v>
      </c>
      <c r="B43" s="8">
        <f>$B$34*'Operations &amp; Maintenance Costs'!$F$62</f>
        <v>1728186554.0808511</v>
      </c>
      <c r="C43" s="9">
        <f>(1-'Operations &amp; Maintenance Costs'!$F$62)*Safety!$B$34*0.9*0.75</f>
        <v>602077896.26042569</v>
      </c>
      <c r="D43" s="10">
        <f>(1-'Operations &amp; Maintenance Costs'!$F$62)*Safety!$B$34*0.1*0.75</f>
        <v>66897544.028936192</v>
      </c>
      <c r="E43" s="245">
        <f t="shared" si="4"/>
        <v>0.46625985056825509</v>
      </c>
      <c r="F43" s="245">
        <f t="shared" si="5"/>
        <v>5.6729482276447971</v>
      </c>
      <c r="G43" s="213">
        <f t="shared" si="10"/>
        <v>5463187.5570654431</v>
      </c>
      <c r="H43" s="8">
        <f>$H$34*'Operations &amp; Maintenance Costs'!$H$62</f>
        <v>2434327296.608511</v>
      </c>
      <c r="I43" s="9">
        <f>(1-'Operations &amp; Maintenance Costs'!$H$62)*Safety!$B$34*0.9*0.75</f>
        <v>125432895.05425531</v>
      </c>
      <c r="J43" s="10">
        <f>(1-'Operations &amp; Maintenance Costs'!$H$62)*Safety!$B$34*0.1*0.75</f>
        <v>13936988.339361701</v>
      </c>
      <c r="K43" s="245">
        <f t="shared" si="6"/>
        <v>0.14464859901738206</v>
      </c>
      <c r="L43" s="245">
        <f t="shared" si="7"/>
        <v>1.2610494310076583</v>
      </c>
      <c r="M43" s="213">
        <f t="shared" si="11"/>
        <v>1608049.1515622002</v>
      </c>
      <c r="N43" s="6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x14ac:dyDescent="0.2">
      <c r="A44" s="34">
        <f t="shared" si="9"/>
        <v>2029</v>
      </c>
      <c r="B44" s="8">
        <f>$B$34*'Operations &amp; Maintenance Costs'!$F$62</f>
        <v>1728186554.0808511</v>
      </c>
      <c r="C44" s="9">
        <f>(1-'Operations &amp; Maintenance Costs'!$F$62)*Safety!$B$34*0.9*0.75</f>
        <v>602077896.26042569</v>
      </c>
      <c r="D44" s="10">
        <f>(1-'Operations &amp; Maintenance Costs'!$F$62)*Safety!$B$34*0.1*0.75</f>
        <v>66897544.028936192</v>
      </c>
      <c r="E44" s="245">
        <f t="shared" si="4"/>
        <v>0.46625985056825509</v>
      </c>
      <c r="F44" s="245">
        <f t="shared" si="5"/>
        <v>5.6729482276447971</v>
      </c>
      <c r="G44" s="213">
        <f t="shared" si="10"/>
        <v>5463187.5570654431</v>
      </c>
      <c r="H44" s="8">
        <f>$H$34*'Operations &amp; Maintenance Costs'!$H$62</f>
        <v>2434327296.608511</v>
      </c>
      <c r="I44" s="9">
        <f>(1-'Operations &amp; Maintenance Costs'!$H$62)*Safety!$B$34*0.9*0.75</f>
        <v>125432895.05425531</v>
      </c>
      <c r="J44" s="10">
        <f>(1-'Operations &amp; Maintenance Costs'!$H$62)*Safety!$B$34*0.1*0.75</f>
        <v>13936988.339361701</v>
      </c>
      <c r="K44" s="245">
        <f t="shared" si="6"/>
        <v>0.14464859901738206</v>
      </c>
      <c r="L44" s="245">
        <f t="shared" si="7"/>
        <v>1.2610494310076583</v>
      </c>
      <c r="M44" s="213">
        <f t="shared" si="11"/>
        <v>1608049.1515622002</v>
      </c>
      <c r="N44" s="6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x14ac:dyDescent="0.2">
      <c r="A45" s="34">
        <f t="shared" si="9"/>
        <v>2030</v>
      </c>
      <c r="B45" s="8">
        <f>$B$34*'Operations &amp; Maintenance Costs'!$F$62</f>
        <v>1728186554.0808511</v>
      </c>
      <c r="C45" s="9">
        <f>(1-'Operations &amp; Maintenance Costs'!$F$62)*Safety!$B$34*0.9*0.75</f>
        <v>602077896.26042569</v>
      </c>
      <c r="D45" s="10">
        <f>(1-'Operations &amp; Maintenance Costs'!$F$62)*Safety!$B$34*0.1*0.75</f>
        <v>66897544.028936192</v>
      </c>
      <c r="E45" s="245">
        <f t="shared" si="4"/>
        <v>0.46625985056825509</v>
      </c>
      <c r="F45" s="245">
        <f t="shared" si="5"/>
        <v>5.6729482276447971</v>
      </c>
      <c r="G45" s="213">
        <f t="shared" si="10"/>
        <v>5463187.5570654431</v>
      </c>
      <c r="H45" s="8">
        <f>$H$34*'Operations &amp; Maintenance Costs'!$H$62</f>
        <v>2434327296.608511</v>
      </c>
      <c r="I45" s="9">
        <f>(1-'Operations &amp; Maintenance Costs'!$H$62)*Safety!$B$34*0.9*0.75</f>
        <v>125432895.05425531</v>
      </c>
      <c r="J45" s="10">
        <f>(1-'Operations &amp; Maintenance Costs'!$H$62)*Safety!$B$34*0.1*0.75</f>
        <v>13936988.339361701</v>
      </c>
      <c r="K45" s="245">
        <f t="shared" si="6"/>
        <v>0.14464859901738206</v>
      </c>
      <c r="L45" s="245">
        <f t="shared" si="7"/>
        <v>1.2610494310076583</v>
      </c>
      <c r="M45" s="213">
        <f t="shared" si="11"/>
        <v>1608049.1515622002</v>
      </c>
      <c r="N45" s="6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x14ac:dyDescent="0.2">
      <c r="A46" s="34">
        <f t="shared" si="9"/>
        <v>2031</v>
      </c>
      <c r="B46" s="8">
        <f>$B$34*'Operations &amp; Maintenance Costs'!$F$62</f>
        <v>1728186554.0808511</v>
      </c>
      <c r="C46" s="9">
        <f>(1-'Operations &amp; Maintenance Costs'!$F$62)*Safety!$B$34*0.9*0.75</f>
        <v>602077896.26042569</v>
      </c>
      <c r="D46" s="10">
        <f>(1-'Operations &amp; Maintenance Costs'!$F$62)*Safety!$B$34*0.1*0.75</f>
        <v>66897544.028936192</v>
      </c>
      <c r="E46" s="245">
        <f t="shared" si="4"/>
        <v>0.46625985056825509</v>
      </c>
      <c r="F46" s="245">
        <f t="shared" si="5"/>
        <v>5.6729482276447971</v>
      </c>
      <c r="G46" s="213">
        <f t="shared" si="10"/>
        <v>5463187.5570654431</v>
      </c>
      <c r="H46" s="8">
        <f>$H$34*'Operations &amp; Maintenance Costs'!$H$62</f>
        <v>2434327296.608511</v>
      </c>
      <c r="I46" s="9">
        <f>(1-'Operations &amp; Maintenance Costs'!$H$62)*Safety!$B$34*0.9*0.75</f>
        <v>125432895.05425531</v>
      </c>
      <c r="J46" s="10">
        <f>(1-'Operations &amp; Maintenance Costs'!$H$62)*Safety!$B$34*0.1*0.75</f>
        <v>13936988.339361701</v>
      </c>
      <c r="K46" s="245">
        <f t="shared" si="6"/>
        <v>0.14464859901738206</v>
      </c>
      <c r="L46" s="245">
        <f t="shared" si="7"/>
        <v>1.2610494310076583</v>
      </c>
      <c r="M46" s="213">
        <f t="shared" si="11"/>
        <v>1608049.1515622002</v>
      </c>
      <c r="N46" s="6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0" x14ac:dyDescent="0.2">
      <c r="A47" s="34">
        <f t="shared" si="9"/>
        <v>2032</v>
      </c>
      <c r="B47" s="8">
        <f>$B$34*'Operations &amp; Maintenance Costs'!$F$62</f>
        <v>1728186554.0808511</v>
      </c>
      <c r="C47" s="9">
        <f>(1-'Operations &amp; Maintenance Costs'!$F$62)*Safety!$B$34*0.9*0.75</f>
        <v>602077896.26042569</v>
      </c>
      <c r="D47" s="10">
        <f>(1-'Operations &amp; Maintenance Costs'!$F$62)*Safety!$B$34*0.1*0.75</f>
        <v>66897544.028936192</v>
      </c>
      <c r="E47" s="245">
        <f t="shared" si="4"/>
        <v>0.46625985056825509</v>
      </c>
      <c r="F47" s="245">
        <f t="shared" si="5"/>
        <v>5.6729482276447971</v>
      </c>
      <c r="G47" s="213">
        <f t="shared" si="10"/>
        <v>5463187.5570654431</v>
      </c>
      <c r="H47" s="8">
        <f>$H$34*'Operations &amp; Maintenance Costs'!$H$62</f>
        <v>2434327296.608511</v>
      </c>
      <c r="I47" s="9">
        <f>(1-'Operations &amp; Maintenance Costs'!$H$62)*Safety!$B$34*0.9*0.75</f>
        <v>125432895.05425531</v>
      </c>
      <c r="J47" s="10">
        <f>(1-'Operations &amp; Maintenance Costs'!$H$62)*Safety!$B$34*0.1*0.75</f>
        <v>13936988.339361701</v>
      </c>
      <c r="K47" s="245">
        <f t="shared" si="6"/>
        <v>0.14464859901738206</v>
      </c>
      <c r="L47" s="245">
        <f t="shared" si="7"/>
        <v>1.2610494310076583</v>
      </c>
      <c r="M47" s="213">
        <f t="shared" si="11"/>
        <v>1608049.1515622002</v>
      </c>
      <c r="N47" s="6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x14ac:dyDescent="0.2">
      <c r="A48" s="34">
        <f t="shared" si="9"/>
        <v>2033</v>
      </c>
      <c r="B48" s="8">
        <f>$B$34*'Operations &amp; Maintenance Costs'!$F$62</f>
        <v>1728186554.0808511</v>
      </c>
      <c r="C48" s="9">
        <f>(1-'Operations &amp; Maintenance Costs'!$F$62)*Safety!$B$34*0.9*0.75</f>
        <v>602077896.26042569</v>
      </c>
      <c r="D48" s="10">
        <f>(1-'Operations &amp; Maintenance Costs'!$F$62)*Safety!$B$34*0.1*0.75</f>
        <v>66897544.028936192</v>
      </c>
      <c r="E48" s="245">
        <f t="shared" si="4"/>
        <v>0.46625985056825509</v>
      </c>
      <c r="F48" s="245">
        <f t="shared" si="5"/>
        <v>5.6729482276447971</v>
      </c>
      <c r="G48" s="213">
        <f t="shared" si="10"/>
        <v>5463187.5570654431</v>
      </c>
      <c r="H48" s="8">
        <f>$H$34*'Operations &amp; Maintenance Costs'!$H$62</f>
        <v>2434327296.608511</v>
      </c>
      <c r="I48" s="9">
        <f>(1-'Operations &amp; Maintenance Costs'!$H$62)*Safety!$B$34*0.9*0.75</f>
        <v>125432895.05425531</v>
      </c>
      <c r="J48" s="10">
        <f>(1-'Operations &amp; Maintenance Costs'!$H$62)*Safety!$B$34*0.1*0.75</f>
        <v>13936988.339361701</v>
      </c>
      <c r="K48" s="245">
        <f t="shared" si="6"/>
        <v>0.14464859901738206</v>
      </c>
      <c r="L48" s="245">
        <f t="shared" si="7"/>
        <v>1.2610494310076583</v>
      </c>
      <c r="M48" s="213">
        <f t="shared" si="11"/>
        <v>1608049.1515622002</v>
      </c>
      <c r="N48" s="6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53" x14ac:dyDescent="0.2">
      <c r="A49" s="34">
        <f t="shared" si="9"/>
        <v>2034</v>
      </c>
      <c r="B49" s="8">
        <f>$B$34*'Operations &amp; Maintenance Costs'!$F$62</f>
        <v>1728186554.0808511</v>
      </c>
      <c r="C49" s="9">
        <f>(1-'Operations &amp; Maintenance Costs'!$F$62)*Safety!$B$34*0.9*0.75</f>
        <v>602077896.26042569</v>
      </c>
      <c r="D49" s="10">
        <f>(1-'Operations &amp; Maintenance Costs'!$F$62)*Safety!$B$34*0.1*0.75</f>
        <v>66897544.028936192</v>
      </c>
      <c r="E49" s="245">
        <f t="shared" si="4"/>
        <v>0.46625985056825509</v>
      </c>
      <c r="F49" s="245">
        <f t="shared" si="5"/>
        <v>5.6729482276447971</v>
      </c>
      <c r="G49" s="213">
        <f t="shared" si="10"/>
        <v>5463187.5570654431</v>
      </c>
      <c r="H49" s="8">
        <f>$H$34*'Operations &amp; Maintenance Costs'!$H$62</f>
        <v>2434327296.608511</v>
      </c>
      <c r="I49" s="9">
        <f>(1-'Operations &amp; Maintenance Costs'!$H$62)*Safety!$B$34*0.9*0.75</f>
        <v>125432895.05425531</v>
      </c>
      <c r="J49" s="10">
        <f>(1-'Operations &amp; Maintenance Costs'!$H$62)*Safety!$B$34*0.1*0.75</f>
        <v>13936988.339361701</v>
      </c>
      <c r="K49" s="245">
        <f t="shared" si="6"/>
        <v>0.14464859901738206</v>
      </c>
      <c r="L49" s="245">
        <f t="shared" si="7"/>
        <v>1.2610494310076583</v>
      </c>
      <c r="M49" s="213">
        <f t="shared" si="11"/>
        <v>1608049.1515622002</v>
      </c>
      <c r="N49" s="61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53" x14ac:dyDescent="0.2">
      <c r="A50" s="34">
        <f t="shared" si="9"/>
        <v>2035</v>
      </c>
      <c r="B50" s="8">
        <f>$B$34*'Operations &amp; Maintenance Costs'!$F$62</f>
        <v>1728186554.0808511</v>
      </c>
      <c r="C50" s="9">
        <f>(1-'Operations &amp; Maintenance Costs'!$F$62)*Safety!$B$34*0.9*0.75</f>
        <v>602077896.26042569</v>
      </c>
      <c r="D50" s="10">
        <f>(1-'Operations &amp; Maintenance Costs'!$F$62)*Safety!$B$34*0.1*0.75</f>
        <v>66897544.028936192</v>
      </c>
      <c r="E50" s="245">
        <f t="shared" si="4"/>
        <v>0.46625985056825509</v>
      </c>
      <c r="F50" s="245">
        <f t="shared" si="5"/>
        <v>5.6729482276447971</v>
      </c>
      <c r="G50" s="213">
        <f t="shared" si="10"/>
        <v>5463187.5570654431</v>
      </c>
      <c r="H50" s="8">
        <f>$H$34*'Operations &amp; Maintenance Costs'!$H$62</f>
        <v>2434327296.608511</v>
      </c>
      <c r="I50" s="9">
        <f>(1-'Operations &amp; Maintenance Costs'!$H$62)*Safety!$B$34*0.9*0.75</f>
        <v>125432895.05425531</v>
      </c>
      <c r="J50" s="10">
        <f>(1-'Operations &amp; Maintenance Costs'!$H$62)*Safety!$B$34*0.1*0.75</f>
        <v>13936988.339361701</v>
      </c>
      <c r="K50" s="245">
        <f t="shared" si="6"/>
        <v>0.14464859901738206</v>
      </c>
      <c r="L50" s="245">
        <f t="shared" si="7"/>
        <v>1.2610494310076583</v>
      </c>
      <c r="M50" s="213">
        <f t="shared" si="11"/>
        <v>1608049.1515622002</v>
      </c>
      <c r="N50" s="61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53" x14ac:dyDescent="0.2">
      <c r="A51" s="34">
        <f t="shared" si="9"/>
        <v>2036</v>
      </c>
      <c r="B51" s="8">
        <f>$B$34*'Operations &amp; Maintenance Costs'!$F$62</f>
        <v>1728186554.0808511</v>
      </c>
      <c r="C51" s="9">
        <f>(1-'Operations &amp; Maintenance Costs'!$F$62)*Safety!$B$34*0.9*0.75</f>
        <v>602077896.26042569</v>
      </c>
      <c r="D51" s="10">
        <f>(1-'Operations &amp; Maintenance Costs'!$F$62)*Safety!$B$34*0.1*0.75</f>
        <v>66897544.028936192</v>
      </c>
      <c r="E51" s="245">
        <f t="shared" si="4"/>
        <v>0.46625985056825509</v>
      </c>
      <c r="F51" s="245">
        <f t="shared" si="5"/>
        <v>5.6729482276447971</v>
      </c>
      <c r="G51" s="213">
        <f t="shared" si="10"/>
        <v>5463187.5570654431</v>
      </c>
      <c r="H51" s="8">
        <f>$H$34*'Operations &amp; Maintenance Costs'!$H$62</f>
        <v>2434327296.608511</v>
      </c>
      <c r="I51" s="9">
        <f>(1-'Operations &amp; Maintenance Costs'!$H$62)*Safety!$B$34*0.9*0.75</f>
        <v>125432895.05425531</v>
      </c>
      <c r="J51" s="10">
        <f>(1-'Operations &amp; Maintenance Costs'!$H$62)*Safety!$B$34*0.1*0.75</f>
        <v>13936988.339361701</v>
      </c>
      <c r="K51" s="245">
        <f t="shared" si="6"/>
        <v>0.14464859901738206</v>
      </c>
      <c r="L51" s="245">
        <f t="shared" si="7"/>
        <v>1.2610494310076583</v>
      </c>
      <c r="M51" s="213">
        <f t="shared" si="11"/>
        <v>1608049.1515622002</v>
      </c>
      <c r="N51" s="61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1:53" x14ac:dyDescent="0.2">
      <c r="A52" s="34">
        <f t="shared" si="9"/>
        <v>2037</v>
      </c>
      <c r="B52" s="8">
        <f>$B$34*'Operations &amp; Maintenance Costs'!$F$62</f>
        <v>1728186554.0808511</v>
      </c>
      <c r="C52" s="9">
        <f>(1-'Operations &amp; Maintenance Costs'!$F$62)*Safety!$B$34*0.9*0.75</f>
        <v>602077896.26042569</v>
      </c>
      <c r="D52" s="10">
        <f>(1-'Operations &amp; Maintenance Costs'!$F$62)*Safety!$B$34*0.1*0.75</f>
        <v>66897544.028936192</v>
      </c>
      <c r="E52" s="245">
        <f t="shared" si="4"/>
        <v>0.46625985056825509</v>
      </c>
      <c r="F52" s="245">
        <f t="shared" si="5"/>
        <v>5.6729482276447971</v>
      </c>
      <c r="G52" s="213">
        <f t="shared" si="10"/>
        <v>5463187.5570654431</v>
      </c>
      <c r="H52" s="8">
        <f>$H$34*'Operations &amp; Maintenance Costs'!$H$62</f>
        <v>2434327296.608511</v>
      </c>
      <c r="I52" s="9">
        <f>(1-'Operations &amp; Maintenance Costs'!$H$62)*Safety!$B$34*0.9*0.75</f>
        <v>125432895.05425531</v>
      </c>
      <c r="J52" s="10">
        <f>(1-'Operations &amp; Maintenance Costs'!$H$62)*Safety!$B$34*0.1*0.75</f>
        <v>13936988.339361701</v>
      </c>
      <c r="K52" s="245">
        <f t="shared" si="6"/>
        <v>0.14464859901738206</v>
      </c>
      <c r="L52" s="245">
        <f t="shared" si="7"/>
        <v>1.2610494310076583</v>
      </c>
      <c r="M52" s="213">
        <f t="shared" si="11"/>
        <v>1608049.1515622002</v>
      </c>
      <c r="N52" s="61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53" x14ac:dyDescent="0.2">
      <c r="A53" s="34">
        <f t="shared" si="9"/>
        <v>2038</v>
      </c>
      <c r="B53" s="8">
        <f>$B$34*'Operations &amp; Maintenance Costs'!$F$62</f>
        <v>1728186554.0808511</v>
      </c>
      <c r="C53" s="9">
        <f>(1-'Operations &amp; Maintenance Costs'!$F$62)*Safety!$B$34*0.9*0.75</f>
        <v>602077896.26042569</v>
      </c>
      <c r="D53" s="10">
        <f>(1-'Operations &amp; Maintenance Costs'!$F$62)*Safety!$B$34*0.1*0.75</f>
        <v>66897544.028936192</v>
      </c>
      <c r="E53" s="245">
        <f t="shared" si="4"/>
        <v>0.46625985056825509</v>
      </c>
      <c r="F53" s="245">
        <f t="shared" si="5"/>
        <v>5.6729482276447971</v>
      </c>
      <c r="G53" s="213">
        <f t="shared" si="10"/>
        <v>5463187.5570654431</v>
      </c>
      <c r="H53" s="8">
        <f>$H$34*'Operations &amp; Maintenance Costs'!$H$62</f>
        <v>2434327296.608511</v>
      </c>
      <c r="I53" s="9">
        <f>(1-'Operations &amp; Maintenance Costs'!$H$62)*Safety!$B$34*0.9*0.75</f>
        <v>125432895.05425531</v>
      </c>
      <c r="J53" s="10">
        <f>(1-'Operations &amp; Maintenance Costs'!$H$62)*Safety!$B$34*0.1*0.75</f>
        <v>13936988.339361701</v>
      </c>
      <c r="K53" s="245">
        <f t="shared" si="6"/>
        <v>0.14464859901738206</v>
      </c>
      <c r="L53" s="245">
        <f t="shared" si="7"/>
        <v>1.2610494310076583</v>
      </c>
      <c r="M53" s="213">
        <f t="shared" si="11"/>
        <v>1608049.1515622002</v>
      </c>
      <c r="N53" s="61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1:53" x14ac:dyDescent="0.2">
      <c r="A54" s="34">
        <f t="shared" si="9"/>
        <v>2039</v>
      </c>
      <c r="B54" s="8">
        <f>$B$34*'Operations &amp; Maintenance Costs'!$F$62</f>
        <v>1728186554.0808511</v>
      </c>
      <c r="C54" s="9">
        <f>(1-'Operations &amp; Maintenance Costs'!$F$62)*Safety!$B$34*0.9*0.75</f>
        <v>602077896.26042569</v>
      </c>
      <c r="D54" s="10">
        <f>(1-'Operations &amp; Maintenance Costs'!$F$62)*Safety!$B$34*0.1*0.75</f>
        <v>66897544.028936192</v>
      </c>
      <c r="E54" s="245">
        <f t="shared" si="4"/>
        <v>0.46625985056825509</v>
      </c>
      <c r="F54" s="245">
        <f t="shared" si="5"/>
        <v>5.6729482276447971</v>
      </c>
      <c r="G54" s="213">
        <f t="shared" si="10"/>
        <v>5463187.5570654431</v>
      </c>
      <c r="H54" s="8">
        <f>$H$34*'Operations &amp; Maintenance Costs'!$H$62</f>
        <v>2434327296.608511</v>
      </c>
      <c r="I54" s="9">
        <f>(1-'Operations &amp; Maintenance Costs'!$H$62)*Safety!$B$34*0.9*0.75</f>
        <v>125432895.05425531</v>
      </c>
      <c r="J54" s="10">
        <f>(1-'Operations &amp; Maintenance Costs'!$H$62)*Safety!$B$34*0.1*0.75</f>
        <v>13936988.339361701</v>
      </c>
      <c r="K54" s="245">
        <f t="shared" si="6"/>
        <v>0.14464859901738206</v>
      </c>
      <c r="L54" s="245">
        <f t="shared" si="7"/>
        <v>1.2610494310076583</v>
      </c>
      <c r="M54" s="213">
        <f t="shared" si="11"/>
        <v>1608049.1515622002</v>
      </c>
      <c r="N54" s="61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1:53" x14ac:dyDescent="0.2">
      <c r="A55" s="34">
        <f t="shared" si="9"/>
        <v>2040</v>
      </c>
      <c r="B55" s="8">
        <f>$B$34*'Operations &amp; Maintenance Costs'!$F$62</f>
        <v>1728186554.0808511</v>
      </c>
      <c r="C55" s="9">
        <f>(1-'Operations &amp; Maintenance Costs'!$F$62)*Safety!$B$34*0.9*0.75</f>
        <v>602077896.26042569</v>
      </c>
      <c r="D55" s="10">
        <f>(1-'Operations &amp; Maintenance Costs'!$F$62)*Safety!$B$34*0.1*0.75</f>
        <v>66897544.028936192</v>
      </c>
      <c r="E55" s="245">
        <f t="shared" si="4"/>
        <v>0.46625985056825509</v>
      </c>
      <c r="F55" s="245">
        <f t="shared" si="5"/>
        <v>5.6729482276447971</v>
      </c>
      <c r="G55" s="213">
        <f t="shared" si="10"/>
        <v>5463187.5570654431</v>
      </c>
      <c r="H55" s="8">
        <f>$H$34*'Operations &amp; Maintenance Costs'!$H$62</f>
        <v>2434327296.608511</v>
      </c>
      <c r="I55" s="9">
        <f>(1-'Operations &amp; Maintenance Costs'!$H$62)*Safety!$B$34*0.9*0.75</f>
        <v>125432895.05425531</v>
      </c>
      <c r="J55" s="10">
        <f>(1-'Operations &amp; Maintenance Costs'!$H$62)*Safety!$B$34*0.1*0.75</f>
        <v>13936988.339361701</v>
      </c>
      <c r="K55" s="245">
        <f t="shared" si="6"/>
        <v>0.14464859901738206</v>
      </c>
      <c r="L55" s="245">
        <f t="shared" si="7"/>
        <v>1.2610494310076583</v>
      </c>
      <c r="M55" s="213">
        <f t="shared" si="11"/>
        <v>1608049.1515622002</v>
      </c>
      <c r="N55" s="61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</row>
    <row r="56" spans="1:53" x14ac:dyDescent="0.2">
      <c r="A56" s="34">
        <f t="shared" si="9"/>
        <v>2041</v>
      </c>
      <c r="B56" s="8">
        <f>$B$34*'Operations &amp; Maintenance Costs'!$F$62</f>
        <v>1728186554.0808511</v>
      </c>
      <c r="C56" s="9">
        <f>(1-'Operations &amp; Maintenance Costs'!$F$62)*Safety!$B$34*0.9*0.75</f>
        <v>602077896.26042569</v>
      </c>
      <c r="D56" s="10">
        <f>(1-'Operations &amp; Maintenance Costs'!$F$62)*Safety!$B$34*0.1*0.75</f>
        <v>66897544.028936192</v>
      </c>
      <c r="E56" s="245">
        <f t="shared" si="4"/>
        <v>0.46625985056825509</v>
      </c>
      <c r="F56" s="245">
        <f t="shared" si="5"/>
        <v>5.6729482276447971</v>
      </c>
      <c r="G56" s="213">
        <f t="shared" si="10"/>
        <v>5463187.5570654431</v>
      </c>
      <c r="H56" s="8">
        <f>$H$34*'Operations &amp; Maintenance Costs'!$H$62</f>
        <v>2434327296.608511</v>
      </c>
      <c r="I56" s="9">
        <f>(1-'Operations &amp; Maintenance Costs'!$H$62)*Safety!$B$34*0.9*0.75</f>
        <v>125432895.05425531</v>
      </c>
      <c r="J56" s="10">
        <f>(1-'Operations &amp; Maintenance Costs'!$H$62)*Safety!$B$34*0.1*0.75</f>
        <v>13936988.339361701</v>
      </c>
      <c r="K56" s="245">
        <f t="shared" si="6"/>
        <v>0.14464859901738206</v>
      </c>
      <c r="L56" s="245">
        <f t="shared" si="7"/>
        <v>1.2610494310076583</v>
      </c>
      <c r="M56" s="213">
        <f t="shared" si="11"/>
        <v>1608049.1515622002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spans="1:53" ht="13.5" thickBot="1" x14ac:dyDescent="0.25">
      <c r="A57" s="76">
        <f t="shared" si="9"/>
        <v>2042</v>
      </c>
      <c r="B57" s="8">
        <f>$B$34*'Operations &amp; Maintenance Costs'!$F$62</f>
        <v>1728186554.0808511</v>
      </c>
      <c r="C57" s="9">
        <f>(1-'Operations &amp; Maintenance Costs'!$F$62)*Safety!$B$34*0.9*0.75</f>
        <v>602077896.26042569</v>
      </c>
      <c r="D57" s="10">
        <f>(1-'Operations &amp; Maintenance Costs'!$F$62)*Safety!$B$34*0.1*0.75</f>
        <v>66897544.028936192</v>
      </c>
      <c r="E57" s="246">
        <f t="shared" si="4"/>
        <v>0.46625985056825509</v>
      </c>
      <c r="F57" s="246">
        <f t="shared" si="5"/>
        <v>5.6729482276447971</v>
      </c>
      <c r="G57" s="214">
        <f t="shared" si="10"/>
        <v>5463187.5570654431</v>
      </c>
      <c r="H57" s="17">
        <f>$H$34*'Operations &amp; Maintenance Costs'!$H$62</f>
        <v>2434327296.608511</v>
      </c>
      <c r="I57" s="18">
        <f>(1-'Operations &amp; Maintenance Costs'!$H$62)*Safety!$B$34*0.9*0.75</f>
        <v>125432895.05425531</v>
      </c>
      <c r="J57" s="17">
        <f>(1-'Operations &amp; Maintenance Costs'!$H$62)*Safety!$B$34*0.1*0.75</f>
        <v>13936988.339361701</v>
      </c>
      <c r="K57" s="245">
        <f t="shared" si="6"/>
        <v>0.14464859901738206</v>
      </c>
      <c r="L57" s="245">
        <f t="shared" si="7"/>
        <v>1.2610494310076583</v>
      </c>
      <c r="M57" s="214">
        <f t="shared" si="11"/>
        <v>1608049.1515622002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</row>
    <row r="58" spans="1:53" ht="13.5" thickTop="1" x14ac:dyDescent="0.2">
      <c r="A58" s="308" t="s">
        <v>0</v>
      </c>
      <c r="B58" s="309"/>
      <c r="C58" s="309"/>
      <c r="D58" s="309"/>
      <c r="E58" s="309"/>
      <c r="F58" s="310"/>
      <c r="G58" s="215">
        <f>SUM(G38:G57)</f>
        <v>99524454.116879612</v>
      </c>
      <c r="H58" s="308" t="s">
        <v>0</v>
      </c>
      <c r="I58" s="309"/>
      <c r="J58" s="309"/>
      <c r="K58" s="309"/>
      <c r="L58" s="310"/>
      <c r="M58" s="215">
        <f>SUM(M34:M57)</f>
        <v>32160983.031243995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</row>
    <row r="59" spans="1:53" x14ac:dyDescent="0.2">
      <c r="A59" s="148" t="s">
        <v>138</v>
      </c>
      <c r="B59" s="148"/>
      <c r="C59" s="148"/>
      <c r="D59" s="148"/>
      <c r="E59" s="148"/>
      <c r="F59" s="148"/>
      <c r="G59" s="148"/>
      <c r="H59" s="148"/>
      <c r="I59" s="148"/>
      <c r="J59" s="55"/>
      <c r="K59" s="55"/>
      <c r="L59" s="55"/>
      <c r="M59" s="55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5"/>
      <c r="Z59" s="61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3" x14ac:dyDescent="0.2">
      <c r="A60" s="57" t="s">
        <v>177</v>
      </c>
      <c r="B60" s="57"/>
      <c r="C60" s="57"/>
      <c r="D60" s="57"/>
      <c r="E60" s="57"/>
      <c r="F60" s="33"/>
      <c r="G60" s="33"/>
      <c r="H60" s="33"/>
      <c r="I60" s="33"/>
      <c r="J60" s="57"/>
      <c r="K60" s="57"/>
      <c r="L60" s="50"/>
      <c r="M60" s="50"/>
      <c r="N60" s="50"/>
      <c r="O60" s="56"/>
      <c r="P60" s="56"/>
      <c r="Q60" s="56"/>
      <c r="R60" s="56"/>
      <c r="S60" s="56"/>
      <c r="T60" s="56"/>
      <c r="U60" s="56"/>
      <c r="V60" s="57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</row>
    <row r="61" spans="1:53" x14ac:dyDescent="0.2">
      <c r="A61" s="58"/>
      <c r="B61" s="58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</row>
    <row r="62" spans="1:53" x14ac:dyDescent="0.2">
      <c r="A62" s="274" t="s">
        <v>194</v>
      </c>
      <c r="B62" s="274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</row>
    <row r="63" spans="1:53" x14ac:dyDescent="0.2">
      <c r="A63" s="247"/>
      <c r="B63" s="248" t="s">
        <v>195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</row>
    <row r="64" spans="1:53" x14ac:dyDescent="0.2">
      <c r="A64" s="249" t="s">
        <v>196</v>
      </c>
      <c r="B64" s="250">
        <v>4400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</row>
    <row r="65" spans="1:53" x14ac:dyDescent="0.2">
      <c r="A65" s="314" t="s">
        <v>197</v>
      </c>
      <c r="B65" s="314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</row>
    <row r="66" spans="1:53" x14ac:dyDescent="0.2">
      <c r="A66" s="251"/>
      <c r="B66" s="251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</row>
    <row r="67" spans="1:53" x14ac:dyDescent="0.2">
      <c r="A67" s="247" t="s">
        <v>198</v>
      </c>
      <c r="B67" s="247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</row>
    <row r="68" spans="1:53" x14ac:dyDescent="0.2">
      <c r="A68" s="247" t="s">
        <v>199</v>
      </c>
      <c r="B68" s="247" t="s">
        <v>200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</row>
    <row r="69" spans="1:53" x14ac:dyDescent="0.2">
      <c r="A69" s="252" t="s">
        <v>201</v>
      </c>
      <c r="B69" s="253">
        <v>3200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</row>
    <row r="70" spans="1:53" x14ac:dyDescent="0.2">
      <c r="A70" s="254" t="s">
        <v>202</v>
      </c>
      <c r="B70" s="255">
        <v>63900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</row>
    <row r="71" spans="1:53" x14ac:dyDescent="0.2">
      <c r="A71" s="254" t="s">
        <v>203</v>
      </c>
      <c r="B71" s="255">
        <v>125000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</row>
    <row r="72" spans="1:53" x14ac:dyDescent="0.2">
      <c r="A72" s="254" t="s">
        <v>204</v>
      </c>
      <c r="B72" s="255">
        <v>459100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</row>
    <row r="73" spans="1:53" x14ac:dyDescent="0.2">
      <c r="A73" s="254" t="s">
        <v>205</v>
      </c>
      <c r="B73" s="255">
        <v>9600000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</row>
    <row r="74" spans="1:53" x14ac:dyDescent="0.2">
      <c r="A74" s="78" t="s">
        <v>206</v>
      </c>
      <c r="B74" s="256">
        <v>174000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</row>
    <row r="75" spans="1:53" ht="25.5" x14ac:dyDescent="0.2">
      <c r="A75" s="257" t="s">
        <v>207</v>
      </c>
      <c r="B75" s="258">
        <v>132200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</row>
    <row r="76" spans="1:53" x14ac:dyDescent="0.2">
      <c r="A76" s="314" t="s">
        <v>197</v>
      </c>
      <c r="B76" s="314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</row>
    <row r="77" spans="1:53" x14ac:dyDescent="0.2">
      <c r="A77" s="58"/>
      <c r="B77" s="58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</row>
    <row r="78" spans="1:53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60"/>
      <c r="O78" s="50"/>
      <c r="P78" s="50"/>
      <c r="Q78" s="6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53" x14ac:dyDescent="0.2">
      <c r="A79" s="143" t="s">
        <v>171</v>
      </c>
      <c r="B79" s="165">
        <f>'Ton-miles'!$C$16</f>
        <v>2620153807.8000002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53" x14ac:dyDescent="0.2">
      <c r="A80" s="315" t="s">
        <v>172</v>
      </c>
      <c r="B80" s="315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53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</row>
    <row r="82" spans="1:53" x14ac:dyDescent="0.2">
      <c r="A82" s="312" t="s">
        <v>208</v>
      </c>
      <c r="B82" s="313"/>
      <c r="C82" s="312" t="s">
        <v>180</v>
      </c>
      <c r="D82" s="313"/>
      <c r="E82" s="312" t="s">
        <v>192</v>
      </c>
      <c r="F82" s="313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</row>
    <row r="83" spans="1:53" x14ac:dyDescent="0.2">
      <c r="A83" s="312" t="s">
        <v>188</v>
      </c>
      <c r="B83" s="313"/>
      <c r="C83" s="239" t="s">
        <v>179</v>
      </c>
      <c r="D83" s="240" t="s">
        <v>178</v>
      </c>
      <c r="E83" s="239" t="s">
        <v>179</v>
      </c>
      <c r="F83" s="240" t="s">
        <v>178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</row>
    <row r="84" spans="1:53" x14ac:dyDescent="0.2">
      <c r="A84" s="21">
        <v>2002</v>
      </c>
      <c r="B84" s="130">
        <v>53653000000</v>
      </c>
      <c r="C84" s="130">
        <v>0</v>
      </c>
      <c r="D84" s="130">
        <v>0</v>
      </c>
      <c r="E84" s="241"/>
      <c r="F84" s="24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</row>
    <row r="85" spans="1:53" x14ac:dyDescent="0.2">
      <c r="A85" s="21">
        <v>2003</v>
      </c>
      <c r="B85" s="130">
        <v>47539000000</v>
      </c>
      <c r="C85" s="130">
        <v>2</v>
      </c>
      <c r="D85" s="130">
        <v>2</v>
      </c>
      <c r="E85" s="241"/>
      <c r="F85" s="24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</row>
    <row r="86" spans="1:53" x14ac:dyDescent="0.2">
      <c r="A86" s="21">
        <v>2004</v>
      </c>
      <c r="B86" s="130">
        <v>55733000000</v>
      </c>
      <c r="C86" s="130">
        <v>1</v>
      </c>
      <c r="D86" s="130">
        <v>7</v>
      </c>
      <c r="E86" s="241"/>
      <c r="F86" s="241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</row>
    <row r="87" spans="1:53" x14ac:dyDescent="0.2">
      <c r="A87" s="21">
        <v>2005</v>
      </c>
      <c r="B87" s="130">
        <v>51924000000</v>
      </c>
      <c r="C87" s="130">
        <v>1</v>
      </c>
      <c r="D87" s="130">
        <v>1</v>
      </c>
      <c r="E87" s="241"/>
      <c r="F87" s="24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</row>
    <row r="88" spans="1:53" ht="13.5" thickBot="1" x14ac:dyDescent="0.25">
      <c r="A88" s="132">
        <v>2006</v>
      </c>
      <c r="B88" s="133">
        <v>53105000000</v>
      </c>
      <c r="C88" s="133">
        <v>2</v>
      </c>
      <c r="D88" s="133">
        <v>0</v>
      </c>
      <c r="E88" s="243"/>
      <c r="F88" s="243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</row>
    <row r="89" spans="1:53" ht="13.5" thickTop="1" x14ac:dyDescent="0.2">
      <c r="A89" s="121" t="s">
        <v>181</v>
      </c>
      <c r="B89" s="131">
        <f>AVERAGE(B84:B88)</f>
        <v>52390800000</v>
      </c>
      <c r="C89" s="244">
        <f t="shared" ref="C89:D89" si="12">AVERAGE(C84:C88)</f>
        <v>1.2</v>
      </c>
      <c r="D89" s="244">
        <f t="shared" si="12"/>
        <v>2</v>
      </c>
      <c r="E89" s="242">
        <f>C89/$B$89</f>
        <v>2.2904784809546714E-11</v>
      </c>
      <c r="F89" s="242">
        <f>D89/$B$89</f>
        <v>3.8174641349244527E-11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</row>
    <row r="90" spans="1:53" x14ac:dyDescent="0.2">
      <c r="A90" s="119" t="s">
        <v>182</v>
      </c>
      <c r="B90" s="33"/>
      <c r="C90" s="33"/>
      <c r="D90" s="33"/>
      <c r="E90" s="33"/>
      <c r="F90" s="33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</row>
    <row r="91" spans="1:53" x14ac:dyDescent="0.2">
      <c r="A91" s="33" t="s">
        <v>183</v>
      </c>
      <c r="B91" s="33"/>
      <c r="C91" s="33"/>
      <c r="D91" s="33"/>
      <c r="E91" s="33"/>
      <c r="F91" s="33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</row>
    <row r="92" spans="1:53" x14ac:dyDescent="0.2">
      <c r="A92" s="33"/>
      <c r="B92" s="33"/>
      <c r="C92" s="33"/>
      <c r="D92" s="33"/>
      <c r="E92" s="33"/>
      <c r="F92" s="33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</row>
    <row r="93" spans="1:53" x14ac:dyDescent="0.2">
      <c r="A93" s="33"/>
      <c r="B93" s="33"/>
      <c r="C93" s="33"/>
      <c r="D93" s="33"/>
      <c r="E93" s="33"/>
      <c r="F93" s="33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</row>
    <row r="94" spans="1:53" x14ac:dyDescent="0.2">
      <c r="A94" s="312" t="s">
        <v>209</v>
      </c>
      <c r="B94" s="313"/>
      <c r="C94" s="312"/>
      <c r="D94" s="313"/>
      <c r="E94" s="312" t="s">
        <v>192</v>
      </c>
      <c r="F94" s="313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</row>
    <row r="95" spans="1:53" x14ac:dyDescent="0.2">
      <c r="A95" s="312" t="s">
        <v>185</v>
      </c>
      <c r="B95" s="313"/>
      <c r="C95" s="239" t="s">
        <v>179</v>
      </c>
      <c r="D95" s="240" t="s">
        <v>178</v>
      </c>
      <c r="E95" s="239" t="s">
        <v>179</v>
      </c>
      <c r="F95" s="240" t="s">
        <v>178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</row>
    <row r="96" spans="1:53" x14ac:dyDescent="0.2">
      <c r="A96" s="21">
        <v>2014</v>
      </c>
      <c r="B96" s="130">
        <v>1851229000000</v>
      </c>
      <c r="C96" s="130">
        <f>5+767</f>
        <v>772</v>
      </c>
      <c r="D96" s="130">
        <f>143+8804</f>
        <v>8947</v>
      </c>
      <c r="E96" s="241"/>
      <c r="F96" s="241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</row>
    <row r="97" spans="1:53" x14ac:dyDescent="0.2">
      <c r="A97" s="21">
        <v>2015</v>
      </c>
      <c r="B97" s="130">
        <v>1738283000000</v>
      </c>
      <c r="C97" s="130">
        <f>11+749</f>
        <v>760</v>
      </c>
      <c r="D97" s="130">
        <f>564+9122</f>
        <v>9686</v>
      </c>
      <c r="E97" s="241"/>
      <c r="F97" s="241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</row>
    <row r="98" spans="1:53" x14ac:dyDescent="0.2">
      <c r="A98" s="21">
        <v>2016</v>
      </c>
      <c r="B98" s="130">
        <v>1585440000000</v>
      </c>
      <c r="C98" s="130">
        <f>7+760</f>
        <v>767</v>
      </c>
      <c r="D98" s="130">
        <f>433+8698</f>
        <v>9131</v>
      </c>
      <c r="E98" s="241"/>
      <c r="F98" s="241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</row>
    <row r="99" spans="1:53" x14ac:dyDescent="0.2">
      <c r="A99" s="21">
        <v>2017</v>
      </c>
      <c r="B99" s="130">
        <v>1674784000000</v>
      </c>
      <c r="C99" s="130">
        <f>7+818</f>
        <v>825</v>
      </c>
      <c r="D99" s="130">
        <f>318+8850</f>
        <v>9168</v>
      </c>
      <c r="E99" s="241"/>
      <c r="F99" s="241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</row>
    <row r="100" spans="1:53" ht="13.5" thickBot="1" x14ac:dyDescent="0.25">
      <c r="A100" s="132">
        <v>2018</v>
      </c>
      <c r="B100" s="133">
        <v>1729638000000</v>
      </c>
      <c r="C100" s="133">
        <f>7+818</f>
        <v>825</v>
      </c>
      <c r="D100" s="133">
        <f>204+8151</f>
        <v>8355</v>
      </c>
      <c r="E100" s="243"/>
      <c r="F100" s="243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</row>
    <row r="101" spans="1:53" ht="13.5" thickTop="1" x14ac:dyDescent="0.2">
      <c r="A101" s="121" t="s">
        <v>181</v>
      </c>
      <c r="B101" s="131">
        <f>AVERAGE(B96:B100)</f>
        <v>1715874800000</v>
      </c>
      <c r="C101" s="244">
        <f>AVERAGE(C96:C100)</f>
        <v>789.8</v>
      </c>
      <c r="D101" s="244">
        <f t="shared" ref="D101" si="13">AVERAGE(D96:D100)</f>
        <v>9057.4</v>
      </c>
      <c r="E101" s="242">
        <f>C101/$B$101</f>
        <v>4.6028999318598299E-10</v>
      </c>
      <c r="F101" s="242">
        <f>D101/$B$101</f>
        <v>5.2785902561189194E-9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</row>
    <row r="102" spans="1:53" x14ac:dyDescent="0.2">
      <c r="A102" s="119" t="s">
        <v>182</v>
      </c>
      <c r="B102" s="33"/>
      <c r="C102" s="33"/>
      <c r="D102" s="33"/>
      <c r="E102" s="33"/>
      <c r="F102" s="33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</row>
    <row r="103" spans="1:53" x14ac:dyDescent="0.2">
      <c r="A103" s="33" t="s">
        <v>184</v>
      </c>
      <c r="B103" s="33"/>
      <c r="C103" s="33"/>
      <c r="D103" s="33"/>
      <c r="E103" s="33"/>
      <c r="F103" s="33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</row>
    <row r="104" spans="1:53" x14ac:dyDescent="0.2">
      <c r="A104" s="33" t="s">
        <v>186</v>
      </c>
      <c r="B104" s="33"/>
      <c r="C104" s="33"/>
      <c r="D104" s="33"/>
      <c r="E104" s="33"/>
      <c r="F104" s="33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</row>
    <row r="105" spans="1:53" x14ac:dyDescent="0.2">
      <c r="A105" s="33"/>
      <c r="B105" s="33"/>
      <c r="C105" s="33"/>
      <c r="D105" s="33"/>
      <c r="E105" s="33"/>
      <c r="F105" s="33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</row>
    <row r="106" spans="1:53" x14ac:dyDescent="0.2">
      <c r="A106" s="312" t="s">
        <v>210</v>
      </c>
      <c r="B106" s="313"/>
      <c r="C106" s="312"/>
      <c r="D106" s="313"/>
      <c r="E106" s="312" t="s">
        <v>192</v>
      </c>
      <c r="F106" s="313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</row>
    <row r="107" spans="1:53" x14ac:dyDescent="0.2">
      <c r="A107" s="312" t="s">
        <v>189</v>
      </c>
      <c r="B107" s="313"/>
      <c r="C107" s="239" t="s">
        <v>179</v>
      </c>
      <c r="D107" s="240" t="s">
        <v>178</v>
      </c>
      <c r="E107" s="239" t="s">
        <v>179</v>
      </c>
      <c r="F107" s="240" t="s">
        <v>178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</row>
    <row r="108" spans="1:53" x14ac:dyDescent="0.2">
      <c r="A108" s="21">
        <v>2013</v>
      </c>
      <c r="B108" s="130">
        <v>1981448000000</v>
      </c>
      <c r="C108" s="130">
        <v>4150</v>
      </c>
      <c r="D108" s="130">
        <v>66379</v>
      </c>
      <c r="E108" s="241"/>
      <c r="F108" s="241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</row>
    <row r="109" spans="1:53" x14ac:dyDescent="0.2">
      <c r="A109" s="21">
        <v>2014</v>
      </c>
      <c r="B109" s="130">
        <v>1944635000000</v>
      </c>
      <c r="C109" s="130">
        <v>4232</v>
      </c>
      <c r="D109" s="130">
        <v>71577</v>
      </c>
      <c r="E109" s="241"/>
      <c r="F109" s="241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</row>
    <row r="110" spans="1:53" x14ac:dyDescent="0.2">
      <c r="A110" s="21">
        <v>2015</v>
      </c>
      <c r="B110" s="130">
        <v>1984103000000</v>
      </c>
      <c r="C110" s="130">
        <v>4420</v>
      </c>
      <c r="D110" s="130">
        <v>72893</v>
      </c>
      <c r="E110" s="241"/>
      <c r="F110" s="241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</row>
    <row r="111" spans="1:53" x14ac:dyDescent="0.2">
      <c r="A111" s="21">
        <v>2016</v>
      </c>
      <c r="B111" s="130">
        <v>2053103000000</v>
      </c>
      <c r="C111" s="130">
        <v>4663</v>
      </c>
      <c r="D111" s="130">
        <v>75699</v>
      </c>
      <c r="E111" s="241"/>
      <c r="F111" s="241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</row>
    <row r="112" spans="1:53" ht="13.5" thickBot="1" x14ac:dyDescent="0.25">
      <c r="A112" s="132">
        <v>2017</v>
      </c>
      <c r="B112" s="133">
        <v>2022649000000</v>
      </c>
      <c r="C112" s="133">
        <v>4858</v>
      </c>
      <c r="D112" s="133">
        <v>76012</v>
      </c>
      <c r="E112" s="243"/>
      <c r="F112" s="243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</row>
    <row r="113" spans="1:53" ht="13.5" thickTop="1" x14ac:dyDescent="0.2">
      <c r="A113" s="121" t="s">
        <v>181</v>
      </c>
      <c r="B113" s="131">
        <f>AVERAGE(B108:B112)</f>
        <v>1997187600000</v>
      </c>
      <c r="C113" s="244">
        <f>AVERAGE(C108:C112)</f>
        <v>4464.6000000000004</v>
      </c>
      <c r="D113" s="244">
        <f t="shared" ref="D113" si="14">AVERAGE(D108:D112)</f>
        <v>72512</v>
      </c>
      <c r="E113" s="242">
        <f>C113/$B$113</f>
        <v>2.2354434806224514E-9</v>
      </c>
      <c r="F113" s="242">
        <f>D113/$B$113</f>
        <v>3.6307054980713877E-8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</row>
    <row r="114" spans="1:53" x14ac:dyDescent="0.2">
      <c r="A114" s="119" t="s">
        <v>182</v>
      </c>
      <c r="B114" s="33"/>
      <c r="C114" s="33"/>
      <c r="D114" s="33"/>
      <c r="E114" s="33"/>
      <c r="F114" s="33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</row>
    <row r="115" spans="1:53" x14ac:dyDescent="0.2">
      <c r="A115" s="33" t="s">
        <v>187</v>
      </c>
      <c r="B115" s="33"/>
      <c r="C115" s="33"/>
      <c r="D115" s="33"/>
      <c r="E115" s="33"/>
      <c r="F115" s="33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</row>
    <row r="116" spans="1:53" x14ac:dyDescent="0.2">
      <c r="A116" s="119" t="s">
        <v>190</v>
      </c>
      <c r="B116" s="33"/>
      <c r="C116" s="33"/>
      <c r="D116" s="33"/>
      <c r="E116" s="33"/>
      <c r="F116" s="33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</row>
    <row r="117" spans="1:53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</row>
    <row r="118" spans="1:53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</row>
    <row r="119" spans="1:53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</row>
    <row r="120" spans="1:53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</row>
    <row r="121" spans="1:53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</row>
    <row r="122" spans="1:53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</row>
    <row r="123" spans="1:53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</row>
    <row r="124" spans="1:53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</row>
    <row r="125" spans="1:53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</row>
    <row r="126" spans="1:53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</row>
    <row r="127" spans="1:53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</row>
    <row r="128" spans="1:53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</row>
    <row r="129" spans="1:53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</row>
  </sheetData>
  <mergeCells count="44">
    <mergeCell ref="A1:D1"/>
    <mergeCell ref="A80:B80"/>
    <mergeCell ref="A31:A33"/>
    <mergeCell ref="C32:C33"/>
    <mergeCell ref="D32:D33"/>
    <mergeCell ref="C2:D2"/>
    <mergeCell ref="C3:D3"/>
    <mergeCell ref="A2:B2"/>
    <mergeCell ref="A3:B3"/>
    <mergeCell ref="B32:B33"/>
    <mergeCell ref="A5:E5"/>
    <mergeCell ref="B6:B8"/>
    <mergeCell ref="C6:C8"/>
    <mergeCell ref="D6:D8"/>
    <mergeCell ref="E6:E8"/>
    <mergeCell ref="A6:A8"/>
    <mergeCell ref="C82:D82"/>
    <mergeCell ref="E82:F82"/>
    <mergeCell ref="A83:B83"/>
    <mergeCell ref="M32:M33"/>
    <mergeCell ref="E32:E33"/>
    <mergeCell ref="F32:F33"/>
    <mergeCell ref="J32:J33"/>
    <mergeCell ref="H32:H33"/>
    <mergeCell ref="I32:I33"/>
    <mergeCell ref="G32:G33"/>
    <mergeCell ref="C94:D94"/>
    <mergeCell ref="E94:F94"/>
    <mergeCell ref="A95:B95"/>
    <mergeCell ref="C106:D106"/>
    <mergeCell ref="E106:F106"/>
    <mergeCell ref="A107:B107"/>
    <mergeCell ref="A62:B62"/>
    <mergeCell ref="A65:B65"/>
    <mergeCell ref="A76:B76"/>
    <mergeCell ref="A82:B82"/>
    <mergeCell ref="A94:B94"/>
    <mergeCell ref="A106:B106"/>
    <mergeCell ref="B31:G31"/>
    <mergeCell ref="A58:F58"/>
    <mergeCell ref="H58:L58"/>
    <mergeCell ref="K32:K33"/>
    <mergeCell ref="L32:L33"/>
    <mergeCell ref="H31:M31"/>
  </mergeCells>
  <hyperlinks>
    <hyperlink ref="A90" r:id="rId1" xr:uid="{773E23B7-EB6E-4E07-960F-CC1363A39EFA}"/>
    <hyperlink ref="A102" r:id="rId2" xr:uid="{BABFCBF0-9CFA-4A2B-9B84-4E49F10653B7}"/>
    <hyperlink ref="A114" r:id="rId3" xr:uid="{8B93DE94-83C4-429C-979A-D99870533DFC}"/>
    <hyperlink ref="A116" r:id="rId4" xr:uid="{FC29899D-C430-47D8-AA91-42C09B8B81D4}"/>
  </hyperlinks>
  <pageMargins left="0.25" right="0.25" top="0.75" bottom="0.75" header="0.3" footer="0.3"/>
  <pageSetup scale="2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6E76-04A5-4FB2-B760-969711466459}">
  <sheetPr>
    <tabColor theme="6"/>
    <pageSetUpPr fitToPage="1"/>
  </sheetPr>
  <dimension ref="A1:AF86"/>
  <sheetViews>
    <sheetView topLeftCell="A31" zoomScale="85" zoomScaleNormal="85" workbookViewId="0">
      <selection activeCell="A66" sqref="A66"/>
    </sheetView>
  </sheetViews>
  <sheetFormatPr defaultColWidth="8.85546875" defaultRowHeight="12.75" x14ac:dyDescent="0.2"/>
  <cols>
    <col min="1" max="1" width="29.28515625" style="20" customWidth="1"/>
    <col min="2" max="2" width="14.28515625" style="20" customWidth="1"/>
    <col min="3" max="3" width="15.140625" style="20" customWidth="1"/>
    <col min="4" max="4" width="17.28515625" style="20" customWidth="1"/>
    <col min="5" max="5" width="11.42578125" style="20" customWidth="1"/>
    <col min="6" max="6" width="12.28515625" style="20" customWidth="1"/>
    <col min="7" max="7" width="15" style="20" customWidth="1"/>
    <col min="8" max="8" width="13" style="20" customWidth="1"/>
    <col min="9" max="9" width="9.7109375" style="20" bestFit="1" customWidth="1"/>
    <col min="10" max="10" width="13" style="20" customWidth="1"/>
    <col min="11" max="11" width="10.28515625" style="20" bestFit="1" customWidth="1"/>
    <col min="12" max="12" width="19" style="20" customWidth="1"/>
    <col min="13" max="13" width="18.28515625" style="22" customWidth="1"/>
    <col min="14" max="14" width="10.7109375" style="20" customWidth="1"/>
    <col min="15" max="17" width="11" style="20" bestFit="1" customWidth="1"/>
    <col min="18" max="18" width="10.28515625" style="20" customWidth="1"/>
    <col min="19" max="19" width="11" style="20" bestFit="1" customWidth="1"/>
    <col min="20" max="21" width="11.140625" style="20" customWidth="1"/>
    <col min="22" max="23" width="11.7109375" style="20" customWidth="1"/>
    <col min="24" max="25" width="18.140625" style="20" bestFit="1" customWidth="1"/>
    <col min="26" max="26" width="12.42578125" style="20" customWidth="1"/>
    <col min="27" max="27" width="10.7109375" style="20" customWidth="1"/>
    <col min="28" max="28" width="16.140625" style="20" customWidth="1"/>
    <col min="29" max="31" width="15.7109375" style="20" customWidth="1"/>
    <col min="32" max="16384" width="8.85546875" style="20"/>
  </cols>
  <sheetData>
    <row r="1" spans="1:32" ht="18" customHeight="1" x14ac:dyDescent="0.2">
      <c r="A1" s="304" t="s">
        <v>53</v>
      </c>
      <c r="B1" s="305"/>
      <c r="C1" s="305"/>
      <c r="D1" s="306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2" ht="18" customHeight="1" x14ac:dyDescent="0.2">
      <c r="A2" s="307" t="s">
        <v>50</v>
      </c>
      <c r="B2" s="307"/>
      <c r="C2" s="307" t="s">
        <v>25</v>
      </c>
      <c r="D2" s="307"/>
      <c r="E2" s="45"/>
      <c r="F2" s="45"/>
      <c r="G2" s="45"/>
      <c r="H2" s="45"/>
      <c r="I2" s="46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2" ht="18" customHeight="1" x14ac:dyDescent="0.2">
      <c r="A3" s="302" t="s">
        <v>12</v>
      </c>
      <c r="B3" s="302"/>
      <c r="C3" s="303">
        <f>D31</f>
        <v>42076</v>
      </c>
      <c r="D3" s="303"/>
      <c r="E3" s="45"/>
      <c r="F3" s="45"/>
      <c r="G3" s="45"/>
      <c r="H3" s="45"/>
      <c r="I3" s="46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2" ht="15.75" x14ac:dyDescent="0.2">
      <c r="A4" s="302" t="s">
        <v>55</v>
      </c>
      <c r="B4" s="302"/>
      <c r="C4" s="303">
        <f>E31</f>
        <v>15265.834565357118</v>
      </c>
      <c r="D4" s="303"/>
      <c r="E4" s="45"/>
      <c r="F4" s="45"/>
      <c r="G4" s="45"/>
      <c r="H4" s="45"/>
      <c r="I4" s="45"/>
      <c r="J4" s="45"/>
      <c r="K4" s="46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2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x14ac:dyDescent="0.2">
      <c r="A6" s="46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32" ht="13.15" customHeight="1" x14ac:dyDescent="0.2">
      <c r="A7" s="304" t="s">
        <v>165</v>
      </c>
      <c r="B7" s="305"/>
      <c r="C7" s="305"/>
      <c r="D7" s="305"/>
      <c r="E7" s="30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32" ht="26.45" customHeight="1" x14ac:dyDescent="0.2">
      <c r="A8" s="324" t="s">
        <v>1</v>
      </c>
      <c r="B8" s="297" t="s">
        <v>139</v>
      </c>
      <c r="C8" s="297" t="s">
        <v>140</v>
      </c>
      <c r="D8" s="322" t="s">
        <v>12</v>
      </c>
      <c r="E8" s="322" t="s">
        <v>55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32" x14ac:dyDescent="0.2">
      <c r="A9" s="324"/>
      <c r="B9" s="321"/>
      <c r="C9" s="321"/>
      <c r="D9" s="322"/>
      <c r="E9" s="322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32" ht="13.5" thickBot="1" x14ac:dyDescent="0.25">
      <c r="A10" s="325"/>
      <c r="B10" s="311"/>
      <c r="C10" s="311"/>
      <c r="D10" s="323"/>
      <c r="E10" s="323"/>
      <c r="F10" s="4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32" ht="13.5" thickTop="1" x14ac:dyDescent="0.2">
      <c r="A11" s="34">
        <v>2023</v>
      </c>
      <c r="B11" s="204">
        <f>G39</f>
        <v>8061.5924279574092</v>
      </c>
      <c r="C11" s="205">
        <f>M39</f>
        <v>8695.1631496012942</v>
      </c>
      <c r="D11" s="204">
        <f>ROUND(B11-C11,0)</f>
        <v>-634</v>
      </c>
      <c r="E11" s="206">
        <f>D11*NPV!C8</f>
        <v>-452.03323779264576</v>
      </c>
      <c r="F11" s="48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32" x14ac:dyDescent="0.2">
      <c r="A12" s="34">
        <f t="shared" ref="A12:A30" si="0">A11+1</f>
        <v>2024</v>
      </c>
      <c r="B12" s="204">
        <f t="shared" ref="B12:B30" si="1">G40</f>
        <v>8061.5924279574092</v>
      </c>
      <c r="C12" s="205">
        <f t="shared" ref="C12:C30" si="2">M40</f>
        <v>8695.1631496012942</v>
      </c>
      <c r="D12" s="204">
        <f t="shared" ref="D12:D30" si="3">ROUND(B12-C12,0)</f>
        <v>-634</v>
      </c>
      <c r="E12" s="206">
        <f>D12*NPV!C9</f>
        <v>-422.46096989966895</v>
      </c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32" x14ac:dyDescent="0.2">
      <c r="A13" s="34">
        <f t="shared" si="0"/>
        <v>2025</v>
      </c>
      <c r="B13" s="204">
        <f t="shared" si="1"/>
        <v>11102.731891848047</v>
      </c>
      <c r="C13" s="205">
        <f t="shared" si="2"/>
        <v>8695.1631496012942</v>
      </c>
      <c r="D13" s="204">
        <f t="shared" si="3"/>
        <v>2408</v>
      </c>
      <c r="E13" s="206">
        <f>D13*NPV!C10</f>
        <v>1499.5813784580953</v>
      </c>
      <c r="F13" s="48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32" x14ac:dyDescent="0.2">
      <c r="A14" s="34">
        <f t="shared" si="0"/>
        <v>2026</v>
      </c>
      <c r="B14" s="204">
        <f t="shared" si="1"/>
        <v>11102.731891848047</v>
      </c>
      <c r="C14" s="205">
        <f t="shared" si="2"/>
        <v>8695.1631496012942</v>
      </c>
      <c r="D14" s="204">
        <f t="shared" si="3"/>
        <v>2408</v>
      </c>
      <c r="E14" s="206">
        <f>D14*NPV!C11</f>
        <v>1401.4779237926125</v>
      </c>
      <c r="F14" s="48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32" x14ac:dyDescent="0.2">
      <c r="A15" s="34">
        <f t="shared" si="0"/>
        <v>2027</v>
      </c>
      <c r="B15" s="204">
        <f t="shared" si="1"/>
        <v>11102.731891848047</v>
      </c>
      <c r="C15" s="205">
        <f t="shared" si="2"/>
        <v>8695.1631496012942</v>
      </c>
      <c r="D15" s="204">
        <f t="shared" si="3"/>
        <v>2408</v>
      </c>
      <c r="E15" s="206">
        <f>D15*NPV!C12</f>
        <v>1309.7924521426285</v>
      </c>
      <c r="F15" s="48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32" x14ac:dyDescent="0.2">
      <c r="A16" s="34">
        <f t="shared" si="0"/>
        <v>2028</v>
      </c>
      <c r="B16" s="204">
        <f t="shared" si="1"/>
        <v>11102.731891848047</v>
      </c>
      <c r="C16" s="205">
        <f t="shared" si="2"/>
        <v>8695.1631496012942</v>
      </c>
      <c r="D16" s="204">
        <f t="shared" si="3"/>
        <v>2408</v>
      </c>
      <c r="E16" s="206">
        <f>D16*NPV!C13</f>
        <v>1224.1050954604004</v>
      </c>
      <c r="F16" s="48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32" x14ac:dyDescent="0.2">
      <c r="A17" s="34">
        <f t="shared" si="0"/>
        <v>2029</v>
      </c>
      <c r="B17" s="204">
        <f t="shared" si="1"/>
        <v>11102.731891848047</v>
      </c>
      <c r="C17" s="205">
        <f t="shared" si="2"/>
        <v>8695.1631496012942</v>
      </c>
      <c r="D17" s="204">
        <f t="shared" si="3"/>
        <v>2408</v>
      </c>
      <c r="E17" s="206">
        <f>D17*NPV!C14</f>
        <v>1144.0234537013087</v>
      </c>
      <c r="F17" s="48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32" x14ac:dyDescent="0.2">
      <c r="A18" s="34">
        <f t="shared" si="0"/>
        <v>2030</v>
      </c>
      <c r="B18" s="204">
        <f t="shared" si="1"/>
        <v>11102.731891848047</v>
      </c>
      <c r="C18" s="205">
        <f t="shared" si="2"/>
        <v>8695.1631496012942</v>
      </c>
      <c r="D18" s="204">
        <f t="shared" si="3"/>
        <v>2408</v>
      </c>
      <c r="E18" s="206">
        <f>D18*NPV!C15</f>
        <v>1069.1807978516906</v>
      </c>
      <c r="F18" s="48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32" x14ac:dyDescent="0.2">
      <c r="A19" s="34">
        <f t="shared" si="0"/>
        <v>2031</v>
      </c>
      <c r="B19" s="204">
        <f t="shared" si="1"/>
        <v>11102.731891848047</v>
      </c>
      <c r="C19" s="205">
        <f t="shared" si="2"/>
        <v>8695.1631496012942</v>
      </c>
      <c r="D19" s="204">
        <f t="shared" si="3"/>
        <v>2408</v>
      </c>
      <c r="E19" s="206">
        <f>D19*NPV!C16</f>
        <v>999.23439051559853</v>
      </c>
      <c r="F19" s="48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32" x14ac:dyDescent="0.2">
      <c r="A20" s="34">
        <f t="shared" si="0"/>
        <v>2032</v>
      </c>
      <c r="B20" s="204">
        <f t="shared" si="1"/>
        <v>11102.731891848047</v>
      </c>
      <c r="C20" s="205">
        <f t="shared" si="2"/>
        <v>8695.1631496012942</v>
      </c>
      <c r="D20" s="204">
        <f t="shared" si="3"/>
        <v>2408</v>
      </c>
      <c r="E20" s="206">
        <f>D20*NPV!C17</f>
        <v>933.86391636971837</v>
      </c>
      <c r="F20" s="48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32" x14ac:dyDescent="0.2">
      <c r="A21" s="34">
        <f t="shared" si="0"/>
        <v>2033</v>
      </c>
      <c r="B21" s="204">
        <f t="shared" si="1"/>
        <v>11102.731891848047</v>
      </c>
      <c r="C21" s="205">
        <f t="shared" si="2"/>
        <v>8695.1631496012942</v>
      </c>
      <c r="D21" s="204">
        <f t="shared" si="3"/>
        <v>2408</v>
      </c>
      <c r="E21" s="206">
        <f>D21*NPV!C18</f>
        <v>872.77001529880215</v>
      </c>
      <c r="F21" s="4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32" x14ac:dyDescent="0.2">
      <c r="A22" s="34">
        <f t="shared" si="0"/>
        <v>2034</v>
      </c>
      <c r="B22" s="204">
        <f t="shared" si="1"/>
        <v>11102.731891848047</v>
      </c>
      <c r="C22" s="205">
        <f t="shared" si="2"/>
        <v>8695.1631496012942</v>
      </c>
      <c r="D22" s="204">
        <f t="shared" si="3"/>
        <v>2408</v>
      </c>
      <c r="E22" s="206">
        <f>D22*NPV!C19</f>
        <v>815.67291149420771</v>
      </c>
      <c r="F22" s="48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32" x14ac:dyDescent="0.2">
      <c r="A23" s="34">
        <f t="shared" si="0"/>
        <v>2035</v>
      </c>
      <c r="B23" s="204">
        <f t="shared" si="1"/>
        <v>11102.731891848047</v>
      </c>
      <c r="C23" s="205">
        <f t="shared" si="2"/>
        <v>8695.1631496012942</v>
      </c>
      <c r="D23" s="204">
        <f t="shared" si="3"/>
        <v>2408</v>
      </c>
      <c r="E23" s="206">
        <f>D23*NPV!C20</f>
        <v>762.31113223757734</v>
      </c>
      <c r="F23" s="48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32" x14ac:dyDescent="0.2">
      <c r="A24" s="34">
        <f t="shared" si="0"/>
        <v>2036</v>
      </c>
      <c r="B24" s="204">
        <f t="shared" si="1"/>
        <v>11102.731891848047</v>
      </c>
      <c r="C24" s="205">
        <f t="shared" si="2"/>
        <v>8695.1631496012942</v>
      </c>
      <c r="D24" s="204">
        <f t="shared" si="3"/>
        <v>2408</v>
      </c>
      <c r="E24" s="206">
        <f>D24*NPV!C21</f>
        <v>712.44031050240858</v>
      </c>
      <c r="F24" s="48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32" x14ac:dyDescent="0.2">
      <c r="A25" s="34">
        <f t="shared" si="0"/>
        <v>2037</v>
      </c>
      <c r="B25" s="204">
        <f t="shared" si="1"/>
        <v>11102.731891848047</v>
      </c>
      <c r="C25" s="205">
        <f t="shared" si="2"/>
        <v>8695.1631496012942</v>
      </c>
      <c r="D25" s="204">
        <f t="shared" si="3"/>
        <v>2408</v>
      </c>
      <c r="E25" s="206">
        <f>D25*NPV!C22</f>
        <v>665.83206589010149</v>
      </c>
      <c r="F25" s="48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32" x14ac:dyDescent="0.2">
      <c r="A26" s="34">
        <f t="shared" si="0"/>
        <v>2038</v>
      </c>
      <c r="B26" s="204">
        <f t="shared" si="1"/>
        <v>11102.731891848047</v>
      </c>
      <c r="C26" s="205">
        <f t="shared" si="2"/>
        <v>8695.1631496012942</v>
      </c>
      <c r="D26" s="204">
        <f t="shared" si="3"/>
        <v>2408</v>
      </c>
      <c r="E26" s="206">
        <f>D26*NPV!C23</f>
        <v>622.27295877579581</v>
      </c>
      <c r="F26" s="48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32" x14ac:dyDescent="0.2">
      <c r="A27" s="34">
        <f t="shared" si="0"/>
        <v>2039</v>
      </c>
      <c r="B27" s="204">
        <f t="shared" si="1"/>
        <v>11102.731891848047</v>
      </c>
      <c r="C27" s="205">
        <f t="shared" si="2"/>
        <v>8695.1631496012942</v>
      </c>
      <c r="D27" s="204">
        <f t="shared" si="3"/>
        <v>2408</v>
      </c>
      <c r="E27" s="206">
        <f>D27*NPV!C24</f>
        <v>581.56351287457551</v>
      </c>
      <c r="F27" s="48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32" x14ac:dyDescent="0.2">
      <c r="A28" s="34">
        <f t="shared" si="0"/>
        <v>2040</v>
      </c>
      <c r="B28" s="204">
        <f t="shared" si="1"/>
        <v>11102.731891848047</v>
      </c>
      <c r="C28" s="205">
        <f t="shared" si="2"/>
        <v>8695.1631496012942</v>
      </c>
      <c r="D28" s="204">
        <f t="shared" si="3"/>
        <v>2408</v>
      </c>
      <c r="E28" s="206">
        <f>D28*NPV!C25</f>
        <v>543.51730175193973</v>
      </c>
      <c r="F28" s="48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32" x14ac:dyDescent="0.2">
      <c r="A29" s="34">
        <f t="shared" si="0"/>
        <v>2041</v>
      </c>
      <c r="B29" s="204">
        <f t="shared" si="1"/>
        <v>11102.731891848047</v>
      </c>
      <c r="C29" s="205">
        <f t="shared" si="2"/>
        <v>8695.1631496012942</v>
      </c>
      <c r="D29" s="204">
        <f t="shared" si="3"/>
        <v>2408</v>
      </c>
      <c r="E29" s="206">
        <f>D29*NPV!C26</f>
        <v>507.96009509527079</v>
      </c>
      <c r="F29" s="48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32" ht="13.5" thickBot="1" x14ac:dyDescent="0.25">
      <c r="A30" s="76">
        <f t="shared" si="0"/>
        <v>2042</v>
      </c>
      <c r="B30" s="207">
        <f t="shared" si="1"/>
        <v>11102.731891848047</v>
      </c>
      <c r="C30" s="208">
        <f t="shared" si="2"/>
        <v>8695.1631496012942</v>
      </c>
      <c r="D30" s="207">
        <f t="shared" si="3"/>
        <v>2408</v>
      </c>
      <c r="E30" s="209">
        <f>D30*NPV!C27</f>
        <v>474.72906083670165</v>
      </c>
      <c r="F30" s="48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32" ht="13.5" thickTop="1" x14ac:dyDescent="0.2">
      <c r="A31" s="149" t="s">
        <v>0</v>
      </c>
      <c r="B31" s="210">
        <f>SUM(B11:B30)</f>
        <v>215972.35890917975</v>
      </c>
      <c r="C31" s="211">
        <f>SUM(C11:C30)</f>
        <v>173903.26299202588</v>
      </c>
      <c r="D31" s="210">
        <f>SUM(D11:D30)</f>
        <v>42076</v>
      </c>
      <c r="E31" s="212">
        <f>SUM(E11:E30)</f>
        <v>15265.834565357118</v>
      </c>
      <c r="F31" s="45"/>
      <c r="G31" s="45"/>
      <c r="H31" s="45"/>
      <c r="I31" s="41"/>
      <c r="J31" s="41"/>
      <c r="K31" s="41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32" x14ac:dyDescent="0.2">
      <c r="A32" s="47"/>
      <c r="B32" s="39"/>
      <c r="C32" s="40"/>
      <c r="D32" s="42"/>
      <c r="E32" s="42"/>
      <c r="F32" s="39"/>
      <c r="G32" s="40"/>
      <c r="H32" s="42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x14ac:dyDescent="0.2">
      <c r="A33" s="316" t="s">
        <v>1</v>
      </c>
      <c r="B33" s="271" t="s">
        <v>9</v>
      </c>
      <c r="C33" s="272"/>
      <c r="D33" s="272"/>
      <c r="E33" s="272"/>
      <c r="F33" s="272"/>
      <c r="G33" s="272"/>
      <c r="H33" s="271" t="s">
        <v>11</v>
      </c>
      <c r="I33" s="272"/>
      <c r="J33" s="272"/>
      <c r="K33" s="272"/>
      <c r="L33" s="272"/>
      <c r="M33" s="273"/>
      <c r="N33" s="152"/>
      <c r="O33" s="43"/>
      <c r="P33" s="43"/>
      <c r="Q33" s="43"/>
      <c r="R33" s="43"/>
      <c r="S33" s="43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43.5" customHeight="1" thickBot="1" x14ac:dyDescent="0.25">
      <c r="A34" s="318"/>
      <c r="B34" s="157" t="s">
        <v>105</v>
      </c>
      <c r="C34" s="157" t="s">
        <v>136</v>
      </c>
      <c r="D34" s="164" t="s">
        <v>137</v>
      </c>
      <c r="E34" s="157" t="s">
        <v>148</v>
      </c>
      <c r="F34" s="157" t="s">
        <v>150</v>
      </c>
      <c r="G34" s="157" t="s">
        <v>151</v>
      </c>
      <c r="H34" s="157" t="s">
        <v>105</v>
      </c>
      <c r="I34" s="157" t="s">
        <v>136</v>
      </c>
      <c r="J34" s="164" t="s">
        <v>137</v>
      </c>
      <c r="K34" s="157" t="s">
        <v>148</v>
      </c>
      <c r="L34" s="157" t="s">
        <v>150</v>
      </c>
      <c r="M34" s="157" t="s">
        <v>151</v>
      </c>
      <c r="N34" s="43"/>
      <c r="O34" s="43"/>
      <c r="P34" s="43"/>
      <c r="Q34" s="43"/>
      <c r="R34" s="43"/>
      <c r="S34" s="43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13.5" thickTop="1" x14ac:dyDescent="0.2">
      <c r="A35" s="73">
        <v>2019</v>
      </c>
      <c r="B35" s="9">
        <f>Safety!B34</f>
        <v>2620153807.8000002</v>
      </c>
      <c r="C35" s="8">
        <f>Safety!C34</f>
        <v>0</v>
      </c>
      <c r="D35" s="9">
        <f>Safety!D34</f>
        <v>0</v>
      </c>
      <c r="E35" s="8">
        <f>($B35/1000000*$B$65)+($C35/1000000*$C$65)+($D35/1000000*$D$65)</f>
        <v>5554.7260725360011</v>
      </c>
      <c r="F35" s="163">
        <f>E35*8.34/2000</f>
        <v>23.163207722475121</v>
      </c>
      <c r="G35" s="216">
        <f>F35*'Ton-miles'!$A$20</f>
        <v>8061.5924279574092</v>
      </c>
      <c r="H35" s="9">
        <f>Safety!H34</f>
        <v>2620153807.8000002</v>
      </c>
      <c r="I35" s="8">
        <f>Safety!I34</f>
        <v>0</v>
      </c>
      <c r="J35" s="9">
        <f>Safety!J34</f>
        <v>0</v>
      </c>
      <c r="K35" s="8">
        <f>($H35/1000000*$B$65)+($I35/1000000*$C$65)+($J35/1000000*$D$65)</f>
        <v>5554.7260725360011</v>
      </c>
      <c r="L35" s="163">
        <f>K35*8.34/2000</f>
        <v>23.163207722475121</v>
      </c>
      <c r="M35" s="216">
        <f>L35*'Ton-miles'!$A$20</f>
        <v>8061.5924279574092</v>
      </c>
      <c r="N35" s="43"/>
      <c r="O35" s="43"/>
      <c r="P35" s="43"/>
      <c r="Q35" s="43"/>
      <c r="R35" s="43"/>
      <c r="S35" s="43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s="2" customFormat="1" x14ac:dyDescent="0.2">
      <c r="A36" s="34">
        <f>A35+1</f>
        <v>2020</v>
      </c>
      <c r="B36" s="9">
        <f>Safety!B35</f>
        <v>2620153807.8000002</v>
      </c>
      <c r="C36" s="8">
        <f>Safety!C35</f>
        <v>0</v>
      </c>
      <c r="D36" s="9">
        <f>Safety!D35</f>
        <v>0</v>
      </c>
      <c r="E36" s="8">
        <f t="shared" ref="E36:E58" si="4">($B36/1000000*$B$65)+($C36/1000000*$C$65)+($D36/1000000*$D$65)</f>
        <v>5554.7260725360011</v>
      </c>
      <c r="F36" s="163">
        <f t="shared" ref="F36:F58" si="5">E36*8.34/2000</f>
        <v>23.163207722475121</v>
      </c>
      <c r="G36" s="216">
        <f>F36*'Ton-miles'!$A$20</f>
        <v>8061.5924279574092</v>
      </c>
      <c r="H36" s="9">
        <f>Safety!H35</f>
        <v>2620153807.8000002</v>
      </c>
      <c r="I36" s="8">
        <f>Safety!I35</f>
        <v>0</v>
      </c>
      <c r="J36" s="9">
        <f>Safety!J35</f>
        <v>0</v>
      </c>
      <c r="K36" s="8">
        <f t="shared" ref="K36:K58" si="6">($H36/1000000*$B$65)+($I36/1000000*$C$65)+($J36/1000000*$D$65)</f>
        <v>5554.7260725360011</v>
      </c>
      <c r="L36" s="163">
        <f t="shared" ref="L36:L57" si="7">K36*8.34/2000</f>
        <v>23.163207722475121</v>
      </c>
      <c r="M36" s="216">
        <f>L36*'Ton-miles'!$A$20</f>
        <v>8061.5924279574092</v>
      </c>
      <c r="N36" s="43"/>
      <c r="O36" s="43"/>
      <c r="P36" s="43"/>
      <c r="Q36" s="43"/>
      <c r="R36" s="43"/>
      <c r="S36" s="43"/>
      <c r="T36" s="43"/>
      <c r="U36" s="43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s="2" customFormat="1" x14ac:dyDescent="0.2">
      <c r="A37" s="34">
        <f t="shared" ref="A37:A58" si="8">A36+1</f>
        <v>2021</v>
      </c>
      <c r="B37" s="9">
        <f>Safety!B36</f>
        <v>2620153807.8000002</v>
      </c>
      <c r="C37" s="8">
        <f>Safety!C36</f>
        <v>0</v>
      </c>
      <c r="D37" s="9">
        <f>Safety!D36</f>
        <v>0</v>
      </c>
      <c r="E37" s="8">
        <f t="shared" si="4"/>
        <v>5554.7260725360011</v>
      </c>
      <c r="F37" s="163">
        <f t="shared" si="5"/>
        <v>23.163207722475121</v>
      </c>
      <c r="G37" s="216">
        <f>F37*'Ton-miles'!$A$20</f>
        <v>8061.5924279574092</v>
      </c>
      <c r="H37" s="9">
        <f>Safety!H36</f>
        <v>2620153807.8000002</v>
      </c>
      <c r="I37" s="8">
        <f>Safety!I36</f>
        <v>0</v>
      </c>
      <c r="J37" s="9">
        <f>Safety!J36</f>
        <v>0</v>
      </c>
      <c r="K37" s="8">
        <f t="shared" si="6"/>
        <v>5554.7260725360011</v>
      </c>
      <c r="L37" s="163">
        <f t="shared" si="7"/>
        <v>23.163207722475121</v>
      </c>
      <c r="M37" s="216">
        <f>L37*'Ton-miles'!$A$20</f>
        <v>8061.5924279574092</v>
      </c>
      <c r="N37" s="43"/>
      <c r="O37" s="43"/>
      <c r="P37" s="43"/>
      <c r="Q37" s="43"/>
      <c r="R37" s="43"/>
      <c r="S37" s="43"/>
      <c r="T37" s="43"/>
      <c r="U37" s="43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s="2" customFormat="1" x14ac:dyDescent="0.2">
      <c r="A38" s="34">
        <f t="shared" si="8"/>
        <v>2022</v>
      </c>
      <c r="B38" s="9">
        <f>Safety!B37</f>
        <v>2620153807.8000002</v>
      </c>
      <c r="C38" s="8">
        <f>Safety!C37</f>
        <v>0</v>
      </c>
      <c r="D38" s="9">
        <f>Safety!D37</f>
        <v>0</v>
      </c>
      <c r="E38" s="8">
        <f t="shared" si="4"/>
        <v>5554.7260725360011</v>
      </c>
      <c r="F38" s="163">
        <f t="shared" si="5"/>
        <v>23.163207722475121</v>
      </c>
      <c r="G38" s="216">
        <f>F38*'Ton-miles'!$A$20</f>
        <v>8061.5924279574092</v>
      </c>
      <c r="H38" s="9">
        <f>Safety!H37</f>
        <v>2620153807.8000002</v>
      </c>
      <c r="I38" s="8">
        <f>Safety!I37</f>
        <v>0</v>
      </c>
      <c r="J38" s="9">
        <f>Safety!J37</f>
        <v>0</v>
      </c>
      <c r="K38" s="8">
        <f t="shared" si="6"/>
        <v>5554.7260725360011</v>
      </c>
      <c r="L38" s="163">
        <f t="shared" si="7"/>
        <v>23.163207722475121</v>
      </c>
      <c r="M38" s="216">
        <f>L38*'Ton-miles'!$A$20</f>
        <v>8061.5924279574092</v>
      </c>
      <c r="N38" s="43"/>
      <c r="O38" s="43"/>
      <c r="P38" s="43"/>
      <c r="Q38" s="43"/>
      <c r="R38" s="43"/>
      <c r="S38" s="43"/>
      <c r="T38" s="43"/>
      <c r="U38" s="43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s="2" customFormat="1" x14ac:dyDescent="0.2">
      <c r="A39" s="34">
        <v>2023</v>
      </c>
      <c r="B39" s="9">
        <f>Safety!B38</f>
        <v>2620153807.8000002</v>
      </c>
      <c r="C39" s="8">
        <f>Safety!C38</f>
        <v>0</v>
      </c>
      <c r="D39" s="9">
        <f>Safety!D38</f>
        <v>0</v>
      </c>
      <c r="E39" s="8">
        <f t="shared" si="4"/>
        <v>5554.7260725360011</v>
      </c>
      <c r="F39" s="163">
        <f t="shared" si="5"/>
        <v>23.163207722475121</v>
      </c>
      <c r="G39" s="216">
        <f>F39*'Ton-miles'!$A$20</f>
        <v>8061.5924279574092</v>
      </c>
      <c r="H39" s="9">
        <f>Safety!H38</f>
        <v>2434327296.608511</v>
      </c>
      <c r="I39" s="8">
        <f>Safety!I38</f>
        <v>125432895.05425531</v>
      </c>
      <c r="J39" s="9">
        <f>Safety!J38</f>
        <v>13936988.339361701</v>
      </c>
      <c r="K39" s="8">
        <f t="shared" si="6"/>
        <v>5991.279003952608</v>
      </c>
      <c r="L39" s="163">
        <f t="shared" si="7"/>
        <v>24.983633446482376</v>
      </c>
      <c r="M39" s="216">
        <f>L39*'Ton-miles'!$A$20</f>
        <v>8695.1631496012942</v>
      </c>
      <c r="N39" s="43"/>
      <c r="O39" s="43"/>
      <c r="P39" s="43"/>
      <c r="Q39" s="43"/>
      <c r="R39" s="43"/>
      <c r="S39" s="43"/>
      <c r="T39" s="43"/>
      <c r="U39" s="43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s="2" customFormat="1" x14ac:dyDescent="0.2">
      <c r="A40" s="34">
        <f t="shared" si="8"/>
        <v>2024</v>
      </c>
      <c r="B40" s="9">
        <f>Safety!B39</f>
        <v>2620153807.8000002</v>
      </c>
      <c r="C40" s="8">
        <f>Safety!C39</f>
        <v>0</v>
      </c>
      <c r="D40" s="9">
        <f>Safety!D39</f>
        <v>0</v>
      </c>
      <c r="E40" s="8">
        <f t="shared" si="4"/>
        <v>5554.7260725360011</v>
      </c>
      <c r="F40" s="163">
        <f t="shared" si="5"/>
        <v>23.163207722475121</v>
      </c>
      <c r="G40" s="216">
        <f>F40*'Ton-miles'!$A$20</f>
        <v>8061.5924279574092</v>
      </c>
      <c r="H40" s="9">
        <f>Safety!H39</f>
        <v>2434327296.608511</v>
      </c>
      <c r="I40" s="8">
        <f>Safety!I39</f>
        <v>125432895.05425531</v>
      </c>
      <c r="J40" s="9">
        <f>Safety!J39</f>
        <v>13936988.339361701</v>
      </c>
      <c r="K40" s="8">
        <f t="shared" si="6"/>
        <v>5991.279003952608</v>
      </c>
      <c r="L40" s="163">
        <f t="shared" si="7"/>
        <v>24.983633446482376</v>
      </c>
      <c r="M40" s="216">
        <f>L40*'Ton-miles'!$A$20</f>
        <v>8695.1631496012942</v>
      </c>
      <c r="N40" s="43"/>
      <c r="O40" s="43"/>
      <c r="P40" s="43"/>
      <c r="Q40" s="43"/>
      <c r="R40" s="43"/>
      <c r="S40" s="43"/>
      <c r="T40" s="43"/>
      <c r="U40" s="43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s="2" customFormat="1" x14ac:dyDescent="0.2">
      <c r="A41" s="34">
        <f t="shared" si="8"/>
        <v>2025</v>
      </c>
      <c r="B41" s="9">
        <f>Safety!B40</f>
        <v>1728186554.0808511</v>
      </c>
      <c r="C41" s="8">
        <f>Safety!C40</f>
        <v>602077896.26042569</v>
      </c>
      <c r="D41" s="9">
        <f>Safety!D40</f>
        <v>66897544.028936192</v>
      </c>
      <c r="E41" s="8">
        <f>($B41/1000000*$B$65)+($C41/1000000*$C$65)+($D41/1000000*$D$65)</f>
        <v>7650.1801433357105</v>
      </c>
      <c r="F41" s="163">
        <f t="shared" si="5"/>
        <v>31.901251197709914</v>
      </c>
      <c r="G41" s="216">
        <f>F41*'Ton-miles'!$A$20</f>
        <v>11102.731891848047</v>
      </c>
      <c r="H41" s="9">
        <f>Safety!H40</f>
        <v>2434327296.608511</v>
      </c>
      <c r="I41" s="8">
        <f>Safety!I40</f>
        <v>125432895.05425531</v>
      </c>
      <c r="J41" s="9">
        <f>Safety!J40</f>
        <v>13936988.339361701</v>
      </c>
      <c r="K41" s="8">
        <f t="shared" si="6"/>
        <v>5991.279003952608</v>
      </c>
      <c r="L41" s="163">
        <f t="shared" si="7"/>
        <v>24.983633446482376</v>
      </c>
      <c r="M41" s="216">
        <f>L41*'Ton-miles'!$A$20</f>
        <v>8695.1631496012942</v>
      </c>
      <c r="N41" s="43"/>
      <c r="O41" s="43"/>
      <c r="P41" s="43"/>
      <c r="Q41" s="43"/>
      <c r="R41" s="43"/>
      <c r="S41" s="43"/>
      <c r="T41" s="43"/>
      <c r="U41" s="43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s="2" customFormat="1" x14ac:dyDescent="0.2">
      <c r="A42" s="34">
        <f t="shared" si="8"/>
        <v>2026</v>
      </c>
      <c r="B42" s="9">
        <f>Safety!B41</f>
        <v>1728186554.0808511</v>
      </c>
      <c r="C42" s="8">
        <f>Safety!C41</f>
        <v>602077896.26042569</v>
      </c>
      <c r="D42" s="9">
        <f>Safety!D41</f>
        <v>66897544.028936192</v>
      </c>
      <c r="E42" s="8">
        <f t="shared" si="4"/>
        <v>7650.1801433357105</v>
      </c>
      <c r="F42" s="163">
        <f t="shared" si="5"/>
        <v>31.901251197709914</v>
      </c>
      <c r="G42" s="216">
        <f>F42*'Ton-miles'!$A$20</f>
        <v>11102.731891848047</v>
      </c>
      <c r="H42" s="9">
        <f>Safety!H41</f>
        <v>2434327296.608511</v>
      </c>
      <c r="I42" s="8">
        <f>Safety!I41</f>
        <v>125432895.05425531</v>
      </c>
      <c r="J42" s="9">
        <f>Safety!J41</f>
        <v>13936988.339361701</v>
      </c>
      <c r="K42" s="8">
        <f t="shared" si="6"/>
        <v>5991.279003952608</v>
      </c>
      <c r="L42" s="163">
        <f t="shared" si="7"/>
        <v>24.983633446482376</v>
      </c>
      <c r="M42" s="216">
        <f>L42*'Ton-miles'!$A$20</f>
        <v>8695.1631496012942</v>
      </c>
      <c r="N42" s="43"/>
      <c r="O42" s="43"/>
      <c r="P42" s="43"/>
      <c r="Q42" s="43"/>
      <c r="R42" s="43"/>
      <c r="S42" s="43"/>
      <c r="T42" s="43"/>
      <c r="U42" s="43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2" s="2" customFormat="1" x14ac:dyDescent="0.2">
      <c r="A43" s="34">
        <f t="shared" si="8"/>
        <v>2027</v>
      </c>
      <c r="B43" s="9">
        <f>Safety!B42</f>
        <v>1728186554.0808511</v>
      </c>
      <c r="C43" s="8">
        <f>Safety!C42</f>
        <v>602077896.26042569</v>
      </c>
      <c r="D43" s="9">
        <f>Safety!D42</f>
        <v>66897544.028936192</v>
      </c>
      <c r="E43" s="8">
        <f t="shared" si="4"/>
        <v>7650.1801433357105</v>
      </c>
      <c r="F43" s="163">
        <f t="shared" si="5"/>
        <v>31.901251197709914</v>
      </c>
      <c r="G43" s="216">
        <f>F43*'Ton-miles'!$A$20</f>
        <v>11102.731891848047</v>
      </c>
      <c r="H43" s="9">
        <f>Safety!H42</f>
        <v>2434327296.608511</v>
      </c>
      <c r="I43" s="8">
        <f>Safety!I42</f>
        <v>125432895.05425531</v>
      </c>
      <c r="J43" s="9">
        <f>Safety!J42</f>
        <v>13936988.339361701</v>
      </c>
      <c r="K43" s="8">
        <f t="shared" si="6"/>
        <v>5991.279003952608</v>
      </c>
      <c r="L43" s="163">
        <f t="shared" si="7"/>
        <v>24.983633446482376</v>
      </c>
      <c r="M43" s="216">
        <f>L43*'Ton-miles'!$A$20</f>
        <v>8695.1631496012942</v>
      </c>
      <c r="N43" s="43"/>
      <c r="O43" s="43"/>
      <c r="P43" s="43"/>
      <c r="Q43" s="43"/>
      <c r="R43" s="43"/>
      <c r="S43" s="43"/>
      <c r="T43" s="43"/>
      <c r="U43" s="43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s="2" customFormat="1" x14ac:dyDescent="0.2">
      <c r="A44" s="34">
        <f t="shared" si="8"/>
        <v>2028</v>
      </c>
      <c r="B44" s="9">
        <f>Safety!B43</f>
        <v>1728186554.0808511</v>
      </c>
      <c r="C44" s="8">
        <f>Safety!C43</f>
        <v>602077896.26042569</v>
      </c>
      <c r="D44" s="9">
        <f>Safety!D43</f>
        <v>66897544.028936192</v>
      </c>
      <c r="E44" s="8">
        <f t="shared" si="4"/>
        <v>7650.1801433357105</v>
      </c>
      <c r="F44" s="163">
        <f t="shared" si="5"/>
        <v>31.901251197709914</v>
      </c>
      <c r="G44" s="216">
        <f>F44*'Ton-miles'!$A$20</f>
        <v>11102.731891848047</v>
      </c>
      <c r="H44" s="9">
        <f>Safety!H43</f>
        <v>2434327296.608511</v>
      </c>
      <c r="I44" s="8">
        <f>Safety!I43</f>
        <v>125432895.05425531</v>
      </c>
      <c r="J44" s="9">
        <f>Safety!J43</f>
        <v>13936988.339361701</v>
      </c>
      <c r="K44" s="8">
        <f t="shared" si="6"/>
        <v>5991.279003952608</v>
      </c>
      <c r="L44" s="163">
        <f t="shared" si="7"/>
        <v>24.983633446482376</v>
      </c>
      <c r="M44" s="216">
        <f>L44*'Ton-miles'!$A$20</f>
        <v>8695.1631496012942</v>
      </c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s="2" customFormat="1" x14ac:dyDescent="0.2">
      <c r="A45" s="34">
        <f t="shared" si="8"/>
        <v>2029</v>
      </c>
      <c r="B45" s="9">
        <f>Safety!B44</f>
        <v>1728186554.0808511</v>
      </c>
      <c r="C45" s="8">
        <f>Safety!C44</f>
        <v>602077896.26042569</v>
      </c>
      <c r="D45" s="9">
        <f>Safety!D44</f>
        <v>66897544.028936192</v>
      </c>
      <c r="E45" s="8">
        <f t="shared" si="4"/>
        <v>7650.1801433357105</v>
      </c>
      <c r="F45" s="163">
        <f t="shared" si="5"/>
        <v>31.901251197709914</v>
      </c>
      <c r="G45" s="216">
        <f>F45*'Ton-miles'!$A$20</f>
        <v>11102.731891848047</v>
      </c>
      <c r="H45" s="9">
        <f>Safety!H44</f>
        <v>2434327296.608511</v>
      </c>
      <c r="I45" s="8">
        <f>Safety!I44</f>
        <v>125432895.05425531</v>
      </c>
      <c r="J45" s="9">
        <f>Safety!J44</f>
        <v>13936988.339361701</v>
      </c>
      <c r="K45" s="8">
        <f t="shared" si="6"/>
        <v>5991.279003952608</v>
      </c>
      <c r="L45" s="163">
        <f t="shared" si="7"/>
        <v>24.983633446482376</v>
      </c>
      <c r="M45" s="216">
        <f>L45*'Ton-miles'!$A$20</f>
        <v>8695.1631496012942</v>
      </c>
      <c r="N45" s="43"/>
      <c r="O45" s="43"/>
      <c r="P45" s="43"/>
      <c r="Q45" s="43"/>
      <c r="R45" s="43"/>
      <c r="S45" s="43"/>
      <c r="T45" s="43"/>
      <c r="U45" s="43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s="2" customFormat="1" x14ac:dyDescent="0.2">
      <c r="A46" s="34">
        <f t="shared" si="8"/>
        <v>2030</v>
      </c>
      <c r="B46" s="9">
        <f>Safety!B45</f>
        <v>1728186554.0808511</v>
      </c>
      <c r="C46" s="8">
        <f>Safety!C45</f>
        <v>602077896.26042569</v>
      </c>
      <c r="D46" s="9">
        <f>Safety!D45</f>
        <v>66897544.028936192</v>
      </c>
      <c r="E46" s="8">
        <f t="shared" si="4"/>
        <v>7650.1801433357105</v>
      </c>
      <c r="F46" s="163">
        <f t="shared" si="5"/>
        <v>31.901251197709914</v>
      </c>
      <c r="G46" s="216">
        <f>F46*'Ton-miles'!$A$20</f>
        <v>11102.731891848047</v>
      </c>
      <c r="H46" s="9">
        <f>Safety!H45</f>
        <v>2434327296.608511</v>
      </c>
      <c r="I46" s="8">
        <f>Safety!I45</f>
        <v>125432895.05425531</v>
      </c>
      <c r="J46" s="9">
        <f>Safety!J45</f>
        <v>13936988.339361701</v>
      </c>
      <c r="K46" s="8">
        <f t="shared" si="6"/>
        <v>5991.279003952608</v>
      </c>
      <c r="L46" s="163">
        <f t="shared" si="7"/>
        <v>24.983633446482376</v>
      </c>
      <c r="M46" s="216">
        <f>L46*'Ton-miles'!$A$20</f>
        <v>8695.1631496012942</v>
      </c>
      <c r="N46" s="43"/>
      <c r="O46" s="43"/>
      <c r="P46" s="43"/>
      <c r="Q46" s="43"/>
      <c r="R46" s="43"/>
      <c r="S46" s="43"/>
      <c r="T46" s="43"/>
      <c r="U46" s="43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s="2" customFormat="1" x14ac:dyDescent="0.2">
      <c r="A47" s="34">
        <f t="shared" si="8"/>
        <v>2031</v>
      </c>
      <c r="B47" s="9">
        <f>Safety!B46</f>
        <v>1728186554.0808511</v>
      </c>
      <c r="C47" s="8">
        <f>Safety!C46</f>
        <v>602077896.26042569</v>
      </c>
      <c r="D47" s="9">
        <f>Safety!D46</f>
        <v>66897544.028936192</v>
      </c>
      <c r="E47" s="8">
        <f t="shared" si="4"/>
        <v>7650.1801433357105</v>
      </c>
      <c r="F47" s="163">
        <f t="shared" si="5"/>
        <v>31.901251197709914</v>
      </c>
      <c r="G47" s="216">
        <f>F47*'Ton-miles'!$A$20</f>
        <v>11102.731891848047</v>
      </c>
      <c r="H47" s="9">
        <f>Safety!H46</f>
        <v>2434327296.608511</v>
      </c>
      <c r="I47" s="8">
        <f>Safety!I46</f>
        <v>125432895.05425531</v>
      </c>
      <c r="J47" s="9">
        <f>Safety!J46</f>
        <v>13936988.339361701</v>
      </c>
      <c r="K47" s="8">
        <f t="shared" si="6"/>
        <v>5991.279003952608</v>
      </c>
      <c r="L47" s="163">
        <f t="shared" si="7"/>
        <v>24.983633446482376</v>
      </c>
      <c r="M47" s="216">
        <f>L47*'Ton-miles'!$A$20</f>
        <v>8695.1631496012942</v>
      </c>
      <c r="N47" s="43"/>
      <c r="O47" s="43"/>
      <c r="P47" s="43"/>
      <c r="Q47" s="43"/>
      <c r="R47" s="43"/>
      <c r="S47" s="43"/>
      <c r="T47" s="43"/>
      <c r="U47" s="43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s="2" customFormat="1" x14ac:dyDescent="0.2">
      <c r="A48" s="34">
        <f t="shared" si="8"/>
        <v>2032</v>
      </c>
      <c r="B48" s="9">
        <f>Safety!B47</f>
        <v>1728186554.0808511</v>
      </c>
      <c r="C48" s="8">
        <f>Safety!C47</f>
        <v>602077896.26042569</v>
      </c>
      <c r="D48" s="9">
        <f>Safety!D47</f>
        <v>66897544.028936192</v>
      </c>
      <c r="E48" s="8">
        <f t="shared" si="4"/>
        <v>7650.1801433357105</v>
      </c>
      <c r="F48" s="163">
        <f t="shared" si="5"/>
        <v>31.901251197709914</v>
      </c>
      <c r="G48" s="216">
        <f>F48*'Ton-miles'!$A$20</f>
        <v>11102.731891848047</v>
      </c>
      <c r="H48" s="9">
        <f>Safety!H47</f>
        <v>2434327296.608511</v>
      </c>
      <c r="I48" s="8">
        <f>Safety!I47</f>
        <v>125432895.05425531</v>
      </c>
      <c r="J48" s="9">
        <f>Safety!J47</f>
        <v>13936988.339361701</v>
      </c>
      <c r="K48" s="8">
        <f t="shared" si="6"/>
        <v>5991.279003952608</v>
      </c>
      <c r="L48" s="163">
        <f t="shared" si="7"/>
        <v>24.983633446482376</v>
      </c>
      <c r="M48" s="216">
        <f>L48*'Ton-miles'!$A$20</f>
        <v>8695.1631496012942</v>
      </c>
      <c r="N48" s="43"/>
      <c r="O48" s="43"/>
      <c r="P48" s="43"/>
      <c r="Q48" s="43"/>
      <c r="R48" s="43"/>
      <c r="S48" s="43"/>
      <c r="T48" s="43"/>
      <c r="U48" s="4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s="2" customFormat="1" x14ac:dyDescent="0.2">
      <c r="A49" s="34">
        <f t="shared" si="8"/>
        <v>2033</v>
      </c>
      <c r="B49" s="9">
        <f>Safety!B48</f>
        <v>1728186554.0808511</v>
      </c>
      <c r="C49" s="8">
        <f>Safety!C48</f>
        <v>602077896.26042569</v>
      </c>
      <c r="D49" s="9">
        <f>Safety!D48</f>
        <v>66897544.028936192</v>
      </c>
      <c r="E49" s="8">
        <f t="shared" si="4"/>
        <v>7650.1801433357105</v>
      </c>
      <c r="F49" s="163">
        <f t="shared" si="5"/>
        <v>31.901251197709914</v>
      </c>
      <c r="G49" s="216">
        <f>F49*'Ton-miles'!$A$20</f>
        <v>11102.731891848047</v>
      </c>
      <c r="H49" s="9">
        <f>Safety!H48</f>
        <v>2434327296.608511</v>
      </c>
      <c r="I49" s="8">
        <f>Safety!I48</f>
        <v>125432895.05425531</v>
      </c>
      <c r="J49" s="9">
        <f>Safety!J48</f>
        <v>13936988.339361701</v>
      </c>
      <c r="K49" s="8">
        <f t="shared" si="6"/>
        <v>5991.279003952608</v>
      </c>
      <c r="L49" s="163">
        <f t="shared" si="7"/>
        <v>24.983633446482376</v>
      </c>
      <c r="M49" s="216">
        <f>L49*'Ton-miles'!$A$20</f>
        <v>8695.1631496012942</v>
      </c>
      <c r="N49" s="43"/>
      <c r="O49" s="43"/>
      <c r="P49" s="43"/>
      <c r="Q49" s="43"/>
      <c r="R49" s="43"/>
      <c r="S49" s="43"/>
      <c r="T49" s="43"/>
      <c r="U49" s="43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s="2" customFormat="1" x14ac:dyDescent="0.2">
      <c r="A50" s="34">
        <f t="shared" si="8"/>
        <v>2034</v>
      </c>
      <c r="B50" s="9">
        <f>Safety!B49</f>
        <v>1728186554.0808511</v>
      </c>
      <c r="C50" s="8">
        <f>Safety!C49</f>
        <v>602077896.26042569</v>
      </c>
      <c r="D50" s="9">
        <f>Safety!D49</f>
        <v>66897544.028936192</v>
      </c>
      <c r="E50" s="8">
        <f t="shared" si="4"/>
        <v>7650.1801433357105</v>
      </c>
      <c r="F50" s="163">
        <f t="shared" si="5"/>
        <v>31.901251197709914</v>
      </c>
      <c r="G50" s="216">
        <f>F50*'Ton-miles'!$A$20</f>
        <v>11102.731891848047</v>
      </c>
      <c r="H50" s="9">
        <f>Safety!H49</f>
        <v>2434327296.608511</v>
      </c>
      <c r="I50" s="8">
        <f>Safety!I49</f>
        <v>125432895.05425531</v>
      </c>
      <c r="J50" s="9">
        <f>Safety!J49</f>
        <v>13936988.339361701</v>
      </c>
      <c r="K50" s="8">
        <f t="shared" si="6"/>
        <v>5991.279003952608</v>
      </c>
      <c r="L50" s="163">
        <f t="shared" si="7"/>
        <v>24.983633446482376</v>
      </c>
      <c r="M50" s="216">
        <f>L50*'Ton-miles'!$A$20</f>
        <v>8695.1631496012942</v>
      </c>
      <c r="N50" s="43"/>
      <c r="O50" s="43"/>
      <c r="P50" s="43"/>
      <c r="Q50" s="43"/>
      <c r="R50" s="43"/>
      <c r="S50" s="43"/>
      <c r="T50" s="43"/>
      <c r="U50" s="43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s="2" customFormat="1" x14ac:dyDescent="0.2">
      <c r="A51" s="34">
        <f t="shared" si="8"/>
        <v>2035</v>
      </c>
      <c r="B51" s="9">
        <f>Safety!B50</f>
        <v>1728186554.0808511</v>
      </c>
      <c r="C51" s="8">
        <f>Safety!C50</f>
        <v>602077896.26042569</v>
      </c>
      <c r="D51" s="9">
        <f>Safety!D50</f>
        <v>66897544.028936192</v>
      </c>
      <c r="E51" s="8">
        <f t="shared" si="4"/>
        <v>7650.1801433357105</v>
      </c>
      <c r="F51" s="163">
        <f t="shared" si="5"/>
        <v>31.901251197709914</v>
      </c>
      <c r="G51" s="216">
        <f>F51*'Ton-miles'!$A$20</f>
        <v>11102.731891848047</v>
      </c>
      <c r="H51" s="9">
        <f>Safety!H50</f>
        <v>2434327296.608511</v>
      </c>
      <c r="I51" s="8">
        <f>Safety!I50</f>
        <v>125432895.05425531</v>
      </c>
      <c r="J51" s="9">
        <f>Safety!J50</f>
        <v>13936988.339361701</v>
      </c>
      <c r="K51" s="8">
        <f t="shared" si="6"/>
        <v>5991.279003952608</v>
      </c>
      <c r="L51" s="163">
        <f t="shared" si="7"/>
        <v>24.983633446482376</v>
      </c>
      <c r="M51" s="216">
        <f>L51*'Ton-miles'!$A$20</f>
        <v>8695.1631496012942</v>
      </c>
      <c r="N51" s="43"/>
      <c r="O51" s="43"/>
      <c r="P51" s="43"/>
      <c r="Q51" s="43"/>
      <c r="R51" s="43"/>
      <c r="S51" s="43"/>
      <c r="T51" s="43"/>
      <c r="U51" s="43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s="2" customFormat="1" x14ac:dyDescent="0.2">
      <c r="A52" s="34">
        <f t="shared" si="8"/>
        <v>2036</v>
      </c>
      <c r="B52" s="9">
        <f>Safety!B51</f>
        <v>1728186554.0808511</v>
      </c>
      <c r="C52" s="8">
        <f>Safety!C51</f>
        <v>602077896.26042569</v>
      </c>
      <c r="D52" s="9">
        <f>Safety!D51</f>
        <v>66897544.028936192</v>
      </c>
      <c r="E52" s="8">
        <f t="shared" si="4"/>
        <v>7650.1801433357105</v>
      </c>
      <c r="F52" s="163">
        <f t="shared" si="5"/>
        <v>31.901251197709914</v>
      </c>
      <c r="G52" s="216">
        <f>F52*'Ton-miles'!$A$20</f>
        <v>11102.731891848047</v>
      </c>
      <c r="H52" s="9">
        <f>Safety!H51</f>
        <v>2434327296.608511</v>
      </c>
      <c r="I52" s="8">
        <f>Safety!I51</f>
        <v>125432895.05425531</v>
      </c>
      <c r="J52" s="9">
        <f>Safety!J51</f>
        <v>13936988.339361701</v>
      </c>
      <c r="K52" s="8">
        <f t="shared" si="6"/>
        <v>5991.279003952608</v>
      </c>
      <c r="L52" s="163">
        <f t="shared" si="7"/>
        <v>24.983633446482376</v>
      </c>
      <c r="M52" s="216">
        <f>L52*'Ton-miles'!$A$20</f>
        <v>8695.1631496012942</v>
      </c>
      <c r="N52" s="43"/>
      <c r="O52" s="43"/>
      <c r="P52" s="43"/>
      <c r="Q52" s="43"/>
      <c r="R52" s="43"/>
      <c r="S52" s="43"/>
      <c r="T52" s="43"/>
      <c r="U52" s="43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s="2" customFormat="1" x14ac:dyDescent="0.2">
      <c r="A53" s="34">
        <f t="shared" si="8"/>
        <v>2037</v>
      </c>
      <c r="B53" s="9">
        <f>Safety!B52</f>
        <v>1728186554.0808511</v>
      </c>
      <c r="C53" s="8">
        <f>Safety!C52</f>
        <v>602077896.26042569</v>
      </c>
      <c r="D53" s="9">
        <f>Safety!D52</f>
        <v>66897544.028936192</v>
      </c>
      <c r="E53" s="8">
        <f t="shared" si="4"/>
        <v>7650.1801433357105</v>
      </c>
      <c r="F53" s="163">
        <f t="shared" si="5"/>
        <v>31.901251197709914</v>
      </c>
      <c r="G53" s="216">
        <f>F53*'Ton-miles'!$A$20</f>
        <v>11102.731891848047</v>
      </c>
      <c r="H53" s="9">
        <f>Safety!H52</f>
        <v>2434327296.608511</v>
      </c>
      <c r="I53" s="8">
        <f>Safety!I52</f>
        <v>125432895.05425531</v>
      </c>
      <c r="J53" s="9">
        <f>Safety!J52</f>
        <v>13936988.339361701</v>
      </c>
      <c r="K53" s="8">
        <f t="shared" si="6"/>
        <v>5991.279003952608</v>
      </c>
      <c r="L53" s="163">
        <f t="shared" si="7"/>
        <v>24.983633446482376</v>
      </c>
      <c r="M53" s="216">
        <f>L53*'Ton-miles'!$A$20</f>
        <v>8695.1631496012942</v>
      </c>
      <c r="N53" s="43"/>
      <c r="O53" s="43"/>
      <c r="P53" s="43"/>
      <c r="Q53" s="43"/>
      <c r="R53" s="43"/>
      <c r="S53" s="43"/>
      <c r="T53" s="43"/>
      <c r="U53" s="43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s="2" customFormat="1" x14ac:dyDescent="0.2">
      <c r="A54" s="34">
        <f t="shared" si="8"/>
        <v>2038</v>
      </c>
      <c r="B54" s="9">
        <f>Safety!B53</f>
        <v>1728186554.0808511</v>
      </c>
      <c r="C54" s="8">
        <f>Safety!C53</f>
        <v>602077896.26042569</v>
      </c>
      <c r="D54" s="9">
        <f>Safety!D53</f>
        <v>66897544.028936192</v>
      </c>
      <c r="E54" s="8">
        <f t="shared" si="4"/>
        <v>7650.1801433357105</v>
      </c>
      <c r="F54" s="163">
        <f t="shared" si="5"/>
        <v>31.901251197709914</v>
      </c>
      <c r="G54" s="216">
        <f>F54*'Ton-miles'!$A$20</f>
        <v>11102.731891848047</v>
      </c>
      <c r="H54" s="9">
        <f>Safety!H53</f>
        <v>2434327296.608511</v>
      </c>
      <c r="I54" s="8">
        <f>Safety!I53</f>
        <v>125432895.05425531</v>
      </c>
      <c r="J54" s="9">
        <f>Safety!J53</f>
        <v>13936988.339361701</v>
      </c>
      <c r="K54" s="8">
        <f t="shared" si="6"/>
        <v>5991.279003952608</v>
      </c>
      <c r="L54" s="163">
        <f t="shared" si="7"/>
        <v>24.983633446482376</v>
      </c>
      <c r="M54" s="216">
        <f>L54*'Ton-miles'!$A$20</f>
        <v>8695.1631496012942</v>
      </c>
      <c r="N54" s="43"/>
      <c r="O54" s="43"/>
      <c r="P54" s="43"/>
      <c r="Q54" s="43"/>
      <c r="R54" s="43"/>
      <c r="S54" s="43"/>
      <c r="T54" s="43"/>
      <c r="U54" s="43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s="2" customFormat="1" x14ac:dyDescent="0.2">
      <c r="A55" s="34">
        <f t="shared" si="8"/>
        <v>2039</v>
      </c>
      <c r="B55" s="9">
        <f>Safety!B54</f>
        <v>1728186554.0808511</v>
      </c>
      <c r="C55" s="8">
        <f>Safety!C54</f>
        <v>602077896.26042569</v>
      </c>
      <c r="D55" s="9">
        <f>Safety!D54</f>
        <v>66897544.028936192</v>
      </c>
      <c r="E55" s="8">
        <f t="shared" si="4"/>
        <v>7650.1801433357105</v>
      </c>
      <c r="F55" s="163">
        <f t="shared" si="5"/>
        <v>31.901251197709914</v>
      </c>
      <c r="G55" s="216">
        <f>F55*'Ton-miles'!$A$20</f>
        <v>11102.731891848047</v>
      </c>
      <c r="H55" s="9">
        <f>Safety!H54</f>
        <v>2434327296.608511</v>
      </c>
      <c r="I55" s="8">
        <f>Safety!I54</f>
        <v>125432895.05425531</v>
      </c>
      <c r="J55" s="9">
        <f>Safety!J54</f>
        <v>13936988.339361701</v>
      </c>
      <c r="K55" s="8">
        <f t="shared" si="6"/>
        <v>5991.279003952608</v>
      </c>
      <c r="L55" s="163">
        <f t="shared" si="7"/>
        <v>24.983633446482376</v>
      </c>
      <c r="M55" s="216">
        <f>L55*'Ton-miles'!$A$20</f>
        <v>8695.1631496012942</v>
      </c>
      <c r="N55" s="43"/>
      <c r="O55" s="43"/>
      <c r="P55" s="43"/>
      <c r="Q55" s="43"/>
      <c r="R55" s="43"/>
      <c r="S55" s="43"/>
      <c r="T55" s="43"/>
      <c r="U55" s="43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s="2" customFormat="1" x14ac:dyDescent="0.2">
      <c r="A56" s="34">
        <f t="shared" si="8"/>
        <v>2040</v>
      </c>
      <c r="B56" s="9">
        <f>Safety!B55</f>
        <v>1728186554.0808511</v>
      </c>
      <c r="C56" s="8">
        <f>Safety!C55</f>
        <v>602077896.26042569</v>
      </c>
      <c r="D56" s="9">
        <f>Safety!D55</f>
        <v>66897544.028936192</v>
      </c>
      <c r="E56" s="8">
        <f t="shared" si="4"/>
        <v>7650.1801433357105</v>
      </c>
      <c r="F56" s="163">
        <f t="shared" si="5"/>
        <v>31.901251197709914</v>
      </c>
      <c r="G56" s="216">
        <f>F56*'Ton-miles'!$A$20</f>
        <v>11102.731891848047</v>
      </c>
      <c r="H56" s="9">
        <f>Safety!H55</f>
        <v>2434327296.608511</v>
      </c>
      <c r="I56" s="8">
        <f>Safety!I55</f>
        <v>125432895.05425531</v>
      </c>
      <c r="J56" s="9">
        <f>Safety!J55</f>
        <v>13936988.339361701</v>
      </c>
      <c r="K56" s="8">
        <f t="shared" si="6"/>
        <v>5991.279003952608</v>
      </c>
      <c r="L56" s="163">
        <f t="shared" si="7"/>
        <v>24.983633446482376</v>
      </c>
      <c r="M56" s="216">
        <f>L56*'Ton-miles'!$A$20</f>
        <v>8695.1631496012942</v>
      </c>
      <c r="N56" s="43"/>
      <c r="O56" s="43"/>
      <c r="P56" s="43"/>
      <c r="Q56" s="43"/>
      <c r="R56" s="43"/>
      <c r="S56" s="43"/>
      <c r="T56" s="43"/>
      <c r="U56" s="43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s="2" customFormat="1" x14ac:dyDescent="0.2">
      <c r="A57" s="34">
        <f t="shared" si="8"/>
        <v>2041</v>
      </c>
      <c r="B57" s="9">
        <f>Safety!B56</f>
        <v>1728186554.0808511</v>
      </c>
      <c r="C57" s="8">
        <f>Safety!C56</f>
        <v>602077896.26042569</v>
      </c>
      <c r="D57" s="9">
        <f>Safety!D56</f>
        <v>66897544.028936192</v>
      </c>
      <c r="E57" s="8">
        <f t="shared" si="4"/>
        <v>7650.1801433357105</v>
      </c>
      <c r="F57" s="163">
        <f t="shared" si="5"/>
        <v>31.901251197709914</v>
      </c>
      <c r="G57" s="216">
        <f>F57*'Ton-miles'!$A$20</f>
        <v>11102.731891848047</v>
      </c>
      <c r="H57" s="9">
        <f>Safety!H56</f>
        <v>2434327296.608511</v>
      </c>
      <c r="I57" s="8">
        <f>Safety!I56</f>
        <v>125432895.05425531</v>
      </c>
      <c r="J57" s="9">
        <f>Safety!J56</f>
        <v>13936988.339361701</v>
      </c>
      <c r="K57" s="8">
        <f t="shared" si="6"/>
        <v>5991.279003952608</v>
      </c>
      <c r="L57" s="163">
        <f t="shared" si="7"/>
        <v>24.983633446482376</v>
      </c>
      <c r="M57" s="216">
        <f>L57*'Ton-miles'!$A$20</f>
        <v>8695.1631496012942</v>
      </c>
      <c r="N57" s="43"/>
      <c r="O57" s="43"/>
      <c r="P57" s="43"/>
      <c r="Q57" s="43"/>
      <c r="R57" s="43"/>
      <c r="S57" s="43"/>
      <c r="T57" s="43"/>
      <c r="U57" s="43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s="2" customFormat="1" ht="13.5" thickBot="1" x14ac:dyDescent="0.25">
      <c r="A58" s="76">
        <f t="shared" si="8"/>
        <v>2042</v>
      </c>
      <c r="B58" s="9">
        <f>Safety!B57</f>
        <v>1728186554.0808511</v>
      </c>
      <c r="C58" s="8">
        <f>Safety!C57</f>
        <v>602077896.26042569</v>
      </c>
      <c r="D58" s="9">
        <f>Safety!D57</f>
        <v>66897544.028936192</v>
      </c>
      <c r="E58" s="8">
        <f t="shared" si="4"/>
        <v>7650.1801433357105</v>
      </c>
      <c r="F58" s="163">
        <f t="shared" si="5"/>
        <v>31.901251197709914</v>
      </c>
      <c r="G58" s="216">
        <f>F58*'Ton-miles'!$A$20</f>
        <v>11102.731891848047</v>
      </c>
      <c r="H58" s="9">
        <f>Safety!H57</f>
        <v>2434327296.608511</v>
      </c>
      <c r="I58" s="8">
        <f>Safety!I57</f>
        <v>125432895.05425531</v>
      </c>
      <c r="J58" s="9">
        <f>Safety!J57</f>
        <v>13936988.339361701</v>
      </c>
      <c r="K58" s="8">
        <f t="shared" si="6"/>
        <v>5991.279003952608</v>
      </c>
      <c r="L58" s="163">
        <f>K58*8.34/2000</f>
        <v>24.983633446482376</v>
      </c>
      <c r="M58" s="216">
        <f>L58*'Ton-miles'!$A$20</f>
        <v>8695.1631496012942</v>
      </c>
      <c r="N58" s="43"/>
      <c r="O58" s="43"/>
      <c r="P58" s="43"/>
      <c r="Q58" s="43"/>
      <c r="R58" s="43"/>
      <c r="S58" s="43"/>
      <c r="T58" s="43"/>
      <c r="U58" s="43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s="2" customFormat="1" ht="13.5" thickTop="1" x14ac:dyDescent="0.2">
      <c r="A59" s="308" t="s">
        <v>0</v>
      </c>
      <c r="B59" s="309"/>
      <c r="C59" s="309"/>
      <c r="D59" s="309"/>
      <c r="E59" s="309"/>
      <c r="F59" s="310"/>
      <c r="G59" s="217">
        <f>SUM(G35:G58)</f>
        <v>248218.72862100942</v>
      </c>
      <c r="H59" s="330" t="s">
        <v>0</v>
      </c>
      <c r="I59" s="331"/>
      <c r="J59" s="331"/>
      <c r="K59" s="331"/>
      <c r="L59" s="332"/>
      <c r="M59" s="217">
        <f>SUM(M35:M58)</f>
        <v>206149.63270385549</v>
      </c>
      <c r="N59" s="43"/>
      <c r="O59" s="43"/>
      <c r="P59" s="43"/>
      <c r="Q59" s="43"/>
      <c r="R59" s="43"/>
      <c r="S59" s="43"/>
      <c r="T59" s="43"/>
      <c r="U59" s="43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s="2" customFormat="1" x14ac:dyDescent="0.2">
      <c r="A60" s="148" t="s">
        <v>138</v>
      </c>
      <c r="B60" s="148"/>
      <c r="C60" s="148"/>
      <c r="D60" s="148"/>
      <c r="E60" s="148"/>
      <c r="F60" s="148"/>
      <c r="G60" s="148"/>
      <c r="H60" s="4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:32" s="2" customFormat="1" x14ac:dyDescent="0.2">
      <c r="A61" s="151" t="s">
        <v>149</v>
      </c>
      <c r="B61" s="84"/>
      <c r="C61" s="84"/>
      <c r="D61" s="84"/>
      <c r="E61" s="42"/>
      <c r="F61" s="39"/>
      <c r="G61" s="40"/>
      <c r="H61" s="42"/>
      <c r="I61" s="4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x14ac:dyDescent="0.2">
      <c r="A62" s="45"/>
      <c r="B62" s="114"/>
      <c r="C62" s="114"/>
      <c r="D62" s="114"/>
      <c r="E62" s="45"/>
      <c r="F62" s="45"/>
      <c r="G62" s="45"/>
      <c r="H62" s="45"/>
      <c r="I62" s="45"/>
      <c r="J62" s="45"/>
      <c r="K62" s="45"/>
      <c r="L62" s="45"/>
      <c r="M62" s="46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x14ac:dyDescent="0.2">
      <c r="A63" s="328"/>
      <c r="B63" s="327" t="s">
        <v>94</v>
      </c>
      <c r="C63" s="327"/>
      <c r="D63" s="327"/>
      <c r="E63" s="45"/>
      <c r="F63" s="45"/>
      <c r="G63" s="45"/>
      <c r="H63" s="45"/>
      <c r="I63" s="45"/>
      <c r="J63" s="45"/>
      <c r="K63" s="45"/>
      <c r="L63" s="45"/>
      <c r="M63" s="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x14ac:dyDescent="0.2">
      <c r="A64" s="329"/>
      <c r="B64" s="104" t="s">
        <v>168</v>
      </c>
      <c r="C64" s="104" t="s">
        <v>100</v>
      </c>
      <c r="D64" s="104" t="s">
        <v>48</v>
      </c>
      <c r="E64" s="45"/>
      <c r="F64" s="45"/>
      <c r="G64" s="45"/>
      <c r="H64" s="45"/>
      <c r="I64" s="45"/>
      <c r="J64" s="45"/>
      <c r="K64" s="45"/>
      <c r="L64" s="45"/>
      <c r="M64" s="46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x14ac:dyDescent="0.2">
      <c r="A65" s="21" t="s">
        <v>95</v>
      </c>
      <c r="B65" s="115">
        <v>2.12</v>
      </c>
      <c r="C65" s="115">
        <v>5.95</v>
      </c>
      <c r="D65" s="115">
        <v>6.04</v>
      </c>
      <c r="E65" s="45"/>
      <c r="F65" s="45"/>
      <c r="G65" s="45"/>
      <c r="H65" s="45"/>
      <c r="I65" s="45"/>
      <c r="J65" s="45"/>
      <c r="K65" s="45"/>
      <c r="L65" s="45"/>
      <c r="M65" s="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x14ac:dyDescent="0.2">
      <c r="A66" s="45" t="s">
        <v>147</v>
      </c>
      <c r="B66" s="114"/>
      <c r="C66" s="114"/>
      <c r="D66" s="114"/>
      <c r="E66" s="45"/>
      <c r="F66" s="45"/>
      <c r="G66" s="45"/>
      <c r="H66" s="45"/>
      <c r="I66" s="45"/>
      <c r="J66" s="45"/>
      <c r="K66" s="45"/>
      <c r="L66" s="45"/>
      <c r="M66" s="46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6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6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</row>
    <row r="72" spans="1:32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</row>
    <row r="73" spans="1:32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:32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1:32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</row>
    <row r="76" spans="1:32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6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</row>
    <row r="77" spans="1:32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</row>
    <row r="78" spans="1:32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6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32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6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</row>
    <row r="80" spans="1:32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6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</row>
    <row r="81" spans="1:28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6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</row>
    <row r="82" spans="1:28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</row>
    <row r="83" spans="1:28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6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</row>
    <row r="84" spans="1:28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6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</row>
    <row r="85" spans="1:28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6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</row>
    <row r="86" spans="1:28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</row>
  </sheetData>
  <mergeCells count="20">
    <mergeCell ref="H59:L59"/>
    <mergeCell ref="H33:M33"/>
    <mergeCell ref="A1:D1"/>
    <mergeCell ref="A4:B4"/>
    <mergeCell ref="C4:D4"/>
    <mergeCell ref="A2:B2"/>
    <mergeCell ref="C2:D2"/>
    <mergeCell ref="A3:B3"/>
    <mergeCell ref="C3:D3"/>
    <mergeCell ref="A7:E7"/>
    <mergeCell ref="A8:A10"/>
    <mergeCell ref="B8:B10"/>
    <mergeCell ref="C8:C10"/>
    <mergeCell ref="D8:D10"/>
    <mergeCell ref="E8:E10"/>
    <mergeCell ref="B63:D63"/>
    <mergeCell ref="A63:A64"/>
    <mergeCell ref="A33:A34"/>
    <mergeCell ref="B33:G33"/>
    <mergeCell ref="A59:F59"/>
  </mergeCells>
  <pageMargins left="0.7" right="0.7" top="0.75" bottom="0.75" header="0.3" footer="0.3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BA7A8-9249-4EB7-88D4-E854A0A20B0A}">
  <sheetPr>
    <tabColor theme="6"/>
    <pageSetUpPr fitToPage="1"/>
  </sheetPr>
  <dimension ref="A1:EL364"/>
  <sheetViews>
    <sheetView topLeftCell="A41" zoomScale="90" zoomScaleNormal="90" workbookViewId="0">
      <selection activeCell="C3" sqref="C3"/>
    </sheetView>
  </sheetViews>
  <sheetFormatPr defaultRowHeight="12.75" x14ac:dyDescent="0.2"/>
  <cols>
    <col min="1" max="1" width="32.140625" customWidth="1"/>
    <col min="2" max="2" width="16.140625" customWidth="1"/>
    <col min="3" max="3" width="16.28515625" customWidth="1"/>
    <col min="4" max="4" width="16.5703125" customWidth="1"/>
    <col min="5" max="5" width="16.140625" bestFit="1" customWidth="1"/>
    <col min="6" max="6" width="15.5703125" customWidth="1"/>
    <col min="7" max="7" width="16.5703125" customWidth="1"/>
    <col min="8" max="8" width="14.5703125" customWidth="1"/>
    <col min="9" max="9" width="17" customWidth="1"/>
    <col min="10" max="11" width="17.28515625" customWidth="1"/>
    <col min="12" max="13" width="15.28515625" customWidth="1"/>
    <col min="14" max="15" width="17.28515625" bestFit="1" customWidth="1"/>
    <col min="31" max="142" width="8.85546875" style="33"/>
  </cols>
  <sheetData>
    <row r="1" spans="1:30" ht="15.75" x14ac:dyDescent="0.2">
      <c r="A1" s="307" t="s">
        <v>52</v>
      </c>
      <c r="B1" s="307"/>
      <c r="C1" s="307"/>
      <c r="D1" s="67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5.75" x14ac:dyDescent="0.2">
      <c r="A2" s="302" t="s">
        <v>51</v>
      </c>
      <c r="B2" s="302"/>
      <c r="C2" s="218">
        <f>D27</f>
        <v>78072775.042439774</v>
      </c>
      <c r="D2" s="67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5.75" x14ac:dyDescent="0.2">
      <c r="A3" s="302" t="s">
        <v>58</v>
      </c>
      <c r="B3" s="302"/>
      <c r="C3" s="218">
        <f>E27</f>
        <v>28320029.68134106</v>
      </c>
      <c r="D3" s="6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15.75" x14ac:dyDescent="0.2">
      <c r="A4" s="69"/>
      <c r="B4" s="69"/>
      <c r="C4" s="68"/>
      <c r="D4" s="6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5.75" x14ac:dyDescent="0.2">
      <c r="A5" s="307" t="s">
        <v>166</v>
      </c>
      <c r="B5" s="307"/>
      <c r="C5" s="307"/>
      <c r="D5" s="307"/>
      <c r="E5" s="307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33.75" customHeight="1" x14ac:dyDescent="0.2">
      <c r="A6" s="158" t="s">
        <v>1</v>
      </c>
      <c r="B6" s="156" t="s">
        <v>145</v>
      </c>
      <c r="C6" s="156" t="s">
        <v>146</v>
      </c>
      <c r="D6" s="156" t="s">
        <v>12</v>
      </c>
      <c r="E6" s="161" t="s">
        <v>55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x14ac:dyDescent="0.2">
      <c r="A7" s="73">
        <v>2023</v>
      </c>
      <c r="B7" s="216">
        <f>G36</f>
        <v>6012204.9273778796</v>
      </c>
      <c r="C7" s="213">
        <f>M36</f>
        <v>7187125.5640255315</v>
      </c>
      <c r="D7" s="216">
        <f>B7-C7</f>
        <v>-1174920.6366476519</v>
      </c>
      <c r="E7" s="213">
        <f>D7*NPV!C8</f>
        <v>-837702.1759199287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x14ac:dyDescent="0.2">
      <c r="A8" s="34">
        <f t="shared" ref="A8:A26" si="0">A7+1</f>
        <v>2024</v>
      </c>
      <c r="B8" s="216">
        <f t="shared" ref="B8:B26" si="1">G37</f>
        <v>6012204.9273778796</v>
      </c>
      <c r="C8" s="213">
        <f t="shared" ref="C8:C26" si="2">M37</f>
        <v>7187125.5640255315</v>
      </c>
      <c r="D8" s="216">
        <f t="shared" ref="D8:D26" si="3">B8-C8</f>
        <v>-1174920.6366476519</v>
      </c>
      <c r="E8" s="213">
        <f>D8*NPV!C9</f>
        <v>-782899.22983170906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x14ac:dyDescent="0.2">
      <c r="A9" s="34">
        <f t="shared" si="0"/>
        <v>2025</v>
      </c>
      <c r="B9" s="216">
        <f t="shared" si="1"/>
        <v>11651823.983286604</v>
      </c>
      <c r="C9" s="213">
        <f t="shared" si="2"/>
        <v>7187125.5640255315</v>
      </c>
      <c r="D9" s="216">
        <f t="shared" si="3"/>
        <v>4464698.4192610728</v>
      </c>
      <c r="E9" s="213">
        <f>D9*NPV!C10</f>
        <v>2780389.7881873748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x14ac:dyDescent="0.2">
      <c r="A10" s="34">
        <f t="shared" si="0"/>
        <v>2026</v>
      </c>
      <c r="B10" s="216">
        <f t="shared" si="1"/>
        <v>11651823.983286604</v>
      </c>
      <c r="C10" s="213">
        <f t="shared" si="2"/>
        <v>7187125.5640255315</v>
      </c>
      <c r="D10" s="216">
        <f t="shared" si="3"/>
        <v>4464698.4192610728</v>
      </c>
      <c r="E10" s="213">
        <f>D10*NPV!C11</f>
        <v>2598495.1291470793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x14ac:dyDescent="0.2">
      <c r="A11" s="34">
        <f t="shared" si="0"/>
        <v>2027</v>
      </c>
      <c r="B11" s="216">
        <f t="shared" si="1"/>
        <v>11651823.983286604</v>
      </c>
      <c r="C11" s="213">
        <f t="shared" si="2"/>
        <v>7187125.5640255315</v>
      </c>
      <c r="D11" s="216">
        <f t="shared" si="3"/>
        <v>4464698.4192610728</v>
      </c>
      <c r="E11" s="213">
        <f>D11*NPV!C12</f>
        <v>2428500.1206982052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x14ac:dyDescent="0.2">
      <c r="A12" s="34">
        <f t="shared" si="0"/>
        <v>2028</v>
      </c>
      <c r="B12" s="216">
        <f t="shared" si="1"/>
        <v>11651823.983286604</v>
      </c>
      <c r="C12" s="213">
        <f t="shared" si="2"/>
        <v>7187125.5640255315</v>
      </c>
      <c r="D12" s="216">
        <f t="shared" si="3"/>
        <v>4464698.4192610728</v>
      </c>
      <c r="E12" s="213">
        <f>D12*NPV!C13</f>
        <v>2269626.2810263596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x14ac:dyDescent="0.2">
      <c r="A13" s="34">
        <f t="shared" si="0"/>
        <v>2029</v>
      </c>
      <c r="B13" s="216">
        <f t="shared" si="1"/>
        <v>11651823.983286604</v>
      </c>
      <c r="C13" s="213">
        <f t="shared" si="2"/>
        <v>7187125.5640255315</v>
      </c>
      <c r="D13" s="216">
        <f t="shared" si="3"/>
        <v>4464698.4192610728</v>
      </c>
      <c r="E13" s="213">
        <f>D13*NPV!C14</f>
        <v>2121146.0570339807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x14ac:dyDescent="0.2">
      <c r="A14" s="34">
        <f t="shared" si="0"/>
        <v>2030</v>
      </c>
      <c r="B14" s="216">
        <f t="shared" si="1"/>
        <v>11651823.983286604</v>
      </c>
      <c r="C14" s="213">
        <f t="shared" si="2"/>
        <v>7187125.5640255315</v>
      </c>
      <c r="D14" s="216">
        <f t="shared" si="3"/>
        <v>4464698.4192610728</v>
      </c>
      <c r="E14" s="213">
        <f>D14*NPV!C15</f>
        <v>1982379.4925551226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2">
      <c r="A15" s="34">
        <f t="shared" si="0"/>
        <v>2031</v>
      </c>
      <c r="B15" s="216">
        <f t="shared" si="1"/>
        <v>11651823.983286604</v>
      </c>
      <c r="C15" s="213">
        <f t="shared" si="2"/>
        <v>7187125.5640255315</v>
      </c>
      <c r="D15" s="216">
        <f t="shared" si="3"/>
        <v>4464698.4192610728</v>
      </c>
      <c r="E15" s="213">
        <f>D15*NPV!C16</f>
        <v>1852691.1145374975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2">
      <c r="A16" s="34">
        <f t="shared" si="0"/>
        <v>2032</v>
      </c>
      <c r="B16" s="216">
        <f t="shared" si="1"/>
        <v>11651823.983286604</v>
      </c>
      <c r="C16" s="213">
        <f t="shared" si="2"/>
        <v>7187125.5640255315</v>
      </c>
      <c r="D16" s="216">
        <f t="shared" si="3"/>
        <v>4464698.4192610728</v>
      </c>
      <c r="E16" s="213">
        <f>D16*NPV!C17</f>
        <v>1731487.022932241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2">
      <c r="A17" s="34">
        <f t="shared" si="0"/>
        <v>2033</v>
      </c>
      <c r="B17" s="216">
        <f t="shared" si="1"/>
        <v>11651823.983286604</v>
      </c>
      <c r="C17" s="213">
        <f t="shared" si="2"/>
        <v>7187125.5640255315</v>
      </c>
      <c r="D17" s="216">
        <f t="shared" si="3"/>
        <v>4464698.4192610728</v>
      </c>
      <c r="E17" s="213">
        <f>D17*NPV!C18</f>
        <v>1618212.1709647109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2">
      <c r="A18" s="34">
        <f t="shared" si="0"/>
        <v>2034</v>
      </c>
      <c r="B18" s="216">
        <f t="shared" si="1"/>
        <v>11651823.983286604</v>
      </c>
      <c r="C18" s="213">
        <f t="shared" si="2"/>
        <v>7187125.5640255315</v>
      </c>
      <c r="D18" s="216">
        <f t="shared" si="3"/>
        <v>4464698.4192610728</v>
      </c>
      <c r="E18" s="213">
        <f>D18*NPV!C19</f>
        <v>1512347.8233315058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2">
      <c r="A19" s="34">
        <f t="shared" si="0"/>
        <v>2035</v>
      </c>
      <c r="B19" s="216">
        <f t="shared" si="1"/>
        <v>11701863.346220247</v>
      </c>
      <c r="C19" s="213">
        <f t="shared" si="2"/>
        <v>7229909.3308297042</v>
      </c>
      <c r="D19" s="216">
        <f t="shared" si="3"/>
        <v>4471954.0153905433</v>
      </c>
      <c r="E19" s="213">
        <f>D19*NPV!C20</f>
        <v>1415706.1166057913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2">
      <c r="A20" s="34">
        <f t="shared" si="0"/>
        <v>2036</v>
      </c>
      <c r="B20" s="216">
        <f t="shared" si="1"/>
        <v>11701863.346220247</v>
      </c>
      <c r="C20" s="213">
        <f t="shared" si="2"/>
        <v>7229909.3308297042</v>
      </c>
      <c r="D20" s="216">
        <f t="shared" si="3"/>
        <v>4471954.0153905433</v>
      </c>
      <c r="E20" s="213">
        <f>D20*NPV!C21</f>
        <v>1323089.8286035431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2">
      <c r="A21" s="34">
        <f t="shared" si="0"/>
        <v>2037</v>
      </c>
      <c r="B21" s="216">
        <f t="shared" si="1"/>
        <v>11701863.346220247</v>
      </c>
      <c r="C21" s="213">
        <f t="shared" si="2"/>
        <v>7229909.3308297042</v>
      </c>
      <c r="D21" s="216">
        <f t="shared" si="3"/>
        <v>4471954.0153905433</v>
      </c>
      <c r="E21" s="213">
        <f>D21*NPV!C22</f>
        <v>1236532.5500967691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2">
      <c r="A22" s="34">
        <f t="shared" si="0"/>
        <v>2038</v>
      </c>
      <c r="B22" s="216">
        <f t="shared" si="1"/>
        <v>11701863.346220247</v>
      </c>
      <c r="C22" s="213">
        <f t="shared" si="2"/>
        <v>7229909.3308297042</v>
      </c>
      <c r="D22" s="216">
        <f t="shared" si="3"/>
        <v>4471954.0153905433</v>
      </c>
      <c r="E22" s="213">
        <f>D22*NPV!C23</f>
        <v>1155637.8972867003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2">
      <c r="A23" s="34">
        <f t="shared" si="0"/>
        <v>2039</v>
      </c>
      <c r="B23" s="216">
        <f t="shared" si="1"/>
        <v>11701863.346220247</v>
      </c>
      <c r="C23" s="213">
        <f t="shared" si="2"/>
        <v>7229909.3308297042</v>
      </c>
      <c r="D23" s="216">
        <f t="shared" si="3"/>
        <v>4471954.0153905433</v>
      </c>
      <c r="E23" s="213">
        <f>D23*NPV!C24</f>
        <v>1080035.4180249535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2">
      <c r="A24" s="34">
        <f t="shared" si="0"/>
        <v>2040</v>
      </c>
      <c r="B24" s="216">
        <f t="shared" si="1"/>
        <v>11701863.346220247</v>
      </c>
      <c r="C24" s="213">
        <f t="shared" si="2"/>
        <v>7229909.3308297042</v>
      </c>
      <c r="D24" s="216">
        <f t="shared" si="3"/>
        <v>4471954.0153905433</v>
      </c>
      <c r="E24" s="213">
        <f>D24*NPV!C25</f>
        <v>1009378.8953504239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2">
      <c r="A25" s="34">
        <f t="shared" si="0"/>
        <v>2041</v>
      </c>
      <c r="B25" s="216">
        <f t="shared" si="1"/>
        <v>11701863.346220247</v>
      </c>
      <c r="C25" s="213">
        <f t="shared" si="2"/>
        <v>7229909.3308297042</v>
      </c>
      <c r="D25" s="216">
        <f t="shared" si="3"/>
        <v>4471954.0153905433</v>
      </c>
      <c r="E25" s="213">
        <f>D25*NPV!C26</f>
        <v>943344.76200974185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13.5" thickBot="1" x14ac:dyDescent="0.25">
      <c r="A26" s="76">
        <f t="shared" si="0"/>
        <v>2042</v>
      </c>
      <c r="B26" s="219">
        <f t="shared" si="1"/>
        <v>11701863.346220247</v>
      </c>
      <c r="C26" s="214">
        <f t="shared" si="2"/>
        <v>7229909.3308297042</v>
      </c>
      <c r="D26" s="219">
        <f t="shared" si="3"/>
        <v>4471954.0153905433</v>
      </c>
      <c r="E26" s="214">
        <f>D26*NPV!C27</f>
        <v>881630.61870069336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13.5" thickTop="1" x14ac:dyDescent="0.2">
      <c r="A27" s="162" t="s">
        <v>0</v>
      </c>
      <c r="B27" s="220">
        <f>SUM(B7:B26)</f>
        <v>222157556.45738384</v>
      </c>
      <c r="C27" s="221">
        <f t="shared" ref="C27:E27" si="4">SUM(C7:C26)</f>
        <v>144084781.41494405</v>
      </c>
      <c r="D27" s="220">
        <f t="shared" si="4"/>
        <v>78072775.042439774</v>
      </c>
      <c r="E27" s="221">
        <f t="shared" si="4"/>
        <v>28320029.68134106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17.25" customHeight="1" x14ac:dyDescent="0.2">
      <c r="A30" s="316" t="s">
        <v>1</v>
      </c>
      <c r="B30" s="271" t="s">
        <v>9</v>
      </c>
      <c r="C30" s="272"/>
      <c r="D30" s="272"/>
      <c r="E30" s="272"/>
      <c r="F30" s="272"/>
      <c r="G30" s="273"/>
      <c r="H30" s="271" t="s">
        <v>11</v>
      </c>
      <c r="I30" s="272"/>
      <c r="J30" s="272"/>
      <c r="K30" s="272"/>
      <c r="L30" s="272"/>
      <c r="M30" s="27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27.75" customHeight="1" x14ac:dyDescent="0.2">
      <c r="A31" s="333"/>
      <c r="B31" s="156" t="s">
        <v>105</v>
      </c>
      <c r="C31" s="156" t="s">
        <v>136</v>
      </c>
      <c r="D31" s="155" t="s">
        <v>137</v>
      </c>
      <c r="E31" s="156" t="s">
        <v>142</v>
      </c>
      <c r="F31" s="156" t="s">
        <v>143</v>
      </c>
      <c r="G31" s="156" t="s">
        <v>144</v>
      </c>
      <c r="H31" s="156" t="s">
        <v>105</v>
      </c>
      <c r="I31" s="156" t="s">
        <v>136</v>
      </c>
      <c r="J31" s="156" t="s">
        <v>137</v>
      </c>
      <c r="K31" s="156" t="s">
        <v>142</v>
      </c>
      <c r="L31" s="156" t="s">
        <v>143</v>
      </c>
      <c r="M31" s="156" t="s">
        <v>144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2">
      <c r="A32" s="73">
        <v>2019</v>
      </c>
      <c r="B32" s="8">
        <f>Safety!B34</f>
        <v>2620153807.8000002</v>
      </c>
      <c r="C32" s="9">
        <f>Safety!C34</f>
        <v>0</v>
      </c>
      <c r="D32" s="8">
        <f>Safety!D34</f>
        <v>0</v>
      </c>
      <c r="E32" s="9">
        <f>($B32/1000000*$B$71)+($C32/1000000*$C$71)+($D32/1000000*$D$71)</f>
        <v>40874.399401680006</v>
      </c>
      <c r="F32" s="8">
        <f>(($B32/1000*$B$74)+($C32/1000*$C$74)+($D32/1000*$D$74))/2000</f>
        <v>694.34075906700002</v>
      </c>
      <c r="G32" s="213">
        <v>0</v>
      </c>
      <c r="H32" s="8">
        <f>Safety!H34</f>
        <v>2620153807.8000002</v>
      </c>
      <c r="I32" s="9">
        <f>Safety!I34</f>
        <v>0</v>
      </c>
      <c r="J32" s="8">
        <f>Safety!J34</f>
        <v>0</v>
      </c>
      <c r="K32" s="9">
        <f>($H32/1000000*$B$71)+($I32/1000000*$C$71)+($J32/1000000*$D$71)</f>
        <v>40874.399401680006</v>
      </c>
      <c r="L32" s="8">
        <f>(($H32/1000*$B$74)+($I32/1000*$C$74)+($J32/1000*$D$74))/2000</f>
        <v>694.34075906700002</v>
      </c>
      <c r="M32" s="213">
        <v>0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2">
      <c r="A33" s="34">
        <f>A32+1</f>
        <v>2020</v>
      </c>
      <c r="B33" s="8">
        <f>Safety!B35</f>
        <v>2620153807.8000002</v>
      </c>
      <c r="C33" s="9">
        <f>Safety!C35</f>
        <v>0</v>
      </c>
      <c r="D33" s="8">
        <f>Safety!D35</f>
        <v>0</v>
      </c>
      <c r="E33" s="9">
        <f t="shared" ref="E33:E55" si="5">(B33/1000000*$B$71)+(C33/1000000*$C$71)+(D33/1000000*$D$71)</f>
        <v>40874.399401680006</v>
      </c>
      <c r="F33" s="8">
        <f t="shared" ref="F33:F55" si="6">(($B33/1000*$B$74)+($C33/1000*$C$74)+($D33/1000*$D$74))/2000</f>
        <v>694.34075906700002</v>
      </c>
      <c r="G33" s="213">
        <v>0</v>
      </c>
      <c r="H33" s="8">
        <f>Safety!H35</f>
        <v>2620153807.8000002</v>
      </c>
      <c r="I33" s="9">
        <f>Safety!I35</f>
        <v>0</v>
      </c>
      <c r="J33" s="8">
        <f>Safety!J35</f>
        <v>0</v>
      </c>
      <c r="K33" s="9">
        <f t="shared" ref="K33:K55" si="7">($H33/1000000*$B$71)+($I33/1000000*$C$71)+($J33/1000000*$D$71)</f>
        <v>40874.399401680006</v>
      </c>
      <c r="L33" s="8">
        <f t="shared" ref="L33:L55" si="8">(($H33/1000*$B$74)+($I33/1000*$C$74)+($J33/1000*$D$74))/2000</f>
        <v>694.34075906700002</v>
      </c>
      <c r="M33" s="213">
        <v>0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2">
      <c r="A34" s="34">
        <f t="shared" ref="A34:A55" si="9">A33+1</f>
        <v>2021</v>
      </c>
      <c r="B34" s="8">
        <f>Safety!B36</f>
        <v>2620153807.8000002</v>
      </c>
      <c r="C34" s="9">
        <f>Safety!C36</f>
        <v>0</v>
      </c>
      <c r="D34" s="8">
        <f>Safety!D36</f>
        <v>0</v>
      </c>
      <c r="E34" s="9">
        <f t="shared" si="5"/>
        <v>40874.399401680006</v>
      </c>
      <c r="F34" s="8">
        <f t="shared" si="6"/>
        <v>694.34075906700002</v>
      </c>
      <c r="G34" s="213">
        <v>0</v>
      </c>
      <c r="H34" s="8">
        <f>Safety!H36</f>
        <v>2620153807.8000002</v>
      </c>
      <c r="I34" s="9">
        <f>Safety!I36</f>
        <v>0</v>
      </c>
      <c r="J34" s="8">
        <f>Safety!J36</f>
        <v>0</v>
      </c>
      <c r="K34" s="9">
        <f t="shared" si="7"/>
        <v>40874.399401680006</v>
      </c>
      <c r="L34" s="8">
        <f t="shared" si="8"/>
        <v>694.34075906700002</v>
      </c>
      <c r="M34" s="213">
        <v>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x14ac:dyDescent="0.2">
      <c r="A35" s="34">
        <f t="shared" si="9"/>
        <v>2022</v>
      </c>
      <c r="B35" s="8">
        <f>Safety!B37</f>
        <v>2620153807.8000002</v>
      </c>
      <c r="C35" s="9">
        <f>Safety!C37</f>
        <v>0</v>
      </c>
      <c r="D35" s="8">
        <f>Safety!D37</f>
        <v>0</v>
      </c>
      <c r="E35" s="9">
        <f t="shared" si="5"/>
        <v>40874.399401680006</v>
      </c>
      <c r="F35" s="8">
        <f t="shared" si="6"/>
        <v>694.34075906700002</v>
      </c>
      <c r="G35" s="213">
        <v>0</v>
      </c>
      <c r="H35" s="8">
        <f>Safety!H37</f>
        <v>2620153807.8000002</v>
      </c>
      <c r="I35" s="9">
        <f>Safety!I37</f>
        <v>0</v>
      </c>
      <c r="J35" s="8">
        <f>Safety!J37</f>
        <v>0</v>
      </c>
      <c r="K35" s="9">
        <f t="shared" si="7"/>
        <v>40874.399401680006</v>
      </c>
      <c r="L35" s="8">
        <f t="shared" si="8"/>
        <v>694.34075906700002</v>
      </c>
      <c r="M35" s="213"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x14ac:dyDescent="0.2">
      <c r="A36" s="34">
        <v>2023</v>
      </c>
      <c r="B36" s="8">
        <f>Safety!B38</f>
        <v>2620153807.8000002</v>
      </c>
      <c r="C36" s="9">
        <f>Safety!C38</f>
        <v>0</v>
      </c>
      <c r="D36" s="8">
        <f>Safety!D38</f>
        <v>0</v>
      </c>
      <c r="E36" s="9">
        <f t="shared" si="5"/>
        <v>40874.399401680006</v>
      </c>
      <c r="F36" s="8">
        <f t="shared" si="6"/>
        <v>694.34075906700002</v>
      </c>
      <c r="G36" s="213">
        <f>E36*$B$61+F36*$B$64</f>
        <v>6012204.9273778796</v>
      </c>
      <c r="H36" s="8">
        <f>Safety!H38</f>
        <v>2434327296.608511</v>
      </c>
      <c r="I36" s="9">
        <f>Safety!I38</f>
        <v>125432895.05425531</v>
      </c>
      <c r="J36" s="8">
        <f>Safety!J38</f>
        <v>13936988.339361701</v>
      </c>
      <c r="K36" s="9">
        <f t="shared" si="7"/>
        <v>42783.766804172556</v>
      </c>
      <c r="L36" s="8">
        <f t="shared" si="8"/>
        <v>830.73741828155335</v>
      </c>
      <c r="M36" s="213">
        <f>K36*$B$61+L36*$B$64</f>
        <v>7187125.5640255315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2">
      <c r="A37" s="34">
        <f t="shared" si="9"/>
        <v>2024</v>
      </c>
      <c r="B37" s="8">
        <f>Safety!B39</f>
        <v>2620153807.8000002</v>
      </c>
      <c r="C37" s="9">
        <f>Safety!C39</f>
        <v>0</v>
      </c>
      <c r="D37" s="8">
        <f>Safety!D39</f>
        <v>0</v>
      </c>
      <c r="E37" s="9">
        <f t="shared" si="5"/>
        <v>40874.399401680006</v>
      </c>
      <c r="F37" s="8">
        <f t="shared" si="6"/>
        <v>694.34075906700002</v>
      </c>
      <c r="G37" s="213">
        <f t="shared" ref="G37:G47" si="10">E37*$B$61+F37*$B$64</f>
        <v>6012204.9273778796</v>
      </c>
      <c r="H37" s="8">
        <f>Safety!H39</f>
        <v>2434327296.608511</v>
      </c>
      <c r="I37" s="9">
        <f>Safety!I39</f>
        <v>125432895.05425531</v>
      </c>
      <c r="J37" s="8">
        <f>Safety!J39</f>
        <v>13936988.339361701</v>
      </c>
      <c r="K37" s="9">
        <f t="shared" si="7"/>
        <v>42783.766804172556</v>
      </c>
      <c r="L37" s="8">
        <f t="shared" si="8"/>
        <v>830.73741828155335</v>
      </c>
      <c r="M37" s="213">
        <f t="shared" ref="M37:M47" si="11">K37*$B$61+L37*$B$64</f>
        <v>7187125.5640255315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2">
      <c r="A38" s="34">
        <f t="shared" si="9"/>
        <v>2025</v>
      </c>
      <c r="B38" s="8">
        <f>Safety!B40</f>
        <v>1728186554.0808511</v>
      </c>
      <c r="C38" s="9">
        <f>Safety!C40</f>
        <v>602077896.26042569</v>
      </c>
      <c r="D38" s="8">
        <f>Safety!D40</f>
        <v>66897544.028936192</v>
      </c>
      <c r="E38" s="9">
        <f t="shared" si="5"/>
        <v>50039.362933644261</v>
      </c>
      <c r="F38" s="8">
        <f t="shared" si="6"/>
        <v>1349.0447232968556</v>
      </c>
      <c r="G38" s="213">
        <f t="shared" si="10"/>
        <v>11651823.983286604</v>
      </c>
      <c r="H38" s="8">
        <f>Safety!H40</f>
        <v>2434327296.608511</v>
      </c>
      <c r="I38" s="9">
        <f>Safety!I40</f>
        <v>125432895.05425531</v>
      </c>
      <c r="J38" s="8">
        <f>Safety!J40</f>
        <v>13936988.339361701</v>
      </c>
      <c r="K38" s="9">
        <f t="shared" si="7"/>
        <v>42783.766804172556</v>
      </c>
      <c r="L38" s="8">
        <f t="shared" si="8"/>
        <v>830.73741828155335</v>
      </c>
      <c r="M38" s="213">
        <f t="shared" si="11"/>
        <v>7187125.5640255315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x14ac:dyDescent="0.2">
      <c r="A39" s="34">
        <f t="shared" si="9"/>
        <v>2026</v>
      </c>
      <c r="B39" s="8">
        <f>Safety!B41</f>
        <v>1728186554.0808511</v>
      </c>
      <c r="C39" s="9">
        <f>Safety!C41</f>
        <v>602077896.26042569</v>
      </c>
      <c r="D39" s="8">
        <f>Safety!D41</f>
        <v>66897544.028936192</v>
      </c>
      <c r="E39" s="9">
        <f t="shared" si="5"/>
        <v>50039.362933644261</v>
      </c>
      <c r="F39" s="8">
        <f t="shared" si="6"/>
        <v>1349.0447232968556</v>
      </c>
      <c r="G39" s="213">
        <f t="shared" si="10"/>
        <v>11651823.983286604</v>
      </c>
      <c r="H39" s="8">
        <f>Safety!H41</f>
        <v>2434327296.608511</v>
      </c>
      <c r="I39" s="9">
        <f>Safety!I41</f>
        <v>125432895.05425531</v>
      </c>
      <c r="J39" s="8">
        <f>Safety!J41</f>
        <v>13936988.339361701</v>
      </c>
      <c r="K39" s="9">
        <f t="shared" si="7"/>
        <v>42783.766804172556</v>
      </c>
      <c r="L39" s="8">
        <f t="shared" si="8"/>
        <v>830.73741828155335</v>
      </c>
      <c r="M39" s="213">
        <f t="shared" si="11"/>
        <v>7187125.5640255315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2">
      <c r="A40" s="34">
        <f t="shared" si="9"/>
        <v>2027</v>
      </c>
      <c r="B40" s="8">
        <f>Safety!B42</f>
        <v>1728186554.0808511</v>
      </c>
      <c r="C40" s="9">
        <f>Safety!C42</f>
        <v>602077896.26042569</v>
      </c>
      <c r="D40" s="8">
        <f>Safety!D42</f>
        <v>66897544.028936192</v>
      </c>
      <c r="E40" s="9">
        <f t="shared" si="5"/>
        <v>50039.362933644261</v>
      </c>
      <c r="F40" s="8">
        <f t="shared" si="6"/>
        <v>1349.0447232968556</v>
      </c>
      <c r="G40" s="213">
        <f t="shared" si="10"/>
        <v>11651823.983286604</v>
      </c>
      <c r="H40" s="8">
        <f>Safety!H42</f>
        <v>2434327296.608511</v>
      </c>
      <c r="I40" s="9">
        <f>Safety!I42</f>
        <v>125432895.05425531</v>
      </c>
      <c r="J40" s="8">
        <f>Safety!J42</f>
        <v>13936988.339361701</v>
      </c>
      <c r="K40" s="9">
        <f t="shared" si="7"/>
        <v>42783.766804172556</v>
      </c>
      <c r="L40" s="8">
        <f t="shared" si="8"/>
        <v>830.73741828155335</v>
      </c>
      <c r="M40" s="213">
        <f t="shared" si="11"/>
        <v>7187125.5640255315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x14ac:dyDescent="0.2">
      <c r="A41" s="34">
        <f t="shared" si="9"/>
        <v>2028</v>
      </c>
      <c r="B41" s="8">
        <f>Safety!B43</f>
        <v>1728186554.0808511</v>
      </c>
      <c r="C41" s="9">
        <f>Safety!C43</f>
        <v>602077896.26042569</v>
      </c>
      <c r="D41" s="8">
        <f>Safety!D43</f>
        <v>66897544.028936192</v>
      </c>
      <c r="E41" s="9">
        <f t="shared" si="5"/>
        <v>50039.362933644261</v>
      </c>
      <c r="F41" s="8">
        <f t="shared" si="6"/>
        <v>1349.0447232968556</v>
      </c>
      <c r="G41" s="213">
        <f t="shared" si="10"/>
        <v>11651823.983286604</v>
      </c>
      <c r="H41" s="8">
        <f>Safety!H43</f>
        <v>2434327296.608511</v>
      </c>
      <c r="I41" s="9">
        <f>Safety!I43</f>
        <v>125432895.05425531</v>
      </c>
      <c r="J41" s="8">
        <f>Safety!J43</f>
        <v>13936988.339361701</v>
      </c>
      <c r="K41" s="9">
        <f t="shared" si="7"/>
        <v>42783.766804172556</v>
      </c>
      <c r="L41" s="8">
        <f t="shared" si="8"/>
        <v>830.73741828155335</v>
      </c>
      <c r="M41" s="213">
        <f t="shared" si="11"/>
        <v>7187125.5640255315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x14ac:dyDescent="0.2">
      <c r="A42" s="34">
        <f t="shared" si="9"/>
        <v>2029</v>
      </c>
      <c r="B42" s="8">
        <f>Safety!B44</f>
        <v>1728186554.0808511</v>
      </c>
      <c r="C42" s="9">
        <f>Safety!C44</f>
        <v>602077896.26042569</v>
      </c>
      <c r="D42" s="8">
        <f>Safety!D44</f>
        <v>66897544.028936192</v>
      </c>
      <c r="E42" s="9">
        <f t="shared" si="5"/>
        <v>50039.362933644261</v>
      </c>
      <c r="F42" s="8">
        <f t="shared" si="6"/>
        <v>1349.0447232968556</v>
      </c>
      <c r="G42" s="213">
        <f t="shared" si="10"/>
        <v>11651823.983286604</v>
      </c>
      <c r="H42" s="8">
        <f>Safety!H44</f>
        <v>2434327296.608511</v>
      </c>
      <c r="I42" s="9">
        <f>Safety!I44</f>
        <v>125432895.05425531</v>
      </c>
      <c r="J42" s="8">
        <f>Safety!J44</f>
        <v>13936988.339361701</v>
      </c>
      <c r="K42" s="9">
        <f t="shared" si="7"/>
        <v>42783.766804172556</v>
      </c>
      <c r="L42" s="8">
        <f t="shared" si="8"/>
        <v>830.73741828155335</v>
      </c>
      <c r="M42" s="213">
        <f t="shared" si="11"/>
        <v>7187125.5640255315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x14ac:dyDescent="0.2">
      <c r="A43" s="34">
        <f t="shared" si="9"/>
        <v>2030</v>
      </c>
      <c r="B43" s="8">
        <f>Safety!B45</f>
        <v>1728186554.0808511</v>
      </c>
      <c r="C43" s="9">
        <f>Safety!C45</f>
        <v>602077896.26042569</v>
      </c>
      <c r="D43" s="8">
        <f>Safety!D45</f>
        <v>66897544.028936192</v>
      </c>
      <c r="E43" s="9">
        <f t="shared" si="5"/>
        <v>50039.362933644261</v>
      </c>
      <c r="F43" s="8">
        <f t="shared" si="6"/>
        <v>1349.0447232968556</v>
      </c>
      <c r="G43" s="213">
        <f t="shared" si="10"/>
        <v>11651823.983286604</v>
      </c>
      <c r="H43" s="8">
        <f>Safety!H45</f>
        <v>2434327296.608511</v>
      </c>
      <c r="I43" s="9">
        <f>Safety!I45</f>
        <v>125432895.05425531</v>
      </c>
      <c r="J43" s="8">
        <f>Safety!J45</f>
        <v>13936988.339361701</v>
      </c>
      <c r="K43" s="9">
        <f t="shared" si="7"/>
        <v>42783.766804172556</v>
      </c>
      <c r="L43" s="8">
        <f t="shared" si="8"/>
        <v>830.73741828155335</v>
      </c>
      <c r="M43" s="213">
        <f t="shared" si="11"/>
        <v>7187125.5640255315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x14ac:dyDescent="0.2">
      <c r="A44" s="34">
        <f t="shared" si="9"/>
        <v>2031</v>
      </c>
      <c r="B44" s="8">
        <f>Safety!B46</f>
        <v>1728186554.0808511</v>
      </c>
      <c r="C44" s="9">
        <f>Safety!C46</f>
        <v>602077896.26042569</v>
      </c>
      <c r="D44" s="8">
        <f>Safety!D46</f>
        <v>66897544.028936192</v>
      </c>
      <c r="E44" s="9">
        <f t="shared" si="5"/>
        <v>50039.362933644261</v>
      </c>
      <c r="F44" s="8">
        <f t="shared" si="6"/>
        <v>1349.0447232968556</v>
      </c>
      <c r="G44" s="213">
        <f t="shared" si="10"/>
        <v>11651823.983286604</v>
      </c>
      <c r="H44" s="8">
        <f>Safety!H46</f>
        <v>2434327296.608511</v>
      </c>
      <c r="I44" s="9">
        <f>Safety!I46</f>
        <v>125432895.05425531</v>
      </c>
      <c r="J44" s="8">
        <f>Safety!J46</f>
        <v>13936988.339361701</v>
      </c>
      <c r="K44" s="9">
        <f t="shared" si="7"/>
        <v>42783.766804172556</v>
      </c>
      <c r="L44" s="8">
        <f t="shared" si="8"/>
        <v>830.73741828155335</v>
      </c>
      <c r="M44" s="213">
        <f t="shared" si="11"/>
        <v>7187125.5640255315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x14ac:dyDescent="0.2">
      <c r="A45" s="34">
        <f t="shared" si="9"/>
        <v>2032</v>
      </c>
      <c r="B45" s="8">
        <f>Safety!B47</f>
        <v>1728186554.0808511</v>
      </c>
      <c r="C45" s="9">
        <f>Safety!C47</f>
        <v>602077896.26042569</v>
      </c>
      <c r="D45" s="8">
        <f>Safety!D47</f>
        <v>66897544.028936192</v>
      </c>
      <c r="E45" s="9">
        <f t="shared" si="5"/>
        <v>50039.362933644261</v>
      </c>
      <c r="F45" s="8">
        <f t="shared" si="6"/>
        <v>1349.0447232968556</v>
      </c>
      <c r="G45" s="213">
        <f t="shared" si="10"/>
        <v>11651823.983286604</v>
      </c>
      <c r="H45" s="8">
        <f>Safety!H47</f>
        <v>2434327296.608511</v>
      </c>
      <c r="I45" s="9">
        <f>Safety!I47</f>
        <v>125432895.05425531</v>
      </c>
      <c r="J45" s="8">
        <f>Safety!J47</f>
        <v>13936988.339361701</v>
      </c>
      <c r="K45" s="9">
        <f t="shared" si="7"/>
        <v>42783.766804172556</v>
      </c>
      <c r="L45" s="8">
        <f t="shared" si="8"/>
        <v>830.73741828155335</v>
      </c>
      <c r="M45" s="213">
        <f t="shared" si="11"/>
        <v>7187125.5640255315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x14ac:dyDescent="0.2">
      <c r="A46" s="34">
        <f t="shared" si="9"/>
        <v>2033</v>
      </c>
      <c r="B46" s="8">
        <f>Safety!B48</f>
        <v>1728186554.0808511</v>
      </c>
      <c r="C46" s="9">
        <f>Safety!C48</f>
        <v>602077896.26042569</v>
      </c>
      <c r="D46" s="8">
        <f>Safety!D48</f>
        <v>66897544.028936192</v>
      </c>
      <c r="E46" s="9">
        <f t="shared" si="5"/>
        <v>50039.362933644261</v>
      </c>
      <c r="F46" s="8">
        <f t="shared" si="6"/>
        <v>1349.0447232968556</v>
      </c>
      <c r="G46" s="213">
        <f t="shared" si="10"/>
        <v>11651823.983286604</v>
      </c>
      <c r="H46" s="8">
        <f>Safety!H48</f>
        <v>2434327296.608511</v>
      </c>
      <c r="I46" s="9">
        <f>Safety!I48</f>
        <v>125432895.05425531</v>
      </c>
      <c r="J46" s="8">
        <f>Safety!J48</f>
        <v>13936988.339361701</v>
      </c>
      <c r="K46" s="9">
        <f t="shared" si="7"/>
        <v>42783.766804172556</v>
      </c>
      <c r="L46" s="8">
        <f t="shared" si="8"/>
        <v>830.73741828155335</v>
      </c>
      <c r="M46" s="213">
        <f t="shared" si="11"/>
        <v>7187125.5640255315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x14ac:dyDescent="0.2">
      <c r="A47" s="34">
        <f t="shared" si="9"/>
        <v>2034</v>
      </c>
      <c r="B47" s="8">
        <f>Safety!B49</f>
        <v>1728186554.0808511</v>
      </c>
      <c r="C47" s="9">
        <f>Safety!C49</f>
        <v>602077896.26042569</v>
      </c>
      <c r="D47" s="8">
        <f>Safety!D49</f>
        <v>66897544.028936192</v>
      </c>
      <c r="E47" s="9">
        <f t="shared" si="5"/>
        <v>50039.362933644261</v>
      </c>
      <c r="F47" s="8">
        <f t="shared" si="6"/>
        <v>1349.0447232968556</v>
      </c>
      <c r="G47" s="213">
        <f t="shared" si="10"/>
        <v>11651823.983286604</v>
      </c>
      <c r="H47" s="8">
        <f>Safety!H49</f>
        <v>2434327296.608511</v>
      </c>
      <c r="I47" s="9">
        <f>Safety!I49</f>
        <v>125432895.05425531</v>
      </c>
      <c r="J47" s="8">
        <f>Safety!J49</f>
        <v>13936988.339361701</v>
      </c>
      <c r="K47" s="9">
        <f t="shared" si="7"/>
        <v>42783.766804172556</v>
      </c>
      <c r="L47" s="8">
        <f t="shared" si="8"/>
        <v>830.73741828155335</v>
      </c>
      <c r="M47" s="213">
        <f t="shared" si="11"/>
        <v>7187125.5640255315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x14ac:dyDescent="0.2">
      <c r="A48" s="34">
        <f t="shared" si="9"/>
        <v>2035</v>
      </c>
      <c r="B48" s="8">
        <f>Safety!B50</f>
        <v>1728186554.0808511</v>
      </c>
      <c r="C48" s="9">
        <f>Safety!C50</f>
        <v>602077896.26042569</v>
      </c>
      <c r="D48" s="8">
        <f>Safety!D50</f>
        <v>66897544.028936192</v>
      </c>
      <c r="E48" s="9">
        <f t="shared" si="5"/>
        <v>50039.362933644261</v>
      </c>
      <c r="F48" s="8">
        <f t="shared" si="6"/>
        <v>1349.0447232968556</v>
      </c>
      <c r="G48" s="213">
        <f>E48*$B$62+F48*$B$64</f>
        <v>11701863.346220247</v>
      </c>
      <c r="H48" s="8">
        <f>Safety!H50</f>
        <v>2434327296.608511</v>
      </c>
      <c r="I48" s="9">
        <f>Safety!I50</f>
        <v>125432895.05425531</v>
      </c>
      <c r="J48" s="8">
        <f>Safety!J50</f>
        <v>13936988.339361701</v>
      </c>
      <c r="K48" s="9">
        <f t="shared" si="7"/>
        <v>42783.766804172556</v>
      </c>
      <c r="L48" s="8">
        <f t="shared" si="8"/>
        <v>830.73741828155335</v>
      </c>
      <c r="M48" s="213">
        <f>K48*$B$62+L48*$B$64</f>
        <v>7229909.3308297042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x14ac:dyDescent="0.2">
      <c r="A49" s="34">
        <f t="shared" si="9"/>
        <v>2036</v>
      </c>
      <c r="B49" s="8">
        <f>Safety!B51</f>
        <v>1728186554.0808511</v>
      </c>
      <c r="C49" s="9">
        <f>Safety!C51</f>
        <v>602077896.26042569</v>
      </c>
      <c r="D49" s="8">
        <f>Safety!D51</f>
        <v>66897544.028936192</v>
      </c>
      <c r="E49" s="9">
        <f t="shared" si="5"/>
        <v>50039.362933644261</v>
      </c>
      <c r="F49" s="8">
        <f t="shared" si="6"/>
        <v>1349.0447232968556</v>
      </c>
      <c r="G49" s="213">
        <f t="shared" ref="G49:G55" si="12">E49*$B$62+F49*$B$64</f>
        <v>11701863.346220247</v>
      </c>
      <c r="H49" s="8">
        <f>Safety!H51</f>
        <v>2434327296.608511</v>
      </c>
      <c r="I49" s="9">
        <f>Safety!I51</f>
        <v>125432895.05425531</v>
      </c>
      <c r="J49" s="8">
        <f>Safety!J51</f>
        <v>13936988.339361701</v>
      </c>
      <c r="K49" s="9">
        <f t="shared" si="7"/>
        <v>42783.766804172556</v>
      </c>
      <c r="L49" s="8">
        <f t="shared" si="8"/>
        <v>830.73741828155335</v>
      </c>
      <c r="M49" s="213">
        <f t="shared" ref="M49:M55" si="13">K49*$B$62+L49*$B$64</f>
        <v>7229909.3308297042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x14ac:dyDescent="0.2">
      <c r="A50" s="34">
        <f t="shared" si="9"/>
        <v>2037</v>
      </c>
      <c r="B50" s="8">
        <f>Safety!B52</f>
        <v>1728186554.0808511</v>
      </c>
      <c r="C50" s="9">
        <f>Safety!C52</f>
        <v>602077896.26042569</v>
      </c>
      <c r="D50" s="8">
        <f>Safety!D52</f>
        <v>66897544.028936192</v>
      </c>
      <c r="E50" s="9">
        <f t="shared" si="5"/>
        <v>50039.362933644261</v>
      </c>
      <c r="F50" s="8">
        <f t="shared" si="6"/>
        <v>1349.0447232968556</v>
      </c>
      <c r="G50" s="213">
        <f t="shared" si="12"/>
        <v>11701863.346220247</v>
      </c>
      <c r="H50" s="8">
        <f>Safety!H52</f>
        <v>2434327296.608511</v>
      </c>
      <c r="I50" s="9">
        <f>Safety!I52</f>
        <v>125432895.05425531</v>
      </c>
      <c r="J50" s="8">
        <f>Safety!J52</f>
        <v>13936988.339361701</v>
      </c>
      <c r="K50" s="9">
        <f t="shared" si="7"/>
        <v>42783.766804172556</v>
      </c>
      <c r="L50" s="8">
        <f t="shared" si="8"/>
        <v>830.73741828155335</v>
      </c>
      <c r="M50" s="213">
        <f t="shared" si="13"/>
        <v>7229909.3308297042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x14ac:dyDescent="0.2">
      <c r="A51" s="34">
        <f t="shared" si="9"/>
        <v>2038</v>
      </c>
      <c r="B51" s="8">
        <f>Safety!B53</f>
        <v>1728186554.0808511</v>
      </c>
      <c r="C51" s="9">
        <f>Safety!C53</f>
        <v>602077896.26042569</v>
      </c>
      <c r="D51" s="8">
        <f>Safety!D53</f>
        <v>66897544.028936192</v>
      </c>
      <c r="E51" s="9">
        <f t="shared" si="5"/>
        <v>50039.362933644261</v>
      </c>
      <c r="F51" s="8">
        <f t="shared" si="6"/>
        <v>1349.0447232968556</v>
      </c>
      <c r="G51" s="213">
        <f t="shared" si="12"/>
        <v>11701863.346220247</v>
      </c>
      <c r="H51" s="8">
        <f>Safety!H53</f>
        <v>2434327296.608511</v>
      </c>
      <c r="I51" s="9">
        <f>Safety!I53</f>
        <v>125432895.05425531</v>
      </c>
      <c r="J51" s="8">
        <f>Safety!J53</f>
        <v>13936988.339361701</v>
      </c>
      <c r="K51" s="9">
        <f t="shared" si="7"/>
        <v>42783.766804172556</v>
      </c>
      <c r="L51" s="8">
        <f t="shared" si="8"/>
        <v>830.73741828155335</v>
      </c>
      <c r="M51" s="213">
        <f t="shared" si="13"/>
        <v>7229909.3308297042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x14ac:dyDescent="0.2">
      <c r="A52" s="34">
        <f t="shared" si="9"/>
        <v>2039</v>
      </c>
      <c r="B52" s="8">
        <f>Safety!B54</f>
        <v>1728186554.0808511</v>
      </c>
      <c r="C52" s="9">
        <f>Safety!C54</f>
        <v>602077896.26042569</v>
      </c>
      <c r="D52" s="8">
        <f>Safety!D54</f>
        <v>66897544.028936192</v>
      </c>
      <c r="E52" s="9">
        <f t="shared" si="5"/>
        <v>50039.362933644261</v>
      </c>
      <c r="F52" s="8">
        <f t="shared" si="6"/>
        <v>1349.0447232968556</v>
      </c>
      <c r="G52" s="213">
        <f t="shared" si="12"/>
        <v>11701863.346220247</v>
      </c>
      <c r="H52" s="8">
        <f>Safety!H54</f>
        <v>2434327296.608511</v>
      </c>
      <c r="I52" s="9">
        <f>Safety!I54</f>
        <v>125432895.05425531</v>
      </c>
      <c r="J52" s="8">
        <f>Safety!J54</f>
        <v>13936988.339361701</v>
      </c>
      <c r="K52" s="9">
        <f t="shared" si="7"/>
        <v>42783.766804172556</v>
      </c>
      <c r="L52" s="8">
        <f t="shared" si="8"/>
        <v>830.73741828155335</v>
      </c>
      <c r="M52" s="213">
        <f t="shared" si="13"/>
        <v>7229909.3308297042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x14ac:dyDescent="0.2">
      <c r="A53" s="34">
        <f t="shared" si="9"/>
        <v>2040</v>
      </c>
      <c r="B53" s="8">
        <f>Safety!B55</f>
        <v>1728186554.0808511</v>
      </c>
      <c r="C53" s="9">
        <f>Safety!C55</f>
        <v>602077896.26042569</v>
      </c>
      <c r="D53" s="8">
        <f>Safety!D55</f>
        <v>66897544.028936192</v>
      </c>
      <c r="E53" s="9">
        <f t="shared" si="5"/>
        <v>50039.362933644261</v>
      </c>
      <c r="F53" s="8">
        <f t="shared" si="6"/>
        <v>1349.0447232968556</v>
      </c>
      <c r="G53" s="213">
        <f t="shared" si="12"/>
        <v>11701863.346220247</v>
      </c>
      <c r="H53" s="8">
        <f>Safety!H55</f>
        <v>2434327296.608511</v>
      </c>
      <c r="I53" s="9">
        <f>Safety!I55</f>
        <v>125432895.05425531</v>
      </c>
      <c r="J53" s="8">
        <f>Safety!J55</f>
        <v>13936988.339361701</v>
      </c>
      <c r="K53" s="9">
        <f t="shared" si="7"/>
        <v>42783.766804172556</v>
      </c>
      <c r="L53" s="8">
        <f t="shared" si="8"/>
        <v>830.73741828155335</v>
      </c>
      <c r="M53" s="213">
        <f t="shared" si="13"/>
        <v>7229909.3308297042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x14ac:dyDescent="0.2">
      <c r="A54" s="34">
        <f t="shared" si="9"/>
        <v>2041</v>
      </c>
      <c r="B54" s="8">
        <f>Safety!B56</f>
        <v>1728186554.0808511</v>
      </c>
      <c r="C54" s="9">
        <f>Safety!C56</f>
        <v>602077896.26042569</v>
      </c>
      <c r="D54" s="8">
        <f>Safety!D56</f>
        <v>66897544.028936192</v>
      </c>
      <c r="E54" s="9">
        <f t="shared" si="5"/>
        <v>50039.362933644261</v>
      </c>
      <c r="F54" s="8">
        <f t="shared" si="6"/>
        <v>1349.0447232968556</v>
      </c>
      <c r="G54" s="213">
        <f t="shared" si="12"/>
        <v>11701863.346220247</v>
      </c>
      <c r="H54" s="8">
        <f>Safety!H56</f>
        <v>2434327296.608511</v>
      </c>
      <c r="I54" s="9">
        <f>Safety!I56</f>
        <v>125432895.05425531</v>
      </c>
      <c r="J54" s="8">
        <f>Safety!J56</f>
        <v>13936988.339361701</v>
      </c>
      <c r="K54" s="9">
        <f t="shared" si="7"/>
        <v>42783.766804172556</v>
      </c>
      <c r="L54" s="8">
        <f t="shared" si="8"/>
        <v>830.73741828155335</v>
      </c>
      <c r="M54" s="213">
        <f t="shared" si="13"/>
        <v>7229909.3308297042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13.5" thickBot="1" x14ac:dyDescent="0.25">
      <c r="A55" s="76">
        <f t="shared" si="9"/>
        <v>2042</v>
      </c>
      <c r="B55" s="8">
        <f>Safety!B57</f>
        <v>1728186554.0808511</v>
      </c>
      <c r="C55" s="9">
        <f>Safety!C57</f>
        <v>602077896.26042569</v>
      </c>
      <c r="D55" s="8">
        <f>Safety!D57</f>
        <v>66897544.028936192</v>
      </c>
      <c r="E55" s="9">
        <f t="shared" si="5"/>
        <v>50039.362933644261</v>
      </c>
      <c r="F55" s="17">
        <f t="shared" si="6"/>
        <v>1349.0447232968556</v>
      </c>
      <c r="G55" s="214">
        <f t="shared" si="12"/>
        <v>11701863.346220247</v>
      </c>
      <c r="H55" s="17">
        <f>Safety!H57</f>
        <v>2434327296.608511</v>
      </c>
      <c r="I55" s="18">
        <f>Safety!I57</f>
        <v>125432895.05425531</v>
      </c>
      <c r="J55" s="17">
        <f>Safety!J57</f>
        <v>13936988.339361701</v>
      </c>
      <c r="K55" s="9">
        <f t="shared" si="7"/>
        <v>42783.766804172556</v>
      </c>
      <c r="L55" s="8">
        <f t="shared" si="8"/>
        <v>830.73741828155335</v>
      </c>
      <c r="M55" s="214">
        <f t="shared" si="13"/>
        <v>7229909.3308297042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ht="13.5" thickTop="1" x14ac:dyDescent="0.2">
      <c r="A56" s="308" t="s">
        <v>0</v>
      </c>
      <c r="B56" s="309"/>
      <c r="C56" s="309"/>
      <c r="D56" s="309"/>
      <c r="E56" s="309"/>
      <c r="F56" s="310"/>
      <c r="G56" s="223">
        <f>SUM(G32:G55)</f>
        <v>222157556.45738384</v>
      </c>
      <c r="H56" s="308" t="s">
        <v>0</v>
      </c>
      <c r="I56" s="309"/>
      <c r="J56" s="309"/>
      <c r="K56" s="309"/>
      <c r="L56" s="310"/>
      <c r="M56" s="222">
        <f>SUM(M32:M55)</f>
        <v>144084781.41494405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x14ac:dyDescent="0.2">
      <c r="A57" s="148" t="s">
        <v>138</v>
      </c>
      <c r="B57" s="148"/>
      <c r="C57" s="148"/>
      <c r="D57" s="148"/>
      <c r="E57" s="148"/>
      <c r="F57" s="148"/>
      <c r="G57" s="148"/>
      <c r="H57" s="148"/>
      <c r="I57" s="148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x14ac:dyDescent="0.2">
      <c r="A59" s="290" t="s">
        <v>14</v>
      </c>
      <c r="B59" s="291"/>
      <c r="C59" s="29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x14ac:dyDescent="0.2">
      <c r="A60" s="158" t="s">
        <v>15</v>
      </c>
      <c r="B60" s="156" t="s">
        <v>56</v>
      </c>
      <c r="C60" s="66" t="s">
        <v>65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x14ac:dyDescent="0.2">
      <c r="A61" s="35" t="s">
        <v>63</v>
      </c>
      <c r="B61" s="224">
        <v>1</v>
      </c>
      <c r="C61" s="225">
        <f>B61/907185</f>
        <v>1.1023109950010196E-6</v>
      </c>
      <c r="D61" s="3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x14ac:dyDescent="0.2">
      <c r="A62" s="81" t="s">
        <v>64</v>
      </c>
      <c r="B62" s="226">
        <v>2</v>
      </c>
      <c r="C62" s="227">
        <f>B62/907185</f>
        <v>2.2046219900020392E-6</v>
      </c>
      <c r="D62" s="3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x14ac:dyDescent="0.2">
      <c r="A63" s="36" t="s">
        <v>16</v>
      </c>
      <c r="B63" s="228">
        <v>2100</v>
      </c>
      <c r="C63" s="228">
        <f>B63/907185</f>
        <v>2.3148530895021413E-3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x14ac:dyDescent="0.2">
      <c r="A64" s="36" t="s">
        <v>17</v>
      </c>
      <c r="B64" s="228">
        <v>8600</v>
      </c>
      <c r="C64" s="228">
        <f t="shared" ref="C64:C66" si="14">B64/907185</f>
        <v>9.4798745570087682E-3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x14ac:dyDescent="0.2">
      <c r="A65" s="36" t="s">
        <v>18</v>
      </c>
      <c r="B65" s="228">
        <v>387300</v>
      </c>
      <c r="C65" s="228">
        <f t="shared" si="14"/>
        <v>0.42692504836389489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x14ac:dyDescent="0.2">
      <c r="A66" s="37" t="s">
        <v>19</v>
      </c>
      <c r="B66" s="229">
        <v>50100</v>
      </c>
      <c r="C66" s="229">
        <f t="shared" si="14"/>
        <v>5.5225780849551084E-2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x14ac:dyDescent="0.2">
      <c r="A67" s="70" t="s">
        <v>66</v>
      </c>
      <c r="B67" s="71"/>
      <c r="C67" s="7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x14ac:dyDescent="0.2">
      <c r="A69" s="328"/>
      <c r="B69" s="327" t="s">
        <v>96</v>
      </c>
      <c r="C69" s="327"/>
      <c r="D69" s="32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x14ac:dyDescent="0.2">
      <c r="A70" s="329"/>
      <c r="B70" s="147" t="s">
        <v>168</v>
      </c>
      <c r="C70" s="147" t="s">
        <v>100</v>
      </c>
      <c r="D70" s="147" t="s">
        <v>48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x14ac:dyDescent="0.2">
      <c r="A71" s="21" t="s">
        <v>97</v>
      </c>
      <c r="B71" s="115">
        <v>15.6</v>
      </c>
      <c r="C71" s="115">
        <v>21.2</v>
      </c>
      <c r="D71" s="115">
        <v>154.19999999999999</v>
      </c>
      <c r="E71" s="45" t="s">
        <v>147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x14ac:dyDescent="0.2">
      <c r="A72" s="21" t="s">
        <v>97</v>
      </c>
      <c r="B72" s="115">
        <v>19.27</v>
      </c>
      <c r="C72" s="115">
        <v>26.88</v>
      </c>
      <c r="D72" s="115">
        <v>71.61</v>
      </c>
      <c r="E72" s="33" t="s">
        <v>155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x14ac:dyDescent="0.2">
      <c r="A73" s="21"/>
      <c r="B73" s="327" t="s">
        <v>103</v>
      </c>
      <c r="C73" s="327"/>
      <c r="D73" s="327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x14ac:dyDescent="0.2">
      <c r="A74" s="21" t="s">
        <v>102</v>
      </c>
      <c r="B74" s="115">
        <v>0.53</v>
      </c>
      <c r="C74" s="115">
        <v>1.83</v>
      </c>
      <c r="D74" s="115">
        <v>10.17</v>
      </c>
      <c r="E74" s="119" t="s">
        <v>101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="33" customFormat="1" x14ac:dyDescent="0.2"/>
    <row r="162" s="33" customFormat="1" x14ac:dyDescent="0.2"/>
    <row r="163" s="33" customFormat="1" x14ac:dyDescent="0.2"/>
    <row r="164" s="33" customFormat="1" x14ac:dyDescent="0.2"/>
    <row r="165" s="33" customFormat="1" x14ac:dyDescent="0.2"/>
    <row r="166" s="33" customFormat="1" x14ac:dyDescent="0.2"/>
    <row r="167" s="33" customFormat="1" x14ac:dyDescent="0.2"/>
    <row r="168" s="33" customFormat="1" x14ac:dyDescent="0.2"/>
    <row r="169" s="33" customFormat="1" x14ac:dyDescent="0.2"/>
    <row r="170" s="33" customFormat="1" x14ac:dyDescent="0.2"/>
    <row r="171" s="33" customFormat="1" x14ac:dyDescent="0.2"/>
    <row r="172" s="33" customFormat="1" x14ac:dyDescent="0.2"/>
    <row r="173" s="33" customFormat="1" x14ac:dyDescent="0.2"/>
    <row r="174" s="33" customFormat="1" x14ac:dyDescent="0.2"/>
    <row r="175" s="33" customFormat="1" x14ac:dyDescent="0.2"/>
    <row r="176" s="33" customFormat="1" x14ac:dyDescent="0.2"/>
    <row r="177" s="33" customFormat="1" x14ac:dyDescent="0.2"/>
    <row r="178" s="33" customFormat="1" x14ac:dyDescent="0.2"/>
    <row r="179" s="33" customFormat="1" x14ac:dyDescent="0.2"/>
    <row r="180" s="33" customFormat="1" x14ac:dyDescent="0.2"/>
    <row r="181" s="33" customFormat="1" x14ac:dyDescent="0.2"/>
    <row r="182" s="33" customFormat="1" x14ac:dyDescent="0.2"/>
    <row r="183" s="33" customFormat="1" x14ac:dyDescent="0.2"/>
    <row r="184" s="33" customFormat="1" x14ac:dyDescent="0.2"/>
    <row r="185" s="33" customFormat="1" x14ac:dyDescent="0.2"/>
    <row r="186" s="33" customFormat="1" x14ac:dyDescent="0.2"/>
    <row r="187" s="33" customFormat="1" x14ac:dyDescent="0.2"/>
    <row r="188" s="33" customFormat="1" x14ac:dyDescent="0.2"/>
    <row r="189" s="33" customFormat="1" x14ac:dyDescent="0.2"/>
    <row r="190" s="33" customFormat="1" x14ac:dyDescent="0.2"/>
    <row r="191" s="33" customFormat="1" x14ac:dyDescent="0.2"/>
    <row r="192" s="33" customFormat="1" x14ac:dyDescent="0.2"/>
    <row r="193" s="33" customFormat="1" x14ac:dyDescent="0.2"/>
    <row r="194" s="33" customFormat="1" x14ac:dyDescent="0.2"/>
    <row r="195" s="33" customFormat="1" x14ac:dyDescent="0.2"/>
    <row r="196" s="33" customFormat="1" x14ac:dyDescent="0.2"/>
    <row r="197" s="33" customFormat="1" x14ac:dyDescent="0.2"/>
    <row r="198" s="33" customFormat="1" x14ac:dyDescent="0.2"/>
    <row r="199" s="33" customFormat="1" x14ac:dyDescent="0.2"/>
    <row r="200" s="33" customFormat="1" x14ac:dyDescent="0.2"/>
    <row r="201" s="33" customFormat="1" x14ac:dyDescent="0.2"/>
    <row r="202" s="33" customFormat="1" x14ac:dyDescent="0.2"/>
    <row r="203" s="33" customFormat="1" x14ac:dyDescent="0.2"/>
    <row r="204" s="33" customFormat="1" x14ac:dyDescent="0.2"/>
    <row r="205" s="33" customFormat="1" x14ac:dyDescent="0.2"/>
    <row r="206" s="33" customFormat="1" x14ac:dyDescent="0.2"/>
    <row r="207" s="33" customFormat="1" x14ac:dyDescent="0.2"/>
    <row r="208" s="33" customFormat="1" x14ac:dyDescent="0.2"/>
    <row r="209" s="33" customFormat="1" x14ac:dyDescent="0.2"/>
    <row r="210" s="33" customFormat="1" x14ac:dyDescent="0.2"/>
    <row r="211" s="33" customFormat="1" x14ac:dyDescent="0.2"/>
    <row r="212" s="33" customFormat="1" x14ac:dyDescent="0.2"/>
    <row r="213" s="33" customFormat="1" x14ac:dyDescent="0.2"/>
    <row r="214" s="33" customFormat="1" x14ac:dyDescent="0.2"/>
    <row r="215" s="33" customFormat="1" x14ac:dyDescent="0.2"/>
    <row r="216" s="33" customFormat="1" x14ac:dyDescent="0.2"/>
    <row r="217" s="33" customFormat="1" x14ac:dyDescent="0.2"/>
    <row r="218" s="33" customFormat="1" x14ac:dyDescent="0.2"/>
    <row r="219" s="33" customFormat="1" x14ac:dyDescent="0.2"/>
    <row r="220" s="33" customFormat="1" x14ac:dyDescent="0.2"/>
    <row r="221" s="33" customFormat="1" x14ac:dyDescent="0.2"/>
    <row r="222" s="33" customFormat="1" x14ac:dyDescent="0.2"/>
    <row r="223" s="33" customFormat="1" x14ac:dyDescent="0.2"/>
    <row r="224" s="33" customFormat="1" x14ac:dyDescent="0.2"/>
    <row r="225" s="33" customFormat="1" x14ac:dyDescent="0.2"/>
    <row r="226" s="33" customFormat="1" x14ac:dyDescent="0.2"/>
    <row r="227" s="33" customFormat="1" x14ac:dyDescent="0.2"/>
    <row r="228" s="33" customFormat="1" x14ac:dyDescent="0.2"/>
    <row r="229" s="33" customFormat="1" x14ac:dyDescent="0.2"/>
    <row r="230" s="33" customFormat="1" x14ac:dyDescent="0.2"/>
    <row r="231" s="33" customFormat="1" x14ac:dyDescent="0.2"/>
    <row r="232" s="33" customFormat="1" x14ac:dyDescent="0.2"/>
    <row r="233" s="33" customFormat="1" x14ac:dyDescent="0.2"/>
    <row r="234" s="33" customFormat="1" x14ac:dyDescent="0.2"/>
    <row r="235" s="33" customFormat="1" x14ac:dyDescent="0.2"/>
    <row r="236" s="33" customFormat="1" x14ac:dyDescent="0.2"/>
    <row r="237" s="33" customFormat="1" x14ac:dyDescent="0.2"/>
    <row r="238" s="33" customFormat="1" x14ac:dyDescent="0.2"/>
    <row r="239" s="33" customFormat="1" x14ac:dyDescent="0.2"/>
    <row r="240" s="33" customFormat="1" x14ac:dyDescent="0.2"/>
    <row r="241" s="33" customFormat="1" x14ac:dyDescent="0.2"/>
    <row r="242" s="33" customFormat="1" x14ac:dyDescent="0.2"/>
    <row r="243" s="33" customFormat="1" x14ac:dyDescent="0.2"/>
    <row r="244" s="33" customFormat="1" x14ac:dyDescent="0.2"/>
    <row r="245" s="33" customFormat="1" x14ac:dyDescent="0.2"/>
    <row r="246" s="33" customFormat="1" x14ac:dyDescent="0.2"/>
    <row r="247" s="33" customFormat="1" x14ac:dyDescent="0.2"/>
    <row r="248" s="33" customFormat="1" x14ac:dyDescent="0.2"/>
    <row r="249" s="33" customFormat="1" x14ac:dyDescent="0.2"/>
    <row r="250" s="33" customFormat="1" x14ac:dyDescent="0.2"/>
    <row r="251" s="33" customFormat="1" x14ac:dyDescent="0.2"/>
    <row r="252" s="33" customFormat="1" x14ac:dyDescent="0.2"/>
    <row r="253" s="33" customFormat="1" x14ac:dyDescent="0.2"/>
    <row r="254" s="33" customFormat="1" x14ac:dyDescent="0.2"/>
    <row r="255" s="33" customFormat="1" x14ac:dyDescent="0.2"/>
    <row r="256" s="33" customFormat="1" x14ac:dyDescent="0.2"/>
    <row r="257" s="33" customFormat="1" x14ac:dyDescent="0.2"/>
    <row r="258" s="33" customFormat="1" x14ac:dyDescent="0.2"/>
    <row r="259" s="33" customFormat="1" x14ac:dyDescent="0.2"/>
    <row r="260" s="33" customFormat="1" x14ac:dyDescent="0.2"/>
    <row r="261" s="33" customFormat="1" x14ac:dyDescent="0.2"/>
    <row r="262" s="33" customFormat="1" x14ac:dyDescent="0.2"/>
    <row r="263" s="33" customFormat="1" x14ac:dyDescent="0.2"/>
    <row r="264" s="33" customFormat="1" x14ac:dyDescent="0.2"/>
    <row r="265" s="33" customFormat="1" x14ac:dyDescent="0.2"/>
    <row r="266" s="33" customFormat="1" x14ac:dyDescent="0.2"/>
    <row r="267" s="33" customFormat="1" x14ac:dyDescent="0.2"/>
    <row r="268" s="33" customFormat="1" x14ac:dyDescent="0.2"/>
    <row r="269" s="33" customFormat="1" x14ac:dyDescent="0.2"/>
    <row r="270" s="33" customFormat="1" x14ac:dyDescent="0.2"/>
    <row r="271" s="33" customFormat="1" x14ac:dyDescent="0.2"/>
    <row r="272" s="33" customFormat="1" x14ac:dyDescent="0.2"/>
    <row r="273" s="33" customFormat="1" x14ac:dyDescent="0.2"/>
    <row r="274" s="33" customFormat="1" x14ac:dyDescent="0.2"/>
    <row r="275" s="33" customFormat="1" x14ac:dyDescent="0.2"/>
    <row r="276" s="33" customFormat="1" x14ac:dyDescent="0.2"/>
    <row r="277" s="33" customFormat="1" x14ac:dyDescent="0.2"/>
    <row r="278" s="33" customFormat="1" x14ac:dyDescent="0.2"/>
    <row r="279" s="33" customFormat="1" x14ac:dyDescent="0.2"/>
    <row r="280" s="33" customFormat="1" x14ac:dyDescent="0.2"/>
    <row r="281" s="33" customFormat="1" x14ac:dyDescent="0.2"/>
    <row r="282" s="33" customFormat="1" x14ac:dyDescent="0.2"/>
    <row r="283" s="33" customFormat="1" x14ac:dyDescent="0.2"/>
    <row r="284" s="33" customFormat="1" x14ac:dyDescent="0.2"/>
    <row r="285" s="33" customFormat="1" x14ac:dyDescent="0.2"/>
    <row r="286" s="33" customFormat="1" x14ac:dyDescent="0.2"/>
    <row r="287" s="33" customFormat="1" x14ac:dyDescent="0.2"/>
    <row r="288" s="33" customFormat="1" x14ac:dyDescent="0.2"/>
    <row r="289" s="33" customFormat="1" x14ac:dyDescent="0.2"/>
    <row r="290" s="33" customFormat="1" x14ac:dyDescent="0.2"/>
    <row r="291" s="33" customFormat="1" x14ac:dyDescent="0.2"/>
    <row r="292" s="33" customFormat="1" x14ac:dyDescent="0.2"/>
    <row r="293" s="33" customFormat="1" x14ac:dyDescent="0.2"/>
    <row r="294" s="33" customFormat="1" x14ac:dyDescent="0.2"/>
    <row r="295" s="33" customFormat="1" x14ac:dyDescent="0.2"/>
    <row r="296" s="33" customFormat="1" x14ac:dyDescent="0.2"/>
    <row r="297" s="33" customFormat="1" x14ac:dyDescent="0.2"/>
    <row r="298" s="33" customFormat="1" x14ac:dyDescent="0.2"/>
    <row r="299" s="33" customFormat="1" x14ac:dyDescent="0.2"/>
    <row r="300" s="33" customFormat="1" x14ac:dyDescent="0.2"/>
    <row r="301" s="33" customFormat="1" x14ac:dyDescent="0.2"/>
    <row r="302" s="33" customFormat="1" x14ac:dyDescent="0.2"/>
    <row r="303" s="33" customFormat="1" x14ac:dyDescent="0.2"/>
    <row r="304" s="33" customFormat="1" x14ac:dyDescent="0.2"/>
    <row r="305" s="33" customFormat="1" x14ac:dyDescent="0.2"/>
    <row r="306" s="33" customFormat="1" x14ac:dyDescent="0.2"/>
    <row r="307" s="33" customFormat="1" x14ac:dyDescent="0.2"/>
    <row r="308" s="33" customFormat="1" x14ac:dyDescent="0.2"/>
    <row r="309" s="33" customFormat="1" x14ac:dyDescent="0.2"/>
    <row r="310" s="33" customFormat="1" x14ac:dyDescent="0.2"/>
    <row r="311" s="33" customFormat="1" x14ac:dyDescent="0.2"/>
    <row r="312" s="33" customFormat="1" x14ac:dyDescent="0.2"/>
    <row r="313" s="33" customFormat="1" x14ac:dyDescent="0.2"/>
    <row r="314" s="33" customFormat="1" x14ac:dyDescent="0.2"/>
    <row r="315" s="33" customFormat="1" x14ac:dyDescent="0.2"/>
    <row r="316" s="33" customFormat="1" x14ac:dyDescent="0.2"/>
    <row r="317" s="33" customFormat="1" x14ac:dyDescent="0.2"/>
    <row r="318" s="33" customFormat="1" x14ac:dyDescent="0.2"/>
    <row r="319" s="33" customFormat="1" x14ac:dyDescent="0.2"/>
    <row r="320" s="33" customFormat="1" x14ac:dyDescent="0.2"/>
    <row r="321" s="33" customFormat="1" x14ac:dyDescent="0.2"/>
    <row r="322" s="33" customFormat="1" x14ac:dyDescent="0.2"/>
    <row r="323" s="33" customFormat="1" x14ac:dyDescent="0.2"/>
    <row r="324" s="33" customFormat="1" x14ac:dyDescent="0.2"/>
    <row r="325" s="33" customFormat="1" x14ac:dyDescent="0.2"/>
    <row r="326" s="33" customFormat="1" x14ac:dyDescent="0.2"/>
    <row r="327" s="33" customFormat="1" x14ac:dyDescent="0.2"/>
    <row r="328" s="33" customFormat="1" x14ac:dyDescent="0.2"/>
    <row r="329" s="33" customFormat="1" x14ac:dyDescent="0.2"/>
    <row r="330" s="33" customFormat="1" x14ac:dyDescent="0.2"/>
    <row r="331" s="33" customFormat="1" x14ac:dyDescent="0.2"/>
    <row r="332" s="33" customFormat="1" x14ac:dyDescent="0.2"/>
    <row r="333" s="33" customFormat="1" x14ac:dyDescent="0.2"/>
    <row r="334" s="33" customFormat="1" x14ac:dyDescent="0.2"/>
    <row r="335" s="33" customFormat="1" x14ac:dyDescent="0.2"/>
    <row r="336" s="33" customFormat="1" x14ac:dyDescent="0.2"/>
    <row r="337" s="33" customFormat="1" x14ac:dyDescent="0.2"/>
    <row r="338" s="33" customFormat="1" x14ac:dyDescent="0.2"/>
    <row r="339" s="33" customFormat="1" x14ac:dyDescent="0.2"/>
    <row r="340" s="33" customFormat="1" x14ac:dyDescent="0.2"/>
    <row r="341" s="33" customFormat="1" x14ac:dyDescent="0.2"/>
    <row r="342" s="33" customFormat="1" x14ac:dyDescent="0.2"/>
    <row r="343" s="33" customFormat="1" x14ac:dyDescent="0.2"/>
    <row r="344" s="33" customFormat="1" x14ac:dyDescent="0.2"/>
    <row r="345" s="33" customFormat="1" x14ac:dyDescent="0.2"/>
    <row r="346" s="33" customFormat="1" x14ac:dyDescent="0.2"/>
    <row r="347" s="33" customFormat="1" x14ac:dyDescent="0.2"/>
    <row r="348" s="33" customFormat="1" x14ac:dyDescent="0.2"/>
    <row r="349" s="33" customFormat="1" x14ac:dyDescent="0.2"/>
    <row r="350" s="33" customFormat="1" x14ac:dyDescent="0.2"/>
    <row r="351" s="33" customFormat="1" x14ac:dyDescent="0.2"/>
    <row r="352" s="33" customFormat="1" x14ac:dyDescent="0.2"/>
    <row r="353" spans="9:29" s="33" customFormat="1" x14ac:dyDescent="0.2"/>
    <row r="354" spans="9:29" s="33" customFormat="1" x14ac:dyDescent="0.2"/>
    <row r="355" spans="9:29" s="33" customFormat="1" x14ac:dyDescent="0.2"/>
    <row r="356" spans="9:29" s="33" customFormat="1" x14ac:dyDescent="0.2"/>
    <row r="357" spans="9:29" s="33" customFormat="1" x14ac:dyDescent="0.2"/>
    <row r="358" spans="9:29" s="33" customFormat="1" x14ac:dyDescent="0.2"/>
    <row r="359" spans="9:29" s="33" customFormat="1" x14ac:dyDescent="0.2"/>
    <row r="360" spans="9:29" s="33" customFormat="1" x14ac:dyDescent="0.2"/>
    <row r="361" spans="9:29" x14ac:dyDescent="0.2"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</row>
    <row r="362" spans="9:29" x14ac:dyDescent="0.2"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</row>
    <row r="363" spans="9:29" x14ac:dyDescent="0.2"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</row>
    <row r="364" spans="9:29" x14ac:dyDescent="0.2"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</row>
  </sheetData>
  <mergeCells count="13">
    <mergeCell ref="A1:C1"/>
    <mergeCell ref="A2:B2"/>
    <mergeCell ref="A3:B3"/>
    <mergeCell ref="A59:C59"/>
    <mergeCell ref="A5:E5"/>
    <mergeCell ref="B73:D73"/>
    <mergeCell ref="B30:G30"/>
    <mergeCell ref="H30:M30"/>
    <mergeCell ref="H56:L56"/>
    <mergeCell ref="A56:F56"/>
    <mergeCell ref="A69:A70"/>
    <mergeCell ref="B69:D69"/>
    <mergeCell ref="A30:A31"/>
  </mergeCells>
  <hyperlinks>
    <hyperlink ref="E74" r:id="rId1" xr:uid="{C8162638-C0F0-4003-A051-9209FD17CD89}"/>
  </hyperlinks>
  <pageMargins left="0.25" right="0.25" top="0.75" bottom="0.75" header="0.3" footer="0.3"/>
  <pageSetup paperSize="3" scale="94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9B21-627E-436F-8CA3-0DD0A72536A2}">
  <sheetPr>
    <tabColor theme="6"/>
  </sheetPr>
  <dimension ref="A1:CZ302"/>
  <sheetViews>
    <sheetView topLeftCell="A11" workbookViewId="0">
      <selection activeCell="F14" sqref="F14"/>
    </sheetView>
  </sheetViews>
  <sheetFormatPr defaultRowHeight="12.75" x14ac:dyDescent="0.2"/>
  <cols>
    <col min="1" max="1" width="22.7109375" customWidth="1"/>
    <col min="2" max="2" width="16.42578125" customWidth="1"/>
    <col min="3" max="3" width="13.140625" customWidth="1"/>
    <col min="4" max="4" width="13.7109375" customWidth="1"/>
    <col min="5" max="6" width="14.140625" bestFit="1" customWidth="1"/>
    <col min="21" max="104" width="8.85546875" style="33"/>
  </cols>
  <sheetData>
    <row r="1" spans="1:20" ht="23.25" x14ac:dyDescent="0.35">
      <c r="A1" s="118" t="s">
        <v>106</v>
      </c>
      <c r="B1" s="45"/>
      <c r="C1" s="45"/>
      <c r="D1" s="45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x14ac:dyDescent="0.2">
      <c r="A2" s="45"/>
      <c r="B2" s="45"/>
      <c r="C2" s="45"/>
      <c r="D2" s="4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x14ac:dyDescent="0.2">
      <c r="A3" s="327" t="s">
        <v>121</v>
      </c>
      <c r="B3" s="327"/>
      <c r="C3" s="327"/>
      <c r="D3" s="32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x14ac:dyDescent="0.2">
      <c r="A4" s="116" t="s">
        <v>109</v>
      </c>
      <c r="B4" s="117" t="s">
        <v>107</v>
      </c>
      <c r="C4" s="117" t="s">
        <v>104</v>
      </c>
      <c r="D4" s="117" t="s">
        <v>108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">
      <c r="A5" s="120" t="s">
        <v>110</v>
      </c>
      <c r="B5" s="123">
        <v>539800</v>
      </c>
      <c r="C5" s="137">
        <f>B5*$B$47</f>
        <v>228569313.33333334</v>
      </c>
      <c r="D5" s="230">
        <v>303977574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">
      <c r="A6" s="120" t="s">
        <v>111</v>
      </c>
      <c r="B6" s="123">
        <v>2524975</v>
      </c>
      <c r="C6" s="137">
        <f t="shared" ref="C6:C15" si="0">B6*$B$47</f>
        <v>1069158580.8333334</v>
      </c>
      <c r="D6" s="230">
        <v>1041451188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">
      <c r="A7" s="120" t="s">
        <v>112</v>
      </c>
      <c r="B7" s="123">
        <v>281397</v>
      </c>
      <c r="C7" s="137">
        <f t="shared" si="0"/>
        <v>119152869.7</v>
      </c>
      <c r="D7" s="230">
        <v>116065007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">
      <c r="A8" s="120" t="s">
        <v>113</v>
      </c>
      <c r="B8" s="123">
        <v>64400</v>
      </c>
      <c r="C8" s="137">
        <f t="shared" si="0"/>
        <v>27269106.666666668</v>
      </c>
      <c r="D8" s="230">
        <v>21183092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">
      <c r="A9" s="120" t="s">
        <v>114</v>
      </c>
      <c r="B9" s="123">
        <v>154000</v>
      </c>
      <c r="C9" s="137">
        <f t="shared" si="0"/>
        <v>65208733.333333336</v>
      </c>
      <c r="D9" s="230">
        <v>1276660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">
      <c r="A10" s="120" t="s">
        <v>115</v>
      </c>
      <c r="B10" s="123">
        <v>309400</v>
      </c>
      <c r="C10" s="137">
        <f t="shared" si="0"/>
        <v>131010273.33333333</v>
      </c>
      <c r="D10" s="230">
        <v>14387100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">
      <c r="A11" s="120" t="s">
        <v>116</v>
      </c>
      <c r="B11" s="123">
        <v>140000</v>
      </c>
      <c r="C11" s="137">
        <f t="shared" si="0"/>
        <v>59280666.666666664</v>
      </c>
      <c r="D11" s="230">
        <v>115143000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">
      <c r="A12" s="120" t="s">
        <v>117</v>
      </c>
      <c r="B12" s="123">
        <v>229600</v>
      </c>
      <c r="C12" s="137">
        <f t="shared" si="0"/>
        <v>97220293.333333328</v>
      </c>
      <c r="D12" s="230">
        <v>48585656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">
      <c r="A13" s="120" t="s">
        <v>118</v>
      </c>
      <c r="B13" s="123">
        <v>1156300</v>
      </c>
      <c r="C13" s="137">
        <f t="shared" si="0"/>
        <v>489615963.33333331</v>
      </c>
      <c r="D13" s="230">
        <v>151544678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">
      <c r="A14" s="120" t="s">
        <v>119</v>
      </c>
      <c r="B14" s="123">
        <v>9206</v>
      </c>
      <c r="C14" s="137">
        <f t="shared" si="0"/>
        <v>3898127.2666666666</v>
      </c>
      <c r="D14" s="230">
        <v>46030000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3.5" thickBot="1" x14ac:dyDescent="0.25">
      <c r="A15" s="122" t="s">
        <v>120</v>
      </c>
      <c r="B15" s="124">
        <v>778800</v>
      </c>
      <c r="C15" s="124">
        <f t="shared" si="0"/>
        <v>329769880</v>
      </c>
      <c r="D15" s="231">
        <v>293950272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3.5" thickTop="1" x14ac:dyDescent="0.2">
      <c r="A16" s="121" t="s">
        <v>0</v>
      </c>
      <c r="B16" s="125">
        <f>SUM(B5:B15)</f>
        <v>6187878</v>
      </c>
      <c r="C16" s="125">
        <f>SUM(C5:C15)</f>
        <v>2620153807.8000002</v>
      </c>
      <c r="D16" s="232">
        <f>SUM(D5:D15)</f>
        <v>2153594227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5.5" customHeight="1" x14ac:dyDescent="0.2">
      <c r="A17" s="334" t="s">
        <v>212</v>
      </c>
      <c r="B17" s="334"/>
      <c r="C17" s="334"/>
      <c r="D17" s="33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">
      <c r="A18" s="150"/>
      <c r="B18" s="150"/>
      <c r="C18" s="150"/>
      <c r="D18" s="15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">
      <c r="A19" s="128" t="s">
        <v>141</v>
      </c>
      <c r="B19" s="150"/>
      <c r="C19" s="150"/>
      <c r="D19" s="15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">
      <c r="A20" s="233">
        <f>D16/B16</f>
        <v>348.03437091035084</v>
      </c>
      <c r="B20" s="150"/>
      <c r="C20" s="150"/>
      <c r="D20" s="15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">
      <c r="A21" s="45"/>
      <c r="B21" s="45"/>
      <c r="C21" s="45"/>
      <c r="D21" s="45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">
      <c r="A22" s="128" t="s">
        <v>123</v>
      </c>
      <c r="B22" s="116" t="s">
        <v>107</v>
      </c>
      <c r="C22" s="126"/>
      <c r="D22" s="126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">
      <c r="A23" s="21">
        <v>2015</v>
      </c>
      <c r="B23" s="130">
        <v>705340</v>
      </c>
      <c r="C23" s="39"/>
      <c r="D23" s="39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">
      <c r="A24" s="21">
        <v>2016</v>
      </c>
      <c r="B24" s="130">
        <v>578614</v>
      </c>
      <c r="C24" s="39"/>
      <c r="D24" s="39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">
      <c r="A25" s="21">
        <v>2017</v>
      </c>
      <c r="B25" s="130">
        <v>696719</v>
      </c>
      <c r="C25" s="39"/>
      <c r="D25" s="39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">
      <c r="A26" s="21">
        <v>2018</v>
      </c>
      <c r="B26" s="130">
        <v>658304</v>
      </c>
      <c r="C26" s="39"/>
      <c r="D26" s="39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">
      <c r="A27" s="21">
        <v>2019</v>
      </c>
      <c r="B27" s="130">
        <v>316547</v>
      </c>
      <c r="C27" s="39"/>
      <c r="D27" s="39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">
      <c r="A28" s="21" t="s">
        <v>122</v>
      </c>
      <c r="B28" s="130">
        <f>AVERAGE(B23:B26)</f>
        <v>659744.25</v>
      </c>
      <c r="C28" s="39"/>
      <c r="D28" s="3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">
      <c r="A29" s="335" t="s">
        <v>124</v>
      </c>
      <c r="B29" s="336"/>
      <c r="C29" s="127"/>
      <c r="D29" s="12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">
      <c r="A30" s="45"/>
      <c r="B30" s="114"/>
      <c r="C30" s="114"/>
      <c r="D30" s="11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">
      <c r="A31" s="128" t="s">
        <v>125</v>
      </c>
      <c r="B31" s="116" t="s">
        <v>130</v>
      </c>
      <c r="C31" s="116" t="s">
        <v>131</v>
      </c>
      <c r="D31" s="116" t="s">
        <v>132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">
      <c r="A32" s="21">
        <v>2015</v>
      </c>
      <c r="B32" s="130"/>
      <c r="C32" s="130"/>
      <c r="D32" s="130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">
      <c r="A33" s="21">
        <v>2016</v>
      </c>
      <c r="B33" s="130"/>
      <c r="C33" s="130"/>
      <c r="D33" s="130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">
      <c r="A34" s="21">
        <v>2017</v>
      </c>
      <c r="B34" s="130"/>
      <c r="C34" s="130"/>
      <c r="D34" s="130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">
      <c r="A35" s="21">
        <v>2018</v>
      </c>
      <c r="B35" s="130">
        <v>10932172</v>
      </c>
      <c r="C35" s="135">
        <v>0.19</v>
      </c>
      <c r="D35" s="130">
        <f>C35*B35</f>
        <v>2077112.68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13.5" thickBot="1" x14ac:dyDescent="0.25">
      <c r="A36" s="132">
        <v>2019</v>
      </c>
      <c r="B36" s="133">
        <v>8480645</v>
      </c>
      <c r="C36" s="136">
        <v>0.16</v>
      </c>
      <c r="D36" s="133">
        <f>C36*B36</f>
        <v>1356903.2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3.5" thickTop="1" x14ac:dyDescent="0.2">
      <c r="A37" s="121"/>
      <c r="B37" s="131"/>
      <c r="C37" s="131"/>
      <c r="D37" s="1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">
      <c r="A38" s="335" t="s">
        <v>126</v>
      </c>
      <c r="B38" s="336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">
      <c r="A41" s="128" t="s">
        <v>127</v>
      </c>
      <c r="B41" s="116" t="s">
        <v>128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">
      <c r="A42" s="21" t="s">
        <v>211</v>
      </c>
      <c r="B42" s="129">
        <v>308.7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">
      <c r="A43" s="21" t="s">
        <v>123</v>
      </c>
      <c r="B43" s="129">
        <v>393.5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">
      <c r="A44" s="21" t="s">
        <v>213</v>
      </c>
      <c r="B44" s="129">
        <v>432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13.5" thickBot="1" x14ac:dyDescent="0.25">
      <c r="A45" s="132" t="s">
        <v>125</v>
      </c>
      <c r="B45" s="134">
        <v>444.8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13.5" thickTop="1" x14ac:dyDescent="0.2">
      <c r="A46" s="121" t="s">
        <v>133</v>
      </c>
      <c r="B46" s="159">
        <f>B45-B42</f>
        <v>136.10000000000002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">
      <c r="A47" s="21" t="s">
        <v>134</v>
      </c>
      <c r="B47" s="160">
        <f>AVERAGE(B43:B45)</f>
        <v>423.43333333333334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">
      <c r="A48" s="119" t="s">
        <v>129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104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104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CU50"/>
      <c r="CV50"/>
      <c r="CW50"/>
      <c r="CX50"/>
      <c r="CY50"/>
      <c r="CZ50"/>
    </row>
    <row r="51" spans="1:104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CU51"/>
      <c r="CV51"/>
      <c r="CW51"/>
      <c r="CX51"/>
      <c r="CY51"/>
      <c r="CZ51"/>
    </row>
    <row r="52" spans="1:104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CU52"/>
      <c r="CV52"/>
      <c r="CW52"/>
      <c r="CX52"/>
      <c r="CY52"/>
      <c r="CZ52"/>
    </row>
    <row r="53" spans="1:104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CU53"/>
      <c r="CV53"/>
      <c r="CW53"/>
      <c r="CX53"/>
      <c r="CY53"/>
      <c r="CZ53"/>
    </row>
    <row r="54" spans="1:104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CU54"/>
      <c r="CV54"/>
      <c r="CW54"/>
      <c r="CX54"/>
      <c r="CY54"/>
      <c r="CZ54"/>
    </row>
    <row r="55" spans="1:104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CU55"/>
      <c r="CV55"/>
      <c r="CW55"/>
      <c r="CX55"/>
      <c r="CY55"/>
      <c r="CZ55"/>
    </row>
    <row r="56" spans="1:104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CU56"/>
      <c r="CV56"/>
      <c r="CW56"/>
      <c r="CX56"/>
      <c r="CY56"/>
      <c r="CZ56"/>
    </row>
    <row r="57" spans="1:104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CU57"/>
      <c r="CV57"/>
      <c r="CW57"/>
      <c r="CX57"/>
      <c r="CY57"/>
      <c r="CZ57"/>
    </row>
    <row r="58" spans="1:104" s="33" customFormat="1" x14ac:dyDescent="0.2"/>
    <row r="59" spans="1:104" s="33" customFormat="1" x14ac:dyDescent="0.2"/>
    <row r="60" spans="1:104" s="33" customFormat="1" x14ac:dyDescent="0.2"/>
    <row r="61" spans="1:104" s="33" customFormat="1" x14ac:dyDescent="0.2"/>
    <row r="62" spans="1:104" s="33" customFormat="1" x14ac:dyDescent="0.2"/>
    <row r="63" spans="1:104" s="33" customFormat="1" x14ac:dyDescent="0.2"/>
    <row r="64" spans="1:104" s="33" customFormat="1" x14ac:dyDescent="0.2"/>
    <row r="65" s="33" customFormat="1" x14ac:dyDescent="0.2"/>
    <row r="66" s="33" customFormat="1" x14ac:dyDescent="0.2"/>
    <row r="67" s="33" customFormat="1" x14ac:dyDescent="0.2"/>
    <row r="68" s="33" customFormat="1" x14ac:dyDescent="0.2"/>
    <row r="69" s="33" customFormat="1" x14ac:dyDescent="0.2"/>
    <row r="70" s="33" customFormat="1" x14ac:dyDescent="0.2"/>
    <row r="71" s="33" customFormat="1" x14ac:dyDescent="0.2"/>
    <row r="72" s="33" customFormat="1" x14ac:dyDescent="0.2"/>
    <row r="73" s="33" customFormat="1" x14ac:dyDescent="0.2"/>
    <row r="74" s="33" customFormat="1" x14ac:dyDescent="0.2"/>
    <row r="75" s="33" customFormat="1" x14ac:dyDescent="0.2"/>
    <row r="76" s="33" customFormat="1" x14ac:dyDescent="0.2"/>
    <row r="77" s="33" customFormat="1" x14ac:dyDescent="0.2"/>
    <row r="78" s="33" customFormat="1" x14ac:dyDescent="0.2"/>
    <row r="79" s="33" customFormat="1" x14ac:dyDescent="0.2"/>
    <row r="80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  <row r="112" s="33" customFormat="1" x14ac:dyDescent="0.2"/>
    <row r="113" s="33" customFormat="1" x14ac:dyDescent="0.2"/>
    <row r="114" s="33" customFormat="1" x14ac:dyDescent="0.2"/>
    <row r="115" s="33" customFormat="1" x14ac:dyDescent="0.2"/>
    <row r="116" s="33" customFormat="1" x14ac:dyDescent="0.2"/>
    <row r="117" s="33" customFormat="1" x14ac:dyDescent="0.2"/>
    <row r="118" s="33" customFormat="1" x14ac:dyDescent="0.2"/>
    <row r="119" s="33" customFormat="1" x14ac:dyDescent="0.2"/>
    <row r="120" s="33" customFormat="1" x14ac:dyDescent="0.2"/>
    <row r="121" s="33" customFormat="1" x14ac:dyDescent="0.2"/>
    <row r="122" s="33" customFormat="1" x14ac:dyDescent="0.2"/>
    <row r="123" s="33" customFormat="1" x14ac:dyDescent="0.2"/>
    <row r="124" s="33" customFormat="1" x14ac:dyDescent="0.2"/>
    <row r="125" s="33" customFormat="1" x14ac:dyDescent="0.2"/>
    <row r="126" s="33" customFormat="1" x14ac:dyDescent="0.2"/>
    <row r="127" s="33" customFormat="1" x14ac:dyDescent="0.2"/>
    <row r="128" s="33" customFormat="1" x14ac:dyDescent="0.2"/>
    <row r="129" s="33" customFormat="1" x14ac:dyDescent="0.2"/>
    <row r="130" s="33" customFormat="1" x14ac:dyDescent="0.2"/>
    <row r="131" s="33" customFormat="1" x14ac:dyDescent="0.2"/>
    <row r="132" s="33" customFormat="1" x14ac:dyDescent="0.2"/>
    <row r="133" s="33" customFormat="1" x14ac:dyDescent="0.2"/>
    <row r="134" s="33" customFormat="1" x14ac:dyDescent="0.2"/>
    <row r="135" s="33" customFormat="1" x14ac:dyDescent="0.2"/>
    <row r="136" s="33" customFormat="1" x14ac:dyDescent="0.2"/>
    <row r="137" s="33" customFormat="1" x14ac:dyDescent="0.2"/>
    <row r="138" s="33" customFormat="1" x14ac:dyDescent="0.2"/>
    <row r="139" s="33" customFormat="1" x14ac:dyDescent="0.2"/>
    <row r="140" s="33" customFormat="1" x14ac:dyDescent="0.2"/>
    <row r="141" s="33" customFormat="1" x14ac:dyDescent="0.2"/>
    <row r="142" s="33" customFormat="1" x14ac:dyDescent="0.2"/>
    <row r="143" s="33" customFormat="1" x14ac:dyDescent="0.2"/>
    <row r="144" s="33" customFormat="1" x14ac:dyDescent="0.2"/>
    <row r="145" s="33" customFormat="1" x14ac:dyDescent="0.2"/>
    <row r="146" s="33" customFormat="1" x14ac:dyDescent="0.2"/>
    <row r="147" s="33" customFormat="1" x14ac:dyDescent="0.2"/>
    <row r="148" s="33" customFormat="1" x14ac:dyDescent="0.2"/>
    <row r="149" s="33" customFormat="1" x14ac:dyDescent="0.2"/>
    <row r="150" s="33" customFormat="1" x14ac:dyDescent="0.2"/>
    <row r="151" s="33" customFormat="1" x14ac:dyDescent="0.2"/>
    <row r="152" s="33" customFormat="1" x14ac:dyDescent="0.2"/>
    <row r="153" s="33" customFormat="1" x14ac:dyDescent="0.2"/>
    <row r="154" s="33" customFormat="1" x14ac:dyDescent="0.2"/>
    <row r="155" s="33" customFormat="1" x14ac:dyDescent="0.2"/>
    <row r="156" s="33" customFormat="1" x14ac:dyDescent="0.2"/>
    <row r="157" s="33" customFormat="1" x14ac:dyDescent="0.2"/>
    <row r="158" s="33" customFormat="1" x14ac:dyDescent="0.2"/>
    <row r="159" s="33" customFormat="1" x14ac:dyDescent="0.2"/>
    <row r="160" s="33" customFormat="1" x14ac:dyDescent="0.2"/>
    <row r="161" s="33" customFormat="1" x14ac:dyDescent="0.2"/>
    <row r="162" s="33" customFormat="1" x14ac:dyDescent="0.2"/>
    <row r="163" s="33" customFormat="1" x14ac:dyDescent="0.2"/>
    <row r="164" s="33" customFormat="1" x14ac:dyDescent="0.2"/>
    <row r="165" s="33" customFormat="1" x14ac:dyDescent="0.2"/>
    <row r="166" s="33" customFormat="1" x14ac:dyDescent="0.2"/>
    <row r="167" s="33" customFormat="1" x14ac:dyDescent="0.2"/>
    <row r="168" s="33" customFormat="1" x14ac:dyDescent="0.2"/>
    <row r="169" s="33" customFormat="1" x14ac:dyDescent="0.2"/>
    <row r="170" s="33" customFormat="1" x14ac:dyDescent="0.2"/>
    <row r="171" s="33" customFormat="1" x14ac:dyDescent="0.2"/>
    <row r="172" s="33" customFormat="1" x14ac:dyDescent="0.2"/>
    <row r="173" s="33" customFormat="1" x14ac:dyDescent="0.2"/>
    <row r="174" s="33" customFormat="1" x14ac:dyDescent="0.2"/>
    <row r="175" s="33" customFormat="1" x14ac:dyDescent="0.2"/>
    <row r="176" s="33" customFormat="1" x14ac:dyDescent="0.2"/>
    <row r="177" s="33" customFormat="1" x14ac:dyDescent="0.2"/>
    <row r="178" s="33" customFormat="1" x14ac:dyDescent="0.2"/>
    <row r="179" s="33" customFormat="1" x14ac:dyDescent="0.2"/>
    <row r="180" s="33" customFormat="1" x14ac:dyDescent="0.2"/>
    <row r="181" s="33" customFormat="1" x14ac:dyDescent="0.2"/>
    <row r="182" s="33" customFormat="1" x14ac:dyDescent="0.2"/>
    <row r="183" s="33" customFormat="1" x14ac:dyDescent="0.2"/>
    <row r="184" s="33" customFormat="1" x14ac:dyDescent="0.2"/>
    <row r="185" s="33" customFormat="1" x14ac:dyDescent="0.2"/>
    <row r="186" s="33" customFormat="1" x14ac:dyDescent="0.2"/>
    <row r="187" s="33" customFormat="1" x14ac:dyDescent="0.2"/>
    <row r="188" s="33" customFormat="1" x14ac:dyDescent="0.2"/>
    <row r="189" s="33" customFormat="1" x14ac:dyDescent="0.2"/>
    <row r="190" s="33" customFormat="1" x14ac:dyDescent="0.2"/>
    <row r="191" s="33" customFormat="1" x14ac:dyDescent="0.2"/>
    <row r="192" s="33" customFormat="1" x14ac:dyDescent="0.2"/>
    <row r="193" s="33" customFormat="1" x14ac:dyDescent="0.2"/>
    <row r="194" s="33" customFormat="1" x14ac:dyDescent="0.2"/>
    <row r="195" s="33" customFormat="1" x14ac:dyDescent="0.2"/>
    <row r="196" s="33" customFormat="1" x14ac:dyDescent="0.2"/>
    <row r="197" s="33" customFormat="1" x14ac:dyDescent="0.2"/>
    <row r="198" s="33" customFormat="1" x14ac:dyDescent="0.2"/>
    <row r="199" s="33" customFormat="1" x14ac:dyDescent="0.2"/>
    <row r="200" s="33" customFormat="1" x14ac:dyDescent="0.2"/>
    <row r="201" s="33" customFormat="1" x14ac:dyDescent="0.2"/>
    <row r="202" s="33" customFormat="1" x14ac:dyDescent="0.2"/>
    <row r="203" s="33" customFormat="1" x14ac:dyDescent="0.2"/>
    <row r="204" s="33" customFormat="1" x14ac:dyDescent="0.2"/>
    <row r="205" s="33" customFormat="1" x14ac:dyDescent="0.2"/>
    <row r="206" s="33" customFormat="1" x14ac:dyDescent="0.2"/>
    <row r="207" s="33" customFormat="1" x14ac:dyDescent="0.2"/>
    <row r="208" s="33" customFormat="1" x14ac:dyDescent="0.2"/>
    <row r="209" s="33" customFormat="1" x14ac:dyDescent="0.2"/>
    <row r="210" s="33" customFormat="1" x14ac:dyDescent="0.2"/>
    <row r="211" s="33" customFormat="1" x14ac:dyDescent="0.2"/>
    <row r="212" s="33" customFormat="1" x14ac:dyDescent="0.2"/>
    <row r="213" s="33" customFormat="1" x14ac:dyDescent="0.2"/>
    <row r="214" s="33" customFormat="1" x14ac:dyDescent="0.2"/>
    <row r="215" s="33" customFormat="1" x14ac:dyDescent="0.2"/>
    <row r="216" s="33" customFormat="1" x14ac:dyDescent="0.2"/>
    <row r="217" s="33" customFormat="1" x14ac:dyDescent="0.2"/>
    <row r="218" s="33" customFormat="1" x14ac:dyDescent="0.2"/>
    <row r="219" s="33" customFormat="1" x14ac:dyDescent="0.2"/>
    <row r="220" s="33" customFormat="1" x14ac:dyDescent="0.2"/>
    <row r="221" s="33" customFormat="1" x14ac:dyDescent="0.2"/>
    <row r="222" s="33" customFormat="1" x14ac:dyDescent="0.2"/>
    <row r="223" s="33" customFormat="1" x14ac:dyDescent="0.2"/>
    <row r="224" s="33" customFormat="1" x14ac:dyDescent="0.2"/>
    <row r="225" s="33" customFormat="1" x14ac:dyDescent="0.2"/>
    <row r="226" s="33" customFormat="1" x14ac:dyDescent="0.2"/>
    <row r="227" s="33" customFormat="1" x14ac:dyDescent="0.2"/>
    <row r="228" s="33" customFormat="1" x14ac:dyDescent="0.2"/>
    <row r="229" s="33" customFormat="1" x14ac:dyDescent="0.2"/>
    <row r="230" s="33" customFormat="1" x14ac:dyDescent="0.2"/>
    <row r="231" s="33" customFormat="1" x14ac:dyDescent="0.2"/>
    <row r="232" s="33" customFormat="1" x14ac:dyDescent="0.2"/>
    <row r="233" s="33" customFormat="1" x14ac:dyDescent="0.2"/>
    <row r="234" s="33" customFormat="1" x14ac:dyDescent="0.2"/>
    <row r="235" s="33" customFormat="1" x14ac:dyDescent="0.2"/>
    <row r="236" s="33" customFormat="1" x14ac:dyDescent="0.2"/>
    <row r="237" s="33" customFormat="1" x14ac:dyDescent="0.2"/>
    <row r="238" s="33" customFormat="1" x14ac:dyDescent="0.2"/>
    <row r="239" s="33" customFormat="1" x14ac:dyDescent="0.2"/>
    <row r="240" s="33" customFormat="1" x14ac:dyDescent="0.2"/>
    <row r="241" s="33" customFormat="1" x14ac:dyDescent="0.2"/>
    <row r="242" s="33" customFormat="1" x14ac:dyDescent="0.2"/>
    <row r="243" s="33" customFormat="1" x14ac:dyDescent="0.2"/>
    <row r="244" s="33" customFormat="1" x14ac:dyDescent="0.2"/>
    <row r="245" s="33" customFormat="1" x14ac:dyDescent="0.2"/>
    <row r="246" s="33" customFormat="1" x14ac:dyDescent="0.2"/>
    <row r="247" s="33" customFormat="1" x14ac:dyDescent="0.2"/>
    <row r="248" s="33" customFormat="1" x14ac:dyDescent="0.2"/>
    <row r="249" s="33" customFormat="1" x14ac:dyDescent="0.2"/>
    <row r="250" s="33" customFormat="1" x14ac:dyDescent="0.2"/>
    <row r="251" s="33" customFormat="1" x14ac:dyDescent="0.2"/>
    <row r="252" s="33" customFormat="1" x14ac:dyDescent="0.2"/>
    <row r="253" s="33" customFormat="1" x14ac:dyDescent="0.2"/>
    <row r="254" s="33" customFormat="1" x14ac:dyDescent="0.2"/>
    <row r="255" s="33" customFormat="1" x14ac:dyDescent="0.2"/>
    <row r="256" s="33" customFormat="1" x14ac:dyDescent="0.2"/>
    <row r="257" s="33" customFormat="1" x14ac:dyDescent="0.2"/>
    <row r="258" s="33" customFormat="1" x14ac:dyDescent="0.2"/>
    <row r="259" s="33" customFormat="1" x14ac:dyDescent="0.2"/>
    <row r="260" s="33" customFormat="1" x14ac:dyDescent="0.2"/>
    <row r="261" s="33" customFormat="1" x14ac:dyDescent="0.2"/>
    <row r="262" s="33" customFormat="1" x14ac:dyDescent="0.2"/>
    <row r="263" s="33" customFormat="1" x14ac:dyDescent="0.2"/>
    <row r="264" s="33" customFormat="1" x14ac:dyDescent="0.2"/>
    <row r="265" s="33" customFormat="1" x14ac:dyDescent="0.2"/>
    <row r="266" s="33" customFormat="1" x14ac:dyDescent="0.2"/>
    <row r="267" s="33" customFormat="1" x14ac:dyDescent="0.2"/>
    <row r="268" s="33" customFormat="1" x14ac:dyDescent="0.2"/>
    <row r="269" s="33" customFormat="1" x14ac:dyDescent="0.2"/>
    <row r="270" s="33" customFormat="1" x14ac:dyDescent="0.2"/>
    <row r="271" s="33" customFormat="1" x14ac:dyDescent="0.2"/>
    <row r="272" s="33" customFormat="1" x14ac:dyDescent="0.2"/>
    <row r="273" s="33" customFormat="1" x14ac:dyDescent="0.2"/>
    <row r="274" s="33" customFormat="1" x14ac:dyDescent="0.2"/>
    <row r="275" s="33" customFormat="1" x14ac:dyDescent="0.2"/>
    <row r="276" s="33" customFormat="1" x14ac:dyDescent="0.2"/>
    <row r="277" s="33" customFormat="1" x14ac:dyDescent="0.2"/>
    <row r="278" s="33" customFormat="1" x14ac:dyDescent="0.2"/>
    <row r="279" s="33" customFormat="1" x14ac:dyDescent="0.2"/>
    <row r="280" s="33" customFormat="1" x14ac:dyDescent="0.2"/>
    <row r="281" s="33" customFormat="1" x14ac:dyDescent="0.2"/>
    <row r="282" s="33" customFormat="1" x14ac:dyDescent="0.2"/>
    <row r="283" s="33" customFormat="1" x14ac:dyDescent="0.2"/>
    <row r="284" s="33" customFormat="1" x14ac:dyDescent="0.2"/>
    <row r="285" s="33" customFormat="1" x14ac:dyDescent="0.2"/>
    <row r="286" s="33" customFormat="1" x14ac:dyDescent="0.2"/>
    <row r="287" s="33" customFormat="1" x14ac:dyDescent="0.2"/>
    <row r="288" s="33" customFormat="1" x14ac:dyDescent="0.2"/>
    <row r="289" s="33" customFormat="1" x14ac:dyDescent="0.2"/>
    <row r="290" s="33" customFormat="1" x14ac:dyDescent="0.2"/>
    <row r="291" s="33" customFormat="1" x14ac:dyDescent="0.2"/>
    <row r="292" s="33" customFormat="1" x14ac:dyDescent="0.2"/>
    <row r="293" s="33" customFormat="1" x14ac:dyDescent="0.2"/>
    <row r="294" s="33" customFormat="1" x14ac:dyDescent="0.2"/>
    <row r="295" s="33" customFormat="1" x14ac:dyDescent="0.2"/>
    <row r="296" s="33" customFormat="1" x14ac:dyDescent="0.2"/>
    <row r="297" s="33" customFormat="1" x14ac:dyDescent="0.2"/>
    <row r="298" s="33" customFormat="1" x14ac:dyDescent="0.2"/>
    <row r="299" s="33" customFormat="1" x14ac:dyDescent="0.2"/>
    <row r="300" s="33" customFormat="1" x14ac:dyDescent="0.2"/>
    <row r="301" s="33" customFormat="1" x14ac:dyDescent="0.2"/>
    <row r="302" s="33" customFormat="1" x14ac:dyDescent="0.2"/>
  </sheetData>
  <mergeCells count="4">
    <mergeCell ref="A17:D17"/>
    <mergeCell ref="A29:B29"/>
    <mergeCell ref="A38:B38"/>
    <mergeCell ref="A3:D3"/>
  </mergeCells>
  <hyperlinks>
    <hyperlink ref="A48" r:id="rId1" xr:uid="{5B7AAC00-0579-4BEA-A5C3-82B5B6464075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Summary</vt:lpstr>
      <vt:lpstr>Summary Table</vt:lpstr>
      <vt:lpstr>NPV</vt:lpstr>
      <vt:lpstr>Costs</vt:lpstr>
      <vt:lpstr>Operations &amp; Maintenance Costs</vt:lpstr>
      <vt:lpstr>Safety</vt:lpstr>
      <vt:lpstr>Econ</vt:lpstr>
      <vt:lpstr>Environmental Protection - Hour</vt:lpstr>
      <vt:lpstr>Ton-miles</vt:lpstr>
      <vt:lpstr>Costs!Print_Area</vt:lpstr>
      <vt:lpstr>'Environmental Protection - Hour'!Print_Area</vt:lpstr>
      <vt:lpstr>NPV!Print_Area</vt:lpstr>
      <vt:lpstr>Summary!Print_Area</vt:lpstr>
      <vt:lpstr>'Summary Table'!Print_Area</vt:lpstr>
    </vt:vector>
  </TitlesOfParts>
  <Company>Kimley-Horn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aaron.nathan</dc:creator>
  <cp:lastModifiedBy>Lauren Reiman</cp:lastModifiedBy>
  <cp:lastPrinted>2020-05-13T13:16:37Z</cp:lastPrinted>
  <dcterms:created xsi:type="dcterms:W3CDTF">2011-10-18T15:31:40Z</dcterms:created>
  <dcterms:modified xsi:type="dcterms:W3CDTF">2020-05-14T18:41:34Z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m_Crash_Cost" linkTarget="Prop_Dam_Crash_Cost">
    <vt:lpwstr>#REF!</vt:lpwstr>
  </property>
</Properties>
</file>