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kcow00\jobs4\66428\TaskOrder5\Planning\WorkTasks\BuildGrant\Final\Clean\"/>
    </mc:Choice>
  </mc:AlternateContent>
  <bookViews>
    <workbookView xWindow="22935" yWindow="-120" windowWidth="23250" windowHeight="12570" tabRatio="896"/>
  </bookViews>
  <sheets>
    <sheet name="Summary" sheetId="12" r:id="rId1"/>
    <sheet name="Summary Table" sheetId="22" r:id="rId2"/>
    <sheet name="NPV" sheetId="5" r:id="rId3"/>
    <sheet name="Costs" sheetId="27" r:id="rId4"/>
    <sheet name="Travel Time" sheetId="35" r:id="rId5"/>
    <sheet name="Environmental Protection" sheetId="26" r:id="rId6"/>
    <sheet name="Safety" sheetId="21" r:id="rId7"/>
  </sheets>
  <externalReferences>
    <externalReference r:id="rId8"/>
    <externalReference r:id="rId9"/>
  </externalReferences>
  <definedNames>
    <definedName name="CIP" localSheetId="4">#REF!</definedName>
    <definedName name="CIP">#REF!</definedName>
    <definedName name="dblStack">'[1]Tunnel Capacity'!$C$6</definedName>
    <definedName name="domstackRate">'[1]Tunnel Capacity'!$C$4</definedName>
    <definedName name="intlstackRate">'[1]Tunnel Capacity'!$C$3</definedName>
    <definedName name="List">'[2]NEW ROAD'!$A$2:$A$19</definedName>
    <definedName name="maxLength">'[1]Tunnel Capacity'!$C$2</definedName>
    <definedName name="NEW">'[2]NEW ROAD'!$A$4:$A$5</definedName>
    <definedName name="_xlnm.Print_Area" localSheetId="3">Costs!$A$2:$I$28</definedName>
    <definedName name="_xlnm.Print_Area" localSheetId="5">'Environmental Protection'!$A$1:$D$35,'Environmental Protection'!$A$37:$J$63,'Environmental Protection'!$A$66:$J$92</definedName>
    <definedName name="_xlnm.Print_Area" localSheetId="2">NPV!$A$2:$C$27</definedName>
    <definedName name="_xlnm.Print_Area" localSheetId="6">Safety!$A$1:$I$69,Safety!$B$71:$AA$99</definedName>
    <definedName name="_xlnm.Print_Area" localSheetId="0">Summary!$B$7:$H$8</definedName>
    <definedName name="_xlnm.Print_Area" localSheetId="1">'Summary Table'!$A$1:$G$39,'Summary Table'!$A$42:$E$69,'Summary Table'!$A$72:$D$98</definedName>
    <definedName name="_xlnm.Print_Area" localSheetId="4">'Travel Time'!$A$1:$Q$39,'Travel Time'!$A$41:$M$77</definedName>
    <definedName name="printa" localSheetId="4">#REF!</definedName>
    <definedName name="printa">#REF!</definedName>
    <definedName name="singleStack">'[1]Tunnel Capacity'!$C$5</definedName>
    <definedName name="Version2">#REF!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7" i="35" l="1"/>
  <c r="K6" i="35"/>
  <c r="B39" i="35" l="1"/>
  <c r="H29" i="27" l="1"/>
  <c r="G7" i="27"/>
  <c r="G8" i="27" l="1"/>
  <c r="P7" i="21" l="1"/>
  <c r="N4" i="35"/>
  <c r="P4" i="35" s="1"/>
  <c r="C3" i="27"/>
  <c r="E15" i="22" l="1"/>
  <c r="E16" i="22"/>
  <c r="E17" i="22"/>
  <c r="E18" i="22"/>
  <c r="E14" i="22"/>
  <c r="N74" i="21"/>
  <c r="B75" i="21"/>
  <c r="N75" i="21" s="1"/>
  <c r="B44" i="21"/>
  <c r="B76" i="21" l="1"/>
  <c r="C74" i="22"/>
  <c r="C44" i="22"/>
  <c r="C45" i="22"/>
  <c r="C46" i="22"/>
  <c r="C47" i="22"/>
  <c r="C48" i="22"/>
  <c r="C49" i="22"/>
  <c r="C50" i="22"/>
  <c r="C51" i="22"/>
  <c r="C52" i="22"/>
  <c r="C53" i="22"/>
  <c r="C54" i="22"/>
  <c r="C55" i="22"/>
  <c r="C56" i="22"/>
  <c r="C57" i="22"/>
  <c r="C58" i="22"/>
  <c r="C59" i="22"/>
  <c r="C60" i="22"/>
  <c r="C61" i="22"/>
  <c r="C62" i="22"/>
  <c r="C63" i="22"/>
  <c r="C64" i="22"/>
  <c r="C65" i="22"/>
  <c r="C66" i="22"/>
  <c r="C67" i="22"/>
  <c r="C68" i="22"/>
  <c r="B47" i="22"/>
  <c r="D47" i="22" s="1"/>
  <c r="B48" i="22"/>
  <c r="D48" i="22" s="1"/>
  <c r="D15" i="22"/>
  <c r="D16" i="22"/>
  <c r="D17" i="22"/>
  <c r="D18" i="22"/>
  <c r="D14" i="22"/>
  <c r="F14" i="22" s="1"/>
  <c r="C15" i="22"/>
  <c r="C16" i="22"/>
  <c r="C17" i="22"/>
  <c r="C18" i="22"/>
  <c r="C14" i="22"/>
  <c r="B15" i="22"/>
  <c r="B16" i="22"/>
  <c r="B17" i="22"/>
  <c r="B18" i="22"/>
  <c r="B14" i="22"/>
  <c r="N7" i="35"/>
  <c r="P7" i="35" s="1"/>
  <c r="L39" i="35" s="1"/>
  <c r="D63" i="26" s="1"/>
  <c r="N9" i="35"/>
  <c r="P9" i="35" s="1"/>
  <c r="M39" i="35" s="1"/>
  <c r="E63" i="26" s="1"/>
  <c r="L15" i="35"/>
  <c r="M7" i="35"/>
  <c r="M6" i="35"/>
  <c r="M9" i="35"/>
  <c r="M5" i="35"/>
  <c r="M8" i="35"/>
  <c r="M4" i="35"/>
  <c r="O4" i="35" s="1"/>
  <c r="F15" i="35" s="1"/>
  <c r="O9" i="35" l="1"/>
  <c r="G39" i="35" s="1"/>
  <c r="G63" i="26" s="1"/>
  <c r="O7" i="35"/>
  <c r="F39" i="35" s="1"/>
  <c r="F63" i="26" s="1"/>
  <c r="D17" i="21"/>
  <c r="E17" i="21"/>
  <c r="F17" i="21"/>
  <c r="A16" i="35" l="1"/>
  <c r="A17" i="35" s="1"/>
  <c r="A18" i="35" s="1"/>
  <c r="A19" i="35" s="1"/>
  <c r="A20" i="35" s="1"/>
  <c r="A21" i="35" s="1"/>
  <c r="A22" i="35" s="1"/>
  <c r="A23" i="35" s="1"/>
  <c r="A24" i="35" s="1"/>
  <c r="A25" i="35" s="1"/>
  <c r="A26" i="35" s="1"/>
  <c r="A27" i="35" s="1"/>
  <c r="A28" i="35" s="1"/>
  <c r="A29" i="35" s="1"/>
  <c r="A30" i="35" s="1"/>
  <c r="A31" i="35" s="1"/>
  <c r="A32" i="35" s="1"/>
  <c r="A33" i="35" s="1"/>
  <c r="A34" i="35" s="1"/>
  <c r="A35" i="35" s="1"/>
  <c r="A36" i="35" s="1"/>
  <c r="A37" i="35" s="1"/>
  <c r="A38" i="35" s="1"/>
  <c r="A39" i="35" s="1"/>
  <c r="E5" i="35"/>
  <c r="E4" i="35"/>
  <c r="F5" i="35" s="1"/>
  <c r="B5" i="35" s="1"/>
  <c r="D61" i="21" s="1"/>
  <c r="G28" i="27" l="1"/>
  <c r="G5" i="27"/>
  <c r="G10" i="27"/>
  <c r="G11" i="27"/>
  <c r="G12" i="27"/>
  <c r="G13" i="27"/>
  <c r="G14" i="27"/>
  <c r="G15" i="27"/>
  <c r="G16" i="27"/>
  <c r="G17" i="27"/>
  <c r="G18" i="27"/>
  <c r="G19" i="27"/>
  <c r="G20" i="27"/>
  <c r="G21" i="27"/>
  <c r="G22" i="27"/>
  <c r="G23" i="27"/>
  <c r="G24" i="27"/>
  <c r="G25" i="27"/>
  <c r="G26" i="27"/>
  <c r="G27" i="27"/>
  <c r="G4" i="27"/>
  <c r="B51" i="22" l="1"/>
  <c r="D51" i="22" s="1"/>
  <c r="B62" i="22"/>
  <c r="D62" i="22" s="1"/>
  <c r="B61" i="22"/>
  <c r="D61" i="22" s="1"/>
  <c r="B44" i="22"/>
  <c r="D44" i="22" s="1"/>
  <c r="I4" i="27"/>
  <c r="B52" i="22"/>
  <c r="D52" i="22" s="1"/>
  <c r="B59" i="22"/>
  <c r="D59" i="22" s="1"/>
  <c r="B50" i="22"/>
  <c r="D50" i="22" s="1"/>
  <c r="B57" i="22"/>
  <c r="D57" i="22" s="1"/>
  <c r="B56" i="22"/>
  <c r="D56" i="22" s="1"/>
  <c r="B54" i="22"/>
  <c r="D54" i="22" s="1"/>
  <c r="B53" i="22"/>
  <c r="D53" i="22" s="1"/>
  <c r="B60" i="22"/>
  <c r="D60" i="22" s="1"/>
  <c r="B67" i="22"/>
  <c r="D67" i="22" s="1"/>
  <c r="B66" i="22"/>
  <c r="D66" i="22" s="1"/>
  <c r="B58" i="22"/>
  <c r="D58" i="22" s="1"/>
  <c r="B65" i="22"/>
  <c r="D65" i="22" s="1"/>
  <c r="B45" i="22"/>
  <c r="D45" i="22" s="1"/>
  <c r="B64" i="22"/>
  <c r="D64" i="22" s="1"/>
  <c r="B63" i="22"/>
  <c r="D63" i="22" s="1"/>
  <c r="B55" i="22"/>
  <c r="D55" i="22" s="1"/>
  <c r="B68" i="22"/>
  <c r="D68" i="22" s="1"/>
  <c r="E44" i="22" l="1"/>
  <c r="B74" i="22" s="1"/>
  <c r="D74" i="22" l="1"/>
  <c r="E74" i="22" s="1"/>
  <c r="C21" i="26"/>
  <c r="C19" i="26"/>
  <c r="B15" i="35"/>
  <c r="A2" i="22"/>
  <c r="C74" i="21" l="1"/>
  <c r="I63" i="26"/>
  <c r="C22" i="26"/>
  <c r="G17" i="21"/>
  <c r="C17" i="21"/>
  <c r="H7" i="21"/>
  <c r="H9" i="21"/>
  <c r="O74" i="21" l="1"/>
  <c r="H17" i="21"/>
  <c r="I17" i="21" s="1"/>
  <c r="N76" i="21" l="1"/>
  <c r="A58" i="21" l="1"/>
  <c r="B21" i="26" l="1"/>
  <c r="B19" i="26"/>
  <c r="B22" i="26" l="1"/>
  <c r="H63" i="26"/>
  <c r="J63" i="26" s="1"/>
  <c r="C23" i="26"/>
  <c r="D27" i="26" s="1"/>
  <c r="A62" i="21" l="1"/>
  <c r="B62" i="21" s="1"/>
  <c r="A63" i="21"/>
  <c r="A64" i="21"/>
  <c r="A65" i="21"/>
  <c r="A66" i="21"/>
  <c r="C98" i="21" l="1"/>
  <c r="O98" i="21" s="1"/>
  <c r="B63" i="26"/>
  <c r="C63" i="26"/>
  <c r="B18" i="35"/>
  <c r="C60" i="21"/>
  <c r="C77" i="21" l="1"/>
  <c r="O77" i="21" s="1"/>
  <c r="B67" i="21"/>
  <c r="B17" i="35"/>
  <c r="B25" i="35"/>
  <c r="B33" i="35"/>
  <c r="B19" i="35"/>
  <c r="B27" i="35"/>
  <c r="B35" i="35"/>
  <c r="B20" i="35"/>
  <c r="N8" i="35" s="1"/>
  <c r="B28" i="35"/>
  <c r="B36" i="35"/>
  <c r="B21" i="35"/>
  <c r="B29" i="35"/>
  <c r="B22" i="35"/>
  <c r="B30" i="35"/>
  <c r="B38" i="35"/>
  <c r="N6" i="35" s="1"/>
  <c r="P6" i="35" s="1"/>
  <c r="L38" i="35" s="1"/>
  <c r="B23" i="35"/>
  <c r="B31" i="35"/>
  <c r="B24" i="35"/>
  <c r="B26" i="35"/>
  <c r="B34" i="35"/>
  <c r="B37" i="35"/>
  <c r="B16" i="35"/>
  <c r="B32" i="35"/>
  <c r="B58" i="26" l="1"/>
  <c r="C93" i="21"/>
  <c r="O93" i="21" s="1"/>
  <c r="C58" i="26"/>
  <c r="B50" i="26"/>
  <c r="C85" i="21"/>
  <c r="O85" i="21" s="1"/>
  <c r="C50" i="26"/>
  <c r="B60" i="26"/>
  <c r="C60" i="26"/>
  <c r="C95" i="21"/>
  <c r="O95" i="21" s="1"/>
  <c r="C92" i="21"/>
  <c r="O92" i="21" s="1"/>
  <c r="C57" i="26"/>
  <c r="B57" i="26"/>
  <c r="C83" i="21"/>
  <c r="O83" i="21" s="1"/>
  <c r="B48" i="26"/>
  <c r="C48" i="26"/>
  <c r="C52" i="26"/>
  <c r="C87" i="21"/>
  <c r="O87" i="21" s="1"/>
  <c r="B52" i="26"/>
  <c r="P8" i="35"/>
  <c r="B44" i="26"/>
  <c r="C79" i="21"/>
  <c r="O79" i="21" s="1"/>
  <c r="C44" i="26"/>
  <c r="O6" i="35"/>
  <c r="F38" i="35" s="1"/>
  <c r="F62" i="26" s="1"/>
  <c r="B62" i="26"/>
  <c r="C62" i="26"/>
  <c r="C97" i="21"/>
  <c r="O97" i="21" s="1"/>
  <c r="C94" i="21"/>
  <c r="O94" i="21" s="1"/>
  <c r="B59" i="26"/>
  <c r="C59" i="26"/>
  <c r="C84" i="21"/>
  <c r="O84" i="21" s="1"/>
  <c r="C49" i="26"/>
  <c r="B49" i="26"/>
  <c r="C90" i="21"/>
  <c r="O90" i="21" s="1"/>
  <c r="B55" i="26"/>
  <c r="C55" i="26"/>
  <c r="C91" i="21"/>
  <c r="O91" i="21" s="1"/>
  <c r="B56" i="26"/>
  <c r="C56" i="26"/>
  <c r="C75" i="21"/>
  <c r="B54" i="26"/>
  <c r="C89" i="21"/>
  <c r="O89" i="21" s="1"/>
  <c r="C54" i="26"/>
  <c r="C86" i="21"/>
  <c r="O86" i="21" s="1"/>
  <c r="B51" i="26"/>
  <c r="C51" i="26"/>
  <c r="C88" i="21"/>
  <c r="O88" i="21" s="1"/>
  <c r="B53" i="26"/>
  <c r="C53" i="26"/>
  <c r="C45" i="26"/>
  <c r="C80" i="21"/>
  <c r="O80" i="21" s="1"/>
  <c r="B45" i="26"/>
  <c r="C76" i="21"/>
  <c r="O76" i="21" s="1"/>
  <c r="C82" i="21"/>
  <c r="O82" i="21" s="1"/>
  <c r="C47" i="26"/>
  <c r="B47" i="26"/>
  <c r="N5" i="35"/>
  <c r="P5" i="35" s="1"/>
  <c r="L37" i="35" s="1"/>
  <c r="D61" i="26" s="1"/>
  <c r="C61" i="26"/>
  <c r="B61" i="26"/>
  <c r="C96" i="21"/>
  <c r="O96" i="21" s="1"/>
  <c r="B46" i="26"/>
  <c r="C46" i="26"/>
  <c r="C81" i="21"/>
  <c r="O81" i="21" s="1"/>
  <c r="C78" i="21"/>
  <c r="O78" i="21" s="1"/>
  <c r="O8" i="35"/>
  <c r="G20" i="35" s="1"/>
  <c r="D62" i="26"/>
  <c r="B66" i="21"/>
  <c r="C58" i="21"/>
  <c r="A84" i="35"/>
  <c r="A85" i="35" s="1"/>
  <c r="A86" i="35" s="1"/>
  <c r="A87" i="35" s="1"/>
  <c r="A88" i="35" s="1"/>
  <c r="A89" i="35" s="1"/>
  <c r="A90" i="35" s="1"/>
  <c r="A91" i="35" s="1"/>
  <c r="A92" i="35" s="1"/>
  <c r="A93" i="35" s="1"/>
  <c r="A94" i="35" s="1"/>
  <c r="A95" i="35" s="1"/>
  <c r="A96" i="35" s="1"/>
  <c r="A97" i="35" s="1"/>
  <c r="A98" i="35" s="1"/>
  <c r="A99" i="35" s="1"/>
  <c r="A100" i="35" s="1"/>
  <c r="A101" i="35" s="1"/>
  <c r="A102" i="35" s="1"/>
  <c r="A103" i="35" s="1"/>
  <c r="A104" i="35" s="1"/>
  <c r="A105" i="35" s="1"/>
  <c r="A106" i="35" s="1"/>
  <c r="A107" i="35" s="1"/>
  <c r="A108" i="35" s="1"/>
  <c r="A53" i="35"/>
  <c r="A54" i="35" s="1"/>
  <c r="A55" i="35" s="1"/>
  <c r="A56" i="35" s="1"/>
  <c r="A57" i="35" s="1"/>
  <c r="A58" i="35" s="1"/>
  <c r="A59" i="35" s="1"/>
  <c r="A60" i="35" s="1"/>
  <c r="A61" i="35" s="1"/>
  <c r="A62" i="35" s="1"/>
  <c r="A63" i="35" s="1"/>
  <c r="A64" i="35" s="1"/>
  <c r="A65" i="35" s="1"/>
  <c r="A66" i="35" s="1"/>
  <c r="A67" i="35" s="1"/>
  <c r="A68" i="35" s="1"/>
  <c r="A69" i="35" s="1"/>
  <c r="A70" i="35" s="1"/>
  <c r="A71" i="35" s="1"/>
  <c r="A72" i="35" s="1"/>
  <c r="A73" i="35" s="1"/>
  <c r="A74" i="35" s="1"/>
  <c r="A75" i="35" s="1"/>
  <c r="A76" i="35" s="1"/>
  <c r="Q9" i="35" l="1"/>
  <c r="G35" i="35" s="1"/>
  <c r="G59" i="26" s="1"/>
  <c r="M20" i="35"/>
  <c r="O75" i="21"/>
  <c r="G44" i="26"/>
  <c r="G23" i="35"/>
  <c r="G47" i="26" s="1"/>
  <c r="G30" i="35"/>
  <c r="G54" i="26" s="1"/>
  <c r="G34" i="35"/>
  <c r="G58" i="26" s="1"/>
  <c r="G36" i="35"/>
  <c r="G60" i="26" s="1"/>
  <c r="G24" i="35"/>
  <c r="G48" i="26" s="1"/>
  <c r="G27" i="35"/>
  <c r="G51" i="26" s="1"/>
  <c r="G32" i="35"/>
  <c r="G56" i="26" s="1"/>
  <c r="G38" i="35"/>
  <c r="G62" i="26" s="1"/>
  <c r="B90" i="26" s="1"/>
  <c r="G37" i="35"/>
  <c r="G61" i="26" s="1"/>
  <c r="G33" i="35"/>
  <c r="G57" i="26" s="1"/>
  <c r="G25" i="35"/>
  <c r="G49" i="26" s="1"/>
  <c r="G29" i="35"/>
  <c r="G53" i="26" s="1"/>
  <c r="O5" i="35"/>
  <c r="C63" i="21"/>
  <c r="C67" i="21"/>
  <c r="C39" i="35"/>
  <c r="C36" i="35"/>
  <c r="C15" i="35"/>
  <c r="D15" i="35" s="1"/>
  <c r="H15" i="35" s="1"/>
  <c r="C21" i="35"/>
  <c r="C31" i="35"/>
  <c r="C24" i="35"/>
  <c r="C25" i="35"/>
  <c r="C33" i="35"/>
  <c r="C26" i="35"/>
  <c r="C28" i="35"/>
  <c r="C22" i="35"/>
  <c r="C16" i="35"/>
  <c r="D16" i="35" s="1"/>
  <c r="C35" i="35"/>
  <c r="C18" i="35"/>
  <c r="C29" i="35"/>
  <c r="C32" i="35"/>
  <c r="C34" i="35"/>
  <c r="C27" i="35"/>
  <c r="C17" i="35"/>
  <c r="C20" i="35"/>
  <c r="C30" i="35"/>
  <c r="C38" i="35"/>
  <c r="C37" i="35"/>
  <c r="C19" i="35"/>
  <c r="C23" i="35"/>
  <c r="D8" i="12"/>
  <c r="G31" i="35" l="1"/>
  <c r="G55" i="26" s="1"/>
  <c r="G26" i="35"/>
  <c r="G50" i="26" s="1"/>
  <c r="G22" i="35"/>
  <c r="G46" i="26" s="1"/>
  <c r="G21" i="35"/>
  <c r="G45" i="26" s="1"/>
  <c r="G28" i="35"/>
  <c r="G52" i="26" s="1"/>
  <c r="E44" i="26"/>
  <c r="M22" i="35"/>
  <c r="E46" i="26" s="1"/>
  <c r="M34" i="35"/>
  <c r="E58" i="26" s="1"/>
  <c r="M21" i="35"/>
  <c r="E45" i="26" s="1"/>
  <c r="M37" i="35"/>
  <c r="E61" i="26" s="1"/>
  <c r="M29" i="35"/>
  <c r="E53" i="26" s="1"/>
  <c r="M26" i="35"/>
  <c r="E50" i="26" s="1"/>
  <c r="M24" i="35"/>
  <c r="E48" i="26" s="1"/>
  <c r="M36" i="35"/>
  <c r="E60" i="26" s="1"/>
  <c r="M38" i="35"/>
  <c r="E62" i="26" s="1"/>
  <c r="M28" i="35"/>
  <c r="E52" i="26" s="1"/>
  <c r="M31" i="35"/>
  <c r="E55" i="26" s="1"/>
  <c r="M33" i="35"/>
  <c r="E57" i="26" s="1"/>
  <c r="M35" i="35"/>
  <c r="E59" i="26" s="1"/>
  <c r="M23" i="35"/>
  <c r="E47" i="26" s="1"/>
  <c r="M30" i="35"/>
  <c r="E54" i="26" s="1"/>
  <c r="M27" i="35"/>
  <c r="E51" i="26" s="1"/>
  <c r="M25" i="35"/>
  <c r="E49" i="26" s="1"/>
  <c r="M32" i="35"/>
  <c r="E56" i="26" s="1"/>
  <c r="F37" i="35"/>
  <c r="F61" i="26" s="1"/>
  <c r="Q5" i="35"/>
  <c r="L20" i="35" s="1"/>
  <c r="D39" i="35"/>
  <c r="C76" i="35" s="1"/>
  <c r="E15" i="35"/>
  <c r="I15" i="35" s="1"/>
  <c r="E16" i="35"/>
  <c r="B53" i="35" s="1"/>
  <c r="B85" i="35" s="1"/>
  <c r="C53" i="35"/>
  <c r="C85" i="35" s="1"/>
  <c r="C52" i="35"/>
  <c r="D37" i="35"/>
  <c r="C74" i="35" s="1"/>
  <c r="D24" i="35"/>
  <c r="C61" i="35" s="1"/>
  <c r="C93" i="35" s="1"/>
  <c r="G93" i="35" s="1"/>
  <c r="D25" i="35"/>
  <c r="C62" i="35" s="1"/>
  <c r="C94" i="35" s="1"/>
  <c r="G94" i="35" s="1"/>
  <c r="D17" i="35"/>
  <c r="D26" i="35"/>
  <c r="C63" i="35" s="1"/>
  <c r="C95" i="35" s="1"/>
  <c r="G95" i="35" s="1"/>
  <c r="D34" i="35"/>
  <c r="C71" i="35" s="1"/>
  <c r="C103" i="35" s="1"/>
  <c r="G103" i="35" s="1"/>
  <c r="D19" i="35"/>
  <c r="D27" i="35"/>
  <c r="C64" i="35" s="1"/>
  <c r="C96" i="35" s="1"/>
  <c r="G96" i="35" s="1"/>
  <c r="D35" i="35"/>
  <c r="C72" i="35" s="1"/>
  <c r="C104" i="35" s="1"/>
  <c r="G104" i="35" s="1"/>
  <c r="D21" i="35"/>
  <c r="D28" i="35"/>
  <c r="C65" i="35" s="1"/>
  <c r="C97" i="35" s="1"/>
  <c r="G97" i="35" s="1"/>
  <c r="D36" i="35"/>
  <c r="C73" i="35" s="1"/>
  <c r="D23" i="35"/>
  <c r="D32" i="35"/>
  <c r="C69" i="35" s="1"/>
  <c r="C101" i="35" s="1"/>
  <c r="G101" i="35" s="1"/>
  <c r="D38" i="35"/>
  <c r="C75" i="35" s="1"/>
  <c r="D33" i="35"/>
  <c r="C70" i="35" s="1"/>
  <c r="C102" i="35" s="1"/>
  <c r="G102" i="35" s="1"/>
  <c r="D18" i="35"/>
  <c r="C55" i="35" s="1"/>
  <c r="D29" i="35"/>
  <c r="C66" i="35" s="1"/>
  <c r="C98" i="35" s="1"/>
  <c r="G98" i="35" s="1"/>
  <c r="D20" i="35"/>
  <c r="D30" i="35"/>
  <c r="C67" i="35" s="1"/>
  <c r="C99" i="35" s="1"/>
  <c r="G99" i="35" s="1"/>
  <c r="D22" i="35"/>
  <c r="D31" i="35"/>
  <c r="C68" i="35" s="1"/>
  <c r="C100" i="35" s="1"/>
  <c r="G100" i="35" s="1"/>
  <c r="L19" i="35" l="1"/>
  <c r="L32" i="35"/>
  <c r="D56" i="26" s="1"/>
  <c r="L31" i="35"/>
  <c r="D55" i="26" s="1"/>
  <c r="L35" i="35"/>
  <c r="D59" i="26" s="1"/>
  <c r="L27" i="35"/>
  <c r="D51" i="26" s="1"/>
  <c r="L28" i="35"/>
  <c r="D52" i="26" s="1"/>
  <c r="L16" i="35"/>
  <c r="L34" i="35"/>
  <c r="D58" i="26" s="1"/>
  <c r="L33" i="35"/>
  <c r="D57" i="26" s="1"/>
  <c r="L23" i="35"/>
  <c r="D47" i="26" s="1"/>
  <c r="L36" i="35"/>
  <c r="D60" i="26" s="1"/>
  <c r="L30" i="35"/>
  <c r="D54" i="26" s="1"/>
  <c r="L22" i="35"/>
  <c r="D46" i="26" s="1"/>
  <c r="D44" i="26"/>
  <c r="L26" i="35"/>
  <c r="D50" i="26" s="1"/>
  <c r="L29" i="35"/>
  <c r="D53" i="26" s="1"/>
  <c r="L18" i="35"/>
  <c r="L21" i="35"/>
  <c r="D45" i="26" s="1"/>
  <c r="L17" i="35"/>
  <c r="L24" i="35"/>
  <c r="D48" i="26" s="1"/>
  <c r="L25" i="35"/>
  <c r="D49" i="26" s="1"/>
  <c r="F35" i="35"/>
  <c r="F59" i="26" s="1"/>
  <c r="F22" i="35"/>
  <c r="F46" i="26" s="1"/>
  <c r="F18" i="35"/>
  <c r="F28" i="35"/>
  <c r="F52" i="26" s="1"/>
  <c r="F30" i="35"/>
  <c r="F54" i="26" s="1"/>
  <c r="F34" i="35"/>
  <c r="F58" i="26" s="1"/>
  <c r="F17" i="35"/>
  <c r="F25" i="35"/>
  <c r="F49" i="26" s="1"/>
  <c r="F32" i="35"/>
  <c r="F56" i="26" s="1"/>
  <c r="F31" i="35"/>
  <c r="F55" i="26" s="1"/>
  <c r="F27" i="35"/>
  <c r="F51" i="26" s="1"/>
  <c r="F33" i="35"/>
  <c r="F57" i="26" s="1"/>
  <c r="F26" i="35"/>
  <c r="F50" i="26" s="1"/>
  <c r="F16" i="35"/>
  <c r="F23" i="35"/>
  <c r="F47" i="26" s="1"/>
  <c r="F20" i="35"/>
  <c r="F21" i="35"/>
  <c r="F45" i="26" s="1"/>
  <c r="F24" i="35"/>
  <c r="F48" i="26" s="1"/>
  <c r="F36" i="35"/>
  <c r="F60" i="26" s="1"/>
  <c r="F29" i="35"/>
  <c r="F53" i="26" s="1"/>
  <c r="F19" i="35"/>
  <c r="P39" i="35"/>
  <c r="I108" i="35" s="1"/>
  <c r="E39" i="35"/>
  <c r="B76" i="35" s="1"/>
  <c r="F76" i="35" s="1"/>
  <c r="J39" i="35"/>
  <c r="I76" i="35" s="1"/>
  <c r="N39" i="35"/>
  <c r="E108" i="35" s="1"/>
  <c r="G76" i="35"/>
  <c r="C108" i="35"/>
  <c r="G108" i="35" s="1"/>
  <c r="H39" i="35"/>
  <c r="E76" i="35" s="1"/>
  <c r="G74" i="35"/>
  <c r="C106" i="35"/>
  <c r="G106" i="35" s="1"/>
  <c r="G73" i="35"/>
  <c r="C105" i="35"/>
  <c r="G105" i="35" s="1"/>
  <c r="C84" i="35"/>
  <c r="G75" i="35"/>
  <c r="C107" i="35"/>
  <c r="G107" i="35" s="1"/>
  <c r="G72" i="35"/>
  <c r="E22" i="35"/>
  <c r="B59" i="35" s="1"/>
  <c r="B91" i="35" s="1"/>
  <c r="F91" i="35" s="1"/>
  <c r="C59" i="35"/>
  <c r="E19" i="35"/>
  <c r="B56" i="35" s="1"/>
  <c r="B88" i="35" s="1"/>
  <c r="C56" i="35"/>
  <c r="C88" i="35" s="1"/>
  <c r="E20" i="35"/>
  <c r="C57" i="35"/>
  <c r="E17" i="35"/>
  <c r="B54" i="35" s="1"/>
  <c r="B86" i="35" s="1"/>
  <c r="C54" i="35"/>
  <c r="C86" i="35" s="1"/>
  <c r="E21" i="35"/>
  <c r="B58" i="35" s="1"/>
  <c r="B90" i="35" s="1"/>
  <c r="F90" i="35" s="1"/>
  <c r="C58" i="35"/>
  <c r="C90" i="35" s="1"/>
  <c r="G90" i="35" s="1"/>
  <c r="Q39" i="35"/>
  <c r="H108" i="35" s="1"/>
  <c r="B52" i="35"/>
  <c r="E23" i="35"/>
  <c r="B60" i="35" s="1"/>
  <c r="B92" i="35" s="1"/>
  <c r="F92" i="35" s="1"/>
  <c r="C60" i="35"/>
  <c r="C92" i="35" s="1"/>
  <c r="G92" i="35" s="1"/>
  <c r="E18" i="35"/>
  <c r="E37" i="35"/>
  <c r="E25" i="35"/>
  <c r="B62" i="35" s="1"/>
  <c r="B94" i="35" s="1"/>
  <c r="F94" i="35" s="1"/>
  <c r="G64" i="35"/>
  <c r="G71" i="35"/>
  <c r="E36" i="35"/>
  <c r="B73" i="35" s="1"/>
  <c r="E29" i="35"/>
  <c r="B66" i="35" s="1"/>
  <c r="B98" i="35" s="1"/>
  <c r="F98" i="35" s="1"/>
  <c r="G62" i="35"/>
  <c r="E28" i="35"/>
  <c r="B65" i="35" s="1"/>
  <c r="E27" i="35"/>
  <c r="B64" i="35" s="1"/>
  <c r="B96" i="35" s="1"/>
  <c r="F96" i="35" s="1"/>
  <c r="E34" i="35"/>
  <c r="B71" i="35" s="1"/>
  <c r="B103" i="35" s="1"/>
  <c r="F103" i="35" s="1"/>
  <c r="E24" i="35"/>
  <c r="B61" i="35" s="1"/>
  <c r="B93" i="35" s="1"/>
  <c r="F93" i="35" s="1"/>
  <c r="G65" i="35"/>
  <c r="G63" i="35"/>
  <c r="E35" i="35"/>
  <c r="B72" i="35" s="1"/>
  <c r="B104" i="35" s="1"/>
  <c r="F104" i="35" s="1"/>
  <c r="G70" i="35"/>
  <c r="G61" i="35"/>
  <c r="E32" i="35"/>
  <c r="B69" i="35" s="1"/>
  <c r="E26" i="35"/>
  <c r="B63" i="35" s="1"/>
  <c r="B95" i="35" s="1"/>
  <c r="F95" i="35" s="1"/>
  <c r="E30" i="35"/>
  <c r="B67" i="35" s="1"/>
  <c r="B99" i="35" s="1"/>
  <c r="F99" i="35" s="1"/>
  <c r="E33" i="35"/>
  <c r="B70" i="35" s="1"/>
  <c r="B102" i="35" s="1"/>
  <c r="F102" i="35" s="1"/>
  <c r="G68" i="35"/>
  <c r="G67" i="35"/>
  <c r="G66" i="35"/>
  <c r="E38" i="35"/>
  <c r="G69" i="35"/>
  <c r="E31" i="35"/>
  <c r="B68" i="35" s="1"/>
  <c r="B100" i="35" s="1"/>
  <c r="F100" i="35" s="1"/>
  <c r="B57" i="35" l="1"/>
  <c r="B89" i="35" s="1"/>
  <c r="F89" i="35" s="1"/>
  <c r="Q20" i="35"/>
  <c r="H89" i="35" s="1"/>
  <c r="I39" i="35"/>
  <c r="D76" i="35" s="1"/>
  <c r="F44" i="26"/>
  <c r="B72" i="26" s="1"/>
  <c r="H20" i="35"/>
  <c r="K108" i="35"/>
  <c r="K39" i="35"/>
  <c r="H76" i="35" s="1"/>
  <c r="J76" i="35" s="1"/>
  <c r="B108" i="35"/>
  <c r="F108" i="35" s="1"/>
  <c r="O39" i="35"/>
  <c r="D108" i="35" s="1"/>
  <c r="J108" i="35" s="1"/>
  <c r="K76" i="35"/>
  <c r="B55" i="35"/>
  <c r="B87" i="35" s="1"/>
  <c r="F65" i="35"/>
  <c r="B97" i="35"/>
  <c r="F97" i="35" s="1"/>
  <c r="G57" i="35"/>
  <c r="C89" i="35"/>
  <c r="G89" i="35" s="1"/>
  <c r="C87" i="35"/>
  <c r="F73" i="35"/>
  <c r="B105" i="35"/>
  <c r="F105" i="35" s="1"/>
  <c r="G59" i="35"/>
  <c r="C91" i="35"/>
  <c r="G91" i="35" s="1"/>
  <c r="F69" i="35"/>
  <c r="B101" i="35"/>
  <c r="F101" i="35" s="1"/>
  <c r="B84" i="35"/>
  <c r="B75" i="35"/>
  <c r="G58" i="35"/>
  <c r="B74" i="35"/>
  <c r="G60" i="35"/>
  <c r="F64" i="35"/>
  <c r="F59" i="35"/>
  <c r="F70" i="35"/>
  <c r="F63" i="35"/>
  <c r="F72" i="35"/>
  <c r="L108" i="35" l="1"/>
  <c r="L76" i="35"/>
  <c r="B38" i="22" s="1"/>
  <c r="F74" i="35"/>
  <c r="B106" i="35"/>
  <c r="F106" i="35" s="1"/>
  <c r="F75" i="35"/>
  <c r="B107" i="35"/>
  <c r="F107" i="35" s="1"/>
  <c r="F60" i="35"/>
  <c r="F58" i="35"/>
  <c r="F62" i="35"/>
  <c r="F61" i="35"/>
  <c r="F57" i="35"/>
  <c r="F67" i="35"/>
  <c r="F66" i="35"/>
  <c r="F71" i="35"/>
  <c r="F68" i="35"/>
  <c r="C38" i="22" l="1"/>
  <c r="A16" i="22"/>
  <c r="E7" i="27"/>
  <c r="E8" i="27" s="1"/>
  <c r="E9" i="27" s="1"/>
  <c r="A68" i="21"/>
  <c r="B68" i="21" s="1"/>
  <c r="A46" i="22" l="1"/>
  <c r="A76" i="22" s="1"/>
  <c r="C65" i="21"/>
  <c r="C62" i="21"/>
  <c r="C64" i="21"/>
  <c r="C66" i="21"/>
  <c r="C68" i="21"/>
  <c r="A18" i="22"/>
  <c r="A48" i="22" s="1"/>
  <c r="A78" i="22" s="1"/>
  <c r="E10" i="27"/>
  <c r="A19" i="22"/>
  <c r="A49" i="22" s="1"/>
  <c r="A79" i="22" s="1"/>
  <c r="A17" i="22"/>
  <c r="A47" i="22" s="1"/>
  <c r="A77" i="22" s="1"/>
  <c r="E11" i="27" l="1"/>
  <c r="A20" i="22"/>
  <c r="A50" i="22" s="1"/>
  <c r="A80" i="22" s="1"/>
  <c r="E12" i="27" l="1"/>
  <c r="A21" i="22"/>
  <c r="A51" i="22" s="1"/>
  <c r="A81" i="22" s="1"/>
  <c r="E13" i="27" l="1"/>
  <c r="A22" i="22"/>
  <c r="A52" i="22" s="1"/>
  <c r="A82" i="22" s="1"/>
  <c r="E14" i="27" l="1"/>
  <c r="A23" i="22"/>
  <c r="A53" i="22" s="1"/>
  <c r="A83" i="22" s="1"/>
  <c r="E15" i="27" l="1"/>
  <c r="A24" i="22"/>
  <c r="A54" i="22" s="1"/>
  <c r="A84" i="22" s="1"/>
  <c r="E16" i="27" l="1"/>
  <c r="A25" i="22"/>
  <c r="A55" i="22" s="1"/>
  <c r="A85" i="22" s="1"/>
  <c r="B8" i="12"/>
  <c r="E17" i="27" l="1"/>
  <c r="A26" i="22"/>
  <c r="A56" i="22" s="1"/>
  <c r="A86" i="22" s="1"/>
  <c r="E18" i="27" l="1"/>
  <c r="A27" i="22"/>
  <c r="A57" i="22" s="1"/>
  <c r="A87" i="22" s="1"/>
  <c r="E19" i="27" l="1"/>
  <c r="A28" i="22"/>
  <c r="A58" i="22" s="1"/>
  <c r="A88" i="22" s="1"/>
  <c r="E20" i="27" l="1"/>
  <c r="A29" i="22"/>
  <c r="A59" i="22" s="1"/>
  <c r="A89" i="22" s="1"/>
  <c r="A40" i="26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A52" i="26" s="1"/>
  <c r="A53" i="26" s="1"/>
  <c r="A54" i="26" s="1"/>
  <c r="A55" i="26" s="1"/>
  <c r="A56" i="26" s="1"/>
  <c r="A57" i="26" s="1"/>
  <c r="A58" i="26" s="1"/>
  <c r="A59" i="26" s="1"/>
  <c r="A60" i="26" s="1"/>
  <c r="A61" i="26" s="1"/>
  <c r="A62" i="26" s="1"/>
  <c r="A63" i="26" s="1"/>
  <c r="E21" i="27" l="1"/>
  <c r="A30" i="22"/>
  <c r="A60" i="22" s="1"/>
  <c r="A90" i="22" s="1"/>
  <c r="E22" i="27" l="1"/>
  <c r="A31" i="22"/>
  <c r="A61" i="22" s="1"/>
  <c r="A91" i="22" s="1"/>
  <c r="E23" i="27" l="1"/>
  <c r="A32" i="22"/>
  <c r="A62" i="22" s="1"/>
  <c r="A92" i="22" s="1"/>
  <c r="A70" i="26"/>
  <c r="A71" i="26" s="1"/>
  <c r="A72" i="26" s="1"/>
  <c r="A73" i="26" s="1"/>
  <c r="A74" i="26" s="1"/>
  <c r="A75" i="26" s="1"/>
  <c r="A76" i="26" s="1"/>
  <c r="A77" i="26" s="1"/>
  <c r="A78" i="26" s="1"/>
  <c r="A79" i="26" s="1"/>
  <c r="A80" i="26" s="1"/>
  <c r="A81" i="26" s="1"/>
  <c r="A82" i="26" s="1"/>
  <c r="A83" i="26" s="1"/>
  <c r="A84" i="26" s="1"/>
  <c r="A85" i="26" s="1"/>
  <c r="A86" i="26" s="1"/>
  <c r="A87" i="26" s="1"/>
  <c r="A88" i="26" s="1"/>
  <c r="A89" i="26" s="1"/>
  <c r="A90" i="26" s="1"/>
  <c r="A91" i="26" s="1"/>
  <c r="B30" i="26"/>
  <c r="C6" i="26"/>
  <c r="E24" i="27" l="1"/>
  <c r="A33" i="22"/>
  <c r="A63" i="22" s="1"/>
  <c r="A93" i="22" s="1"/>
  <c r="E25" i="27" l="1"/>
  <c r="A34" i="22"/>
  <c r="A64" i="22" s="1"/>
  <c r="A94" i="22" s="1"/>
  <c r="E26" i="27" l="1"/>
  <c r="A35" i="22"/>
  <c r="A65" i="22" s="1"/>
  <c r="A95" i="22" s="1"/>
  <c r="E27" i="27" l="1"/>
  <c r="E28" i="27" s="1"/>
  <c r="A38" i="22" s="1"/>
  <c r="A36" i="22"/>
  <c r="A66" i="22" s="1"/>
  <c r="A96" i="22" s="1"/>
  <c r="A37" i="22" l="1"/>
  <c r="A67" i="22" s="1"/>
  <c r="A97" i="22" s="1"/>
  <c r="A68" i="22" l="1"/>
  <c r="A98" i="22" s="1"/>
  <c r="B63" i="21" l="1"/>
  <c r="B64" i="21"/>
  <c r="B65" i="21"/>
  <c r="B48" i="21" l="1"/>
  <c r="B49" i="21" l="1"/>
  <c r="P79" i="21" s="1"/>
  <c r="D74" i="21"/>
  <c r="D75" i="21"/>
  <c r="D76" i="21"/>
  <c r="Q79" i="21" l="1"/>
  <c r="R79" i="21" s="1"/>
  <c r="P96" i="21"/>
  <c r="P95" i="21"/>
  <c r="P84" i="21"/>
  <c r="P98" i="21"/>
  <c r="P91" i="21"/>
  <c r="P83" i="21"/>
  <c r="P82" i="21"/>
  <c r="P81" i="21"/>
  <c r="P86" i="21"/>
  <c r="P93" i="21"/>
  <c r="P78" i="21"/>
  <c r="P77" i="21"/>
  <c r="P97" i="21"/>
  <c r="P90" i="21"/>
  <c r="P89" i="21"/>
  <c r="P88" i="21"/>
  <c r="P80" i="21"/>
  <c r="P94" i="21"/>
  <c r="P85" i="21"/>
  <c r="P92" i="21"/>
  <c r="E76" i="21"/>
  <c r="F76" i="21" s="1"/>
  <c r="P87" i="21"/>
  <c r="E75" i="21"/>
  <c r="F75" i="21" s="1"/>
  <c r="E74" i="21"/>
  <c r="F74" i="21" s="1"/>
  <c r="P76" i="21"/>
  <c r="P74" i="21"/>
  <c r="P75" i="21"/>
  <c r="Q95" i="21" l="1"/>
  <c r="R95" i="21" s="1"/>
  <c r="Q86" i="21"/>
  <c r="R86" i="21" s="1"/>
  <c r="Q96" i="21"/>
  <c r="R96" i="21" s="1"/>
  <c r="Q76" i="21"/>
  <c r="R76" i="21" s="1"/>
  <c r="Q87" i="21"/>
  <c r="R87" i="21" s="1"/>
  <c r="Q85" i="21"/>
  <c r="R85" i="21" s="1"/>
  <c r="Q88" i="21"/>
  <c r="R88" i="21" s="1"/>
  <c r="Q81" i="21"/>
  <c r="R81" i="21" s="1"/>
  <c r="Q75" i="21"/>
  <c r="R75" i="21" s="1"/>
  <c r="Q80" i="21"/>
  <c r="R80" i="21" s="1"/>
  <c r="Q83" i="21"/>
  <c r="R83" i="21" s="1"/>
  <c r="Q74" i="21"/>
  <c r="R74" i="21" s="1"/>
  <c r="Q97" i="21"/>
  <c r="R97" i="21" s="1"/>
  <c r="Q91" i="21"/>
  <c r="R91" i="21" s="1"/>
  <c r="Q94" i="21"/>
  <c r="R94" i="21" s="1"/>
  <c r="Q82" i="21"/>
  <c r="R82" i="21" s="1"/>
  <c r="Q77" i="21"/>
  <c r="R77" i="21" s="1"/>
  <c r="Q98" i="21"/>
  <c r="R98" i="21" s="1"/>
  <c r="Q93" i="21"/>
  <c r="R93" i="21" s="1"/>
  <c r="Q92" i="21"/>
  <c r="R92" i="21" s="1"/>
  <c r="Q89" i="21"/>
  <c r="R89" i="21" s="1"/>
  <c r="Q90" i="21"/>
  <c r="R90" i="21" s="1"/>
  <c r="Q78" i="21"/>
  <c r="R78" i="21" s="1"/>
  <c r="Q84" i="21"/>
  <c r="R84" i="21" s="1"/>
  <c r="B77" i="21"/>
  <c r="B78" i="21" l="1"/>
  <c r="N77" i="21"/>
  <c r="B79" i="21" l="1"/>
  <c r="N78" i="21"/>
  <c r="C8" i="26"/>
  <c r="C9" i="26"/>
  <c r="C10" i="26"/>
  <c r="C7" i="26"/>
  <c r="I62" i="26" l="1"/>
  <c r="B80" i="21"/>
  <c r="N79" i="21"/>
  <c r="D77" i="21" l="1"/>
  <c r="I7" i="21"/>
  <c r="I11" i="21"/>
  <c r="D29" i="26"/>
  <c r="B81" i="21"/>
  <c r="N80" i="21"/>
  <c r="D31" i="26"/>
  <c r="D28" i="26"/>
  <c r="D30" i="26"/>
  <c r="I9" i="21"/>
  <c r="I13" i="21"/>
  <c r="I15" i="21"/>
  <c r="K76" i="21" l="1"/>
  <c r="K74" i="21"/>
  <c r="K75" i="21"/>
  <c r="W79" i="21"/>
  <c r="W86" i="21"/>
  <c r="W96" i="21"/>
  <c r="W83" i="21"/>
  <c r="W82" i="21"/>
  <c r="W93" i="21"/>
  <c r="W85" i="21"/>
  <c r="W94" i="21"/>
  <c r="W78" i="21"/>
  <c r="W81" i="21"/>
  <c r="W97" i="21"/>
  <c r="W91" i="21"/>
  <c r="W92" i="21"/>
  <c r="W84" i="21"/>
  <c r="W80" i="21"/>
  <c r="W88" i="21"/>
  <c r="W76" i="21"/>
  <c r="W89" i="21"/>
  <c r="W95" i="21"/>
  <c r="W87" i="21"/>
  <c r="W75" i="21"/>
  <c r="W90" i="21"/>
  <c r="W74" i="21"/>
  <c r="Y74" i="21" s="1"/>
  <c r="W77" i="21"/>
  <c r="W98" i="21"/>
  <c r="G74" i="21"/>
  <c r="G76" i="21"/>
  <c r="H75" i="21"/>
  <c r="H76" i="21"/>
  <c r="T79" i="21"/>
  <c r="G75" i="21"/>
  <c r="H74" i="21"/>
  <c r="S79" i="21"/>
  <c r="S81" i="21"/>
  <c r="S97" i="21"/>
  <c r="T92" i="21"/>
  <c r="T84" i="21"/>
  <c r="S96" i="21"/>
  <c r="S88" i="21"/>
  <c r="T80" i="21"/>
  <c r="S74" i="21"/>
  <c r="T91" i="21"/>
  <c r="S77" i="21"/>
  <c r="T93" i="21"/>
  <c r="S89" i="21"/>
  <c r="T75" i="21"/>
  <c r="S92" i="21"/>
  <c r="T90" i="21"/>
  <c r="S84" i="21"/>
  <c r="S82" i="21"/>
  <c r="T78" i="21"/>
  <c r="S93" i="21"/>
  <c r="T82" i="21"/>
  <c r="S75" i="21"/>
  <c r="S90" i="21"/>
  <c r="T95" i="21"/>
  <c r="T86" i="21"/>
  <c r="T94" i="21"/>
  <c r="S78" i="21"/>
  <c r="T83" i="21"/>
  <c r="T87" i="21"/>
  <c r="S83" i="21"/>
  <c r="T98" i="21"/>
  <c r="S95" i="21"/>
  <c r="S91" i="21"/>
  <c r="S76" i="21"/>
  <c r="T74" i="21"/>
  <c r="S86" i="21"/>
  <c r="S85" i="21"/>
  <c r="S80" i="21"/>
  <c r="T77" i="21"/>
  <c r="S87" i="21"/>
  <c r="T89" i="21"/>
  <c r="T85" i="21"/>
  <c r="T96" i="21"/>
  <c r="T76" i="21"/>
  <c r="T88" i="21"/>
  <c r="T81" i="21"/>
  <c r="T97" i="21"/>
  <c r="S94" i="21"/>
  <c r="S98" i="21"/>
  <c r="U79" i="21"/>
  <c r="I75" i="21"/>
  <c r="I76" i="21"/>
  <c r="I74" i="21"/>
  <c r="U85" i="21"/>
  <c r="U94" i="21"/>
  <c r="U78" i="21"/>
  <c r="U90" i="21"/>
  <c r="U76" i="21"/>
  <c r="U92" i="21"/>
  <c r="U84" i="21"/>
  <c r="U80" i="21"/>
  <c r="U93" i="21"/>
  <c r="U81" i="21"/>
  <c r="U74" i="21"/>
  <c r="U86" i="21"/>
  <c r="U87" i="21"/>
  <c r="U91" i="21"/>
  <c r="U96" i="21"/>
  <c r="U77" i="21"/>
  <c r="U83" i="21"/>
  <c r="U95" i="21"/>
  <c r="U75" i="21"/>
  <c r="U89" i="21"/>
  <c r="U98" i="21"/>
  <c r="U82" i="21"/>
  <c r="U88" i="21"/>
  <c r="U97" i="21"/>
  <c r="J76" i="21"/>
  <c r="V79" i="21"/>
  <c r="J75" i="21"/>
  <c r="J74" i="21"/>
  <c r="V90" i="21"/>
  <c r="V86" i="21"/>
  <c r="V81" i="21"/>
  <c r="V92" i="21"/>
  <c r="V82" i="21"/>
  <c r="V87" i="21"/>
  <c r="V77" i="21"/>
  <c r="V96" i="21"/>
  <c r="V76" i="21"/>
  <c r="V97" i="21"/>
  <c r="V93" i="21"/>
  <c r="V98" i="21"/>
  <c r="V75" i="21"/>
  <c r="V84" i="21"/>
  <c r="V80" i="21"/>
  <c r="V89" i="21"/>
  <c r="V88" i="21"/>
  <c r="V74" i="21"/>
  <c r="V78" i="21"/>
  <c r="V85" i="21"/>
  <c r="V91" i="21"/>
  <c r="V95" i="21"/>
  <c r="V94" i="21"/>
  <c r="V83" i="21"/>
  <c r="X79" i="21"/>
  <c r="L75" i="21"/>
  <c r="L74" i="21"/>
  <c r="L76" i="21"/>
  <c r="X88" i="21"/>
  <c r="X80" i="21"/>
  <c r="X90" i="21"/>
  <c r="X95" i="21"/>
  <c r="X86" i="21"/>
  <c r="X87" i="21"/>
  <c r="X83" i="21"/>
  <c r="X82" i="21"/>
  <c r="X98" i="21"/>
  <c r="X93" i="21"/>
  <c r="X77" i="21"/>
  <c r="X92" i="21"/>
  <c r="X85" i="21"/>
  <c r="X94" i="21"/>
  <c r="X78" i="21"/>
  <c r="X96" i="21"/>
  <c r="X76" i="21"/>
  <c r="X81" i="21"/>
  <c r="X74" i="21"/>
  <c r="X97" i="21"/>
  <c r="X91" i="21"/>
  <c r="X89" i="21"/>
  <c r="X84" i="21"/>
  <c r="X75" i="21"/>
  <c r="I77" i="21"/>
  <c r="K77" i="21"/>
  <c r="L77" i="21"/>
  <c r="H77" i="21"/>
  <c r="G77" i="21"/>
  <c r="B82" i="21"/>
  <c r="N81" i="21"/>
  <c r="M74" i="21" l="1"/>
  <c r="Y75" i="21"/>
  <c r="M75" i="21"/>
  <c r="M76" i="21"/>
  <c r="Y76" i="21"/>
  <c r="B83" i="21"/>
  <c r="N82" i="21"/>
  <c r="B4" i="5"/>
  <c r="B5" i="5" s="1"/>
  <c r="B6" i="5" s="1"/>
  <c r="B7" i="5" s="1"/>
  <c r="B8" i="5" s="1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C27" i="5"/>
  <c r="C3" i="5" l="1"/>
  <c r="I5" i="27" s="1"/>
  <c r="E45" i="22" s="1"/>
  <c r="B75" i="22" s="1"/>
  <c r="C4" i="5"/>
  <c r="E77" i="21"/>
  <c r="F77" i="21" s="1"/>
  <c r="J77" i="21" s="1"/>
  <c r="C14" i="5"/>
  <c r="I16" i="27" s="1"/>
  <c r="C13" i="5"/>
  <c r="I15" i="27" s="1"/>
  <c r="C19" i="5"/>
  <c r="I21" i="27" s="1"/>
  <c r="B84" i="21"/>
  <c r="N83" i="21"/>
  <c r="C22" i="5"/>
  <c r="I24" i="27" s="1"/>
  <c r="C23" i="5"/>
  <c r="I25" i="27" s="1"/>
  <c r="C6" i="5"/>
  <c r="I8" i="27" s="1"/>
  <c r="C26" i="5"/>
  <c r="C25" i="5"/>
  <c r="I27" i="27" s="1"/>
  <c r="C8" i="5"/>
  <c r="I10" i="27" s="1"/>
  <c r="C18" i="5"/>
  <c r="I20" i="27" s="1"/>
  <c r="C16" i="5"/>
  <c r="I18" i="27" s="1"/>
  <c r="C7" i="5"/>
  <c r="C10" i="5"/>
  <c r="I12" i="27" s="1"/>
  <c r="C21" i="5"/>
  <c r="I23" i="27" s="1"/>
  <c r="C12" i="5"/>
  <c r="I14" i="27" s="1"/>
  <c r="C24" i="5"/>
  <c r="I26" i="27" s="1"/>
  <c r="C15" i="5"/>
  <c r="I17" i="27" s="1"/>
  <c r="C5" i="5"/>
  <c r="I7" i="27" s="1"/>
  <c r="C20" i="5"/>
  <c r="I22" i="27" s="1"/>
  <c r="C11" i="5"/>
  <c r="I13" i="27" s="1"/>
  <c r="C9" i="5"/>
  <c r="I11" i="27" s="1"/>
  <c r="C17" i="5"/>
  <c r="I19" i="27" s="1"/>
  <c r="Y90" i="21" l="1"/>
  <c r="I28" i="27"/>
  <c r="M108" i="35"/>
  <c r="Y92" i="21"/>
  <c r="Y94" i="21"/>
  <c r="Y91" i="21"/>
  <c r="Y87" i="21"/>
  <c r="Y89" i="21"/>
  <c r="Y98" i="21"/>
  <c r="Y79" i="21"/>
  <c r="Y85" i="21"/>
  <c r="Y96" i="21"/>
  <c r="Y80" i="21"/>
  <c r="Y86" i="21"/>
  <c r="Y78" i="21"/>
  <c r="Y88" i="21"/>
  <c r="Y95" i="21"/>
  <c r="Y82" i="21"/>
  <c r="Y93" i="21"/>
  <c r="Y97" i="21"/>
  <c r="Y81" i="21"/>
  <c r="Y84" i="21"/>
  <c r="Y83" i="21"/>
  <c r="Y77" i="21"/>
  <c r="M76" i="35"/>
  <c r="E60" i="22"/>
  <c r="B90" i="22" s="1"/>
  <c r="E56" i="22"/>
  <c r="B86" i="22" s="1"/>
  <c r="E62" i="22"/>
  <c r="B92" i="22" s="1"/>
  <c r="E50" i="22"/>
  <c r="B80" i="22" s="1"/>
  <c r="E61" i="22"/>
  <c r="B91" i="22" s="1"/>
  <c r="E53" i="22"/>
  <c r="B83" i="22" s="1"/>
  <c r="E64" i="22"/>
  <c r="B94" i="22" s="1"/>
  <c r="E55" i="22"/>
  <c r="B85" i="22" s="1"/>
  <c r="E63" i="22"/>
  <c r="B93" i="22" s="1"/>
  <c r="E66" i="22"/>
  <c r="B96" i="22" s="1"/>
  <c r="E54" i="22"/>
  <c r="B84" i="22" s="1"/>
  <c r="E57" i="22"/>
  <c r="B87" i="22" s="1"/>
  <c r="E68" i="22"/>
  <c r="B98" i="22" s="1"/>
  <c r="E52" i="22"/>
  <c r="B82" i="22" s="1"/>
  <c r="E67" i="22"/>
  <c r="B97" i="22" s="1"/>
  <c r="E59" i="22"/>
  <c r="B89" i="22" s="1"/>
  <c r="E51" i="22"/>
  <c r="B81" i="22" s="1"/>
  <c r="E58" i="22"/>
  <c r="B88" i="22" s="1"/>
  <c r="E65" i="22"/>
  <c r="B95" i="22" s="1"/>
  <c r="B85" i="21"/>
  <c r="N84" i="21"/>
  <c r="Y99" i="21" l="1"/>
  <c r="B86" i="21"/>
  <c r="N85" i="21"/>
  <c r="D82" i="21"/>
  <c r="D81" i="21"/>
  <c r="D78" i="21"/>
  <c r="L78" i="21" l="1"/>
  <c r="I78" i="21"/>
  <c r="K78" i="21"/>
  <c r="H78" i="21"/>
  <c r="G78" i="21"/>
  <c r="H82" i="21"/>
  <c r="I82" i="21"/>
  <c r="K82" i="21"/>
  <c r="L82" i="21"/>
  <c r="G82" i="21"/>
  <c r="L81" i="21"/>
  <c r="H81" i="21"/>
  <c r="I81" i="21"/>
  <c r="K81" i="21"/>
  <c r="G81" i="21"/>
  <c r="B87" i="21"/>
  <c r="N86" i="21"/>
  <c r="D80" i="21"/>
  <c r="D84" i="21"/>
  <c r="D83" i="21"/>
  <c r="E78" i="21"/>
  <c r="F78" i="21" s="1"/>
  <c r="J78" i="21" s="1"/>
  <c r="E81" i="21"/>
  <c r="F81" i="21" s="1"/>
  <c r="J81" i="21" s="1"/>
  <c r="E82" i="21"/>
  <c r="F82" i="21" s="1"/>
  <c r="J82" i="21" s="1"/>
  <c r="D85" i="21"/>
  <c r="D79" i="21"/>
  <c r="K83" i="21" l="1"/>
  <c r="L83" i="21"/>
  <c r="H83" i="21"/>
  <c r="I83" i="21"/>
  <c r="G83" i="21"/>
  <c r="H84" i="21"/>
  <c r="I84" i="21"/>
  <c r="K84" i="21"/>
  <c r="L84" i="21"/>
  <c r="G84" i="21"/>
  <c r="I85" i="21"/>
  <c r="K85" i="21"/>
  <c r="L85" i="21"/>
  <c r="H85" i="21"/>
  <c r="G85" i="21"/>
  <c r="K80" i="21"/>
  <c r="L80" i="21"/>
  <c r="I80" i="21"/>
  <c r="H80" i="21"/>
  <c r="G80" i="21"/>
  <c r="H79" i="21"/>
  <c r="I79" i="21"/>
  <c r="K79" i="21"/>
  <c r="L79" i="21"/>
  <c r="G79" i="21"/>
  <c r="E84" i="21"/>
  <c r="F84" i="21" s="1"/>
  <c r="J84" i="21" s="1"/>
  <c r="D86" i="21"/>
  <c r="B88" i="21"/>
  <c r="N87" i="21"/>
  <c r="E80" i="21"/>
  <c r="F80" i="21" s="1"/>
  <c r="J80" i="21" s="1"/>
  <c r="E83" i="21"/>
  <c r="F83" i="21" s="1"/>
  <c r="J83" i="21" s="1"/>
  <c r="E85" i="21"/>
  <c r="F85" i="21" s="1"/>
  <c r="J85" i="21" s="1"/>
  <c r="E79" i="21"/>
  <c r="F79" i="21" s="1"/>
  <c r="J79" i="21" s="1"/>
  <c r="L86" i="21" l="1"/>
  <c r="I86" i="21"/>
  <c r="K86" i="21"/>
  <c r="H86" i="21"/>
  <c r="G86" i="21"/>
  <c r="M78" i="21"/>
  <c r="M81" i="21"/>
  <c r="Z81" i="21" s="1"/>
  <c r="E21" i="22" s="1"/>
  <c r="M82" i="21"/>
  <c r="Z82" i="21" s="1"/>
  <c r="E22" i="22" s="1"/>
  <c r="M77" i="21"/>
  <c r="M83" i="21"/>
  <c r="B89" i="21"/>
  <c r="N88" i="21"/>
  <c r="E86" i="21"/>
  <c r="F86" i="21" s="1"/>
  <c r="J86" i="21" s="1"/>
  <c r="D87" i="21"/>
  <c r="H87" i="21" l="1"/>
  <c r="I87" i="21"/>
  <c r="K87" i="21"/>
  <c r="L87" i="21"/>
  <c r="G87" i="21"/>
  <c r="M84" i="21"/>
  <c r="Z84" i="21" s="1"/>
  <c r="E24" i="22" s="1"/>
  <c r="AA82" i="21"/>
  <c r="AA81" i="21"/>
  <c r="M80" i="21"/>
  <c r="Z80" i="21" s="1"/>
  <c r="M79" i="21"/>
  <c r="Z79" i="21" s="1"/>
  <c r="M85" i="21"/>
  <c r="Z85" i="21" s="1"/>
  <c r="E25" i="22" s="1"/>
  <c r="Z83" i="21"/>
  <c r="E23" i="22" s="1"/>
  <c r="E87" i="21"/>
  <c r="F87" i="21" s="1"/>
  <c r="J87" i="21" s="1"/>
  <c r="D88" i="21"/>
  <c r="B90" i="21"/>
  <c r="N89" i="21"/>
  <c r="K88" i="21" l="1"/>
  <c r="L88" i="21"/>
  <c r="I88" i="21"/>
  <c r="H88" i="21"/>
  <c r="G88" i="21"/>
  <c r="AA80" i="21"/>
  <c r="E20" i="22"/>
  <c r="AA79" i="21"/>
  <c r="E19" i="22"/>
  <c r="AA83" i="21"/>
  <c r="AA85" i="21"/>
  <c r="AA84" i="21"/>
  <c r="M86" i="21"/>
  <c r="Z86" i="21" s="1"/>
  <c r="E26" i="22" s="1"/>
  <c r="D89" i="21"/>
  <c r="E88" i="21"/>
  <c r="F88" i="21" s="1"/>
  <c r="J88" i="21" s="1"/>
  <c r="B91" i="21"/>
  <c r="N90" i="21"/>
  <c r="L89" i="21" l="1"/>
  <c r="H89" i="21"/>
  <c r="I89" i="21"/>
  <c r="K89" i="21"/>
  <c r="G89" i="21"/>
  <c r="AA86" i="21"/>
  <c r="M87" i="21"/>
  <c r="Z87" i="21" s="1"/>
  <c r="E27" i="22" s="1"/>
  <c r="B92" i="21"/>
  <c r="N91" i="21"/>
  <c r="E89" i="21"/>
  <c r="F89" i="21" s="1"/>
  <c r="J89" i="21" s="1"/>
  <c r="D90" i="21"/>
  <c r="H90" i="21" l="1"/>
  <c r="I90" i="21"/>
  <c r="K90" i="21"/>
  <c r="L90" i="21"/>
  <c r="G90" i="21"/>
  <c r="AA87" i="21"/>
  <c r="M88" i="21"/>
  <c r="B93" i="21"/>
  <c r="N92" i="21"/>
  <c r="E90" i="21"/>
  <c r="F90" i="21" s="1"/>
  <c r="J90" i="21" s="1"/>
  <c r="D91" i="21"/>
  <c r="K91" i="21" l="1"/>
  <c r="L91" i="21"/>
  <c r="H91" i="21"/>
  <c r="I91" i="21"/>
  <c r="G91" i="21"/>
  <c r="M89" i="21"/>
  <c r="Z89" i="21" s="1"/>
  <c r="E29" i="22" s="1"/>
  <c r="Z88" i="21"/>
  <c r="B94" i="21"/>
  <c r="N93" i="21"/>
  <c r="E91" i="21"/>
  <c r="F91" i="21" s="1"/>
  <c r="J91" i="21" s="1"/>
  <c r="D92" i="21"/>
  <c r="H92" i="21" l="1"/>
  <c r="I92" i="21"/>
  <c r="K92" i="21"/>
  <c r="L92" i="21"/>
  <c r="G92" i="21"/>
  <c r="E28" i="22"/>
  <c r="AA89" i="21"/>
  <c r="AA88" i="21"/>
  <c r="M90" i="21"/>
  <c r="Z90" i="21" s="1"/>
  <c r="E30" i="22" s="1"/>
  <c r="E92" i="21"/>
  <c r="F92" i="21" s="1"/>
  <c r="J92" i="21" s="1"/>
  <c r="B95" i="21"/>
  <c r="B96" i="21" s="1"/>
  <c r="N94" i="21"/>
  <c r="D93" i="21"/>
  <c r="I93" i="21" l="1"/>
  <c r="K93" i="21"/>
  <c r="L93" i="21"/>
  <c r="H93" i="21"/>
  <c r="G93" i="21"/>
  <c r="AA90" i="21"/>
  <c r="M91" i="21"/>
  <c r="Z91" i="21" s="1"/>
  <c r="E31" i="22" s="1"/>
  <c r="N96" i="21"/>
  <c r="B97" i="21"/>
  <c r="E93" i="21"/>
  <c r="F93" i="21" s="1"/>
  <c r="J93" i="21" s="1"/>
  <c r="D94" i="21"/>
  <c r="N95" i="21"/>
  <c r="L94" i="21" l="1"/>
  <c r="K94" i="21"/>
  <c r="I94" i="21"/>
  <c r="H94" i="21"/>
  <c r="G94" i="21"/>
  <c r="AA91" i="21"/>
  <c r="M92" i="21"/>
  <c r="Z92" i="21" s="1"/>
  <c r="E32" i="22" s="1"/>
  <c r="D96" i="21"/>
  <c r="N97" i="21"/>
  <c r="B98" i="21"/>
  <c r="D95" i="21"/>
  <c r="E94" i="21"/>
  <c r="F94" i="21" s="1"/>
  <c r="J94" i="21" s="1"/>
  <c r="H95" i="21" l="1"/>
  <c r="L95" i="21"/>
  <c r="I95" i="21"/>
  <c r="K95" i="21"/>
  <c r="G95" i="21"/>
  <c r="K96" i="21"/>
  <c r="L96" i="21"/>
  <c r="H96" i="21"/>
  <c r="I96" i="21"/>
  <c r="G96" i="21"/>
  <c r="AA92" i="21"/>
  <c r="M93" i="21"/>
  <c r="Z93" i="21" s="1"/>
  <c r="E33" i="22" s="1"/>
  <c r="N98" i="21"/>
  <c r="D97" i="21"/>
  <c r="E96" i="21"/>
  <c r="F96" i="21" s="1"/>
  <c r="J96" i="21" s="1"/>
  <c r="E95" i="21"/>
  <c r="F95" i="21" s="1"/>
  <c r="J95" i="21" s="1"/>
  <c r="L97" i="21" l="1"/>
  <c r="H97" i="21"/>
  <c r="I97" i="21"/>
  <c r="K97" i="21"/>
  <c r="G97" i="21"/>
  <c r="AA93" i="21"/>
  <c r="M94" i="21"/>
  <c r="Z94" i="21" s="1"/>
  <c r="E34" i="22" s="1"/>
  <c r="E97" i="21"/>
  <c r="F97" i="21" s="1"/>
  <c r="J97" i="21" s="1"/>
  <c r="D98" i="21"/>
  <c r="H98" i="21" l="1"/>
  <c r="I98" i="21"/>
  <c r="K98" i="21"/>
  <c r="L98" i="21"/>
  <c r="G98" i="21"/>
  <c r="AA94" i="21"/>
  <c r="M96" i="21"/>
  <c r="Z96" i="21" s="1"/>
  <c r="E36" i="22" s="1"/>
  <c r="M95" i="21"/>
  <c r="Z95" i="21" s="1"/>
  <c r="E35" i="22" s="1"/>
  <c r="E98" i="21"/>
  <c r="F98" i="21" s="1"/>
  <c r="J98" i="21" s="1"/>
  <c r="AA96" i="21" l="1"/>
  <c r="AA95" i="21"/>
  <c r="M97" i="21"/>
  <c r="Z97" i="21" s="1"/>
  <c r="E37" i="22" s="1"/>
  <c r="AA97" i="21" l="1"/>
  <c r="M98" i="21"/>
  <c r="Z98" i="21" l="1"/>
  <c r="M99" i="21"/>
  <c r="AA98" i="21"/>
  <c r="AA99" i="21" s="1"/>
  <c r="E38" i="22" l="1"/>
  <c r="E39" i="22" s="1"/>
  <c r="Z99" i="21"/>
  <c r="H62" i="26"/>
  <c r="J62" i="26" l="1"/>
  <c r="C90" i="26" s="1"/>
  <c r="H90" i="26" s="1"/>
  <c r="E90" i="26" l="1"/>
  <c r="F90" i="26"/>
  <c r="G90" i="26"/>
  <c r="D90" i="26"/>
  <c r="I90" i="26" l="1"/>
  <c r="D37" i="22" s="1"/>
  <c r="J90" i="26" l="1"/>
  <c r="P20" i="35" l="1"/>
  <c r="I89" i="35" s="1"/>
  <c r="K38" i="35"/>
  <c r="H75" i="35" s="1"/>
  <c r="J38" i="35"/>
  <c r="I75" i="35" s="1"/>
  <c r="J30" i="35"/>
  <c r="I67" i="35" s="1"/>
  <c r="K30" i="35"/>
  <c r="H67" i="35" s="1"/>
  <c r="J20" i="35"/>
  <c r="I57" i="35" s="1"/>
  <c r="K20" i="35"/>
  <c r="H57" i="35" s="1"/>
  <c r="K34" i="35"/>
  <c r="H71" i="35" s="1"/>
  <c r="J34" i="35"/>
  <c r="I71" i="35" s="1"/>
  <c r="K29" i="35"/>
  <c r="H66" i="35" s="1"/>
  <c r="J29" i="35"/>
  <c r="I66" i="35" s="1"/>
  <c r="J31" i="35"/>
  <c r="I68" i="35" s="1"/>
  <c r="K31" i="35"/>
  <c r="H68" i="35" s="1"/>
  <c r="K23" i="35"/>
  <c r="H60" i="35" s="1"/>
  <c r="J23" i="35"/>
  <c r="I60" i="35" s="1"/>
  <c r="K24" i="35"/>
  <c r="H61" i="35" s="1"/>
  <c r="J24" i="35"/>
  <c r="I61" i="35" s="1"/>
  <c r="J25" i="35"/>
  <c r="I62" i="35" s="1"/>
  <c r="K25" i="35"/>
  <c r="H62" i="35" s="1"/>
  <c r="K32" i="35"/>
  <c r="H69" i="35" s="1"/>
  <c r="J32" i="35"/>
  <c r="I69" i="35" s="1"/>
  <c r="J28" i="35"/>
  <c r="I65" i="35" s="1"/>
  <c r="K28" i="35"/>
  <c r="H65" i="35" s="1"/>
  <c r="K21" i="35"/>
  <c r="H58" i="35" s="1"/>
  <c r="J21" i="35"/>
  <c r="I58" i="35" s="1"/>
  <c r="K35" i="35"/>
  <c r="H72" i="35" s="1"/>
  <c r="J35" i="35"/>
  <c r="I72" i="35" s="1"/>
  <c r="J26" i="35"/>
  <c r="I63" i="35" s="1"/>
  <c r="K26" i="35"/>
  <c r="H63" i="35" s="1"/>
  <c r="J36" i="35"/>
  <c r="I73" i="35" s="1"/>
  <c r="K36" i="35"/>
  <c r="H73" i="35" s="1"/>
  <c r="K37" i="35"/>
  <c r="H74" i="35" s="1"/>
  <c r="J37" i="35"/>
  <c r="I74" i="35" s="1"/>
  <c r="J22" i="35"/>
  <c r="I59" i="35" s="1"/>
  <c r="K22" i="35"/>
  <c r="H59" i="35" s="1"/>
  <c r="J33" i="35"/>
  <c r="I70" i="35" s="1"/>
  <c r="K33" i="35"/>
  <c r="H70" i="35" s="1"/>
  <c r="K27" i="35"/>
  <c r="H64" i="35" s="1"/>
  <c r="J27" i="35"/>
  <c r="I64" i="35" s="1"/>
  <c r="N15" i="35" l="1"/>
  <c r="E84" i="35" s="1"/>
  <c r="O15" i="35"/>
  <c r="D84" i="35" s="1"/>
  <c r="I47" i="26"/>
  <c r="I56" i="26"/>
  <c r="I53" i="26"/>
  <c r="I58" i="26"/>
  <c r="I45" i="26"/>
  <c r="I54" i="26"/>
  <c r="P32" i="35"/>
  <c r="I101" i="35" s="1"/>
  <c r="I55" i="26"/>
  <c r="I51" i="26"/>
  <c r="Q29" i="35"/>
  <c r="H98" i="35" s="1"/>
  <c r="I52" i="26"/>
  <c r="I59" i="26"/>
  <c r="I44" i="26"/>
  <c r="I49" i="26"/>
  <c r="I46" i="26"/>
  <c r="I57" i="26"/>
  <c r="I48" i="26"/>
  <c r="I61" i="26"/>
  <c r="I60" i="26"/>
  <c r="Q27" i="35"/>
  <c r="H96" i="35" s="1"/>
  <c r="I50" i="26"/>
  <c r="Q32" i="35"/>
  <c r="H101" i="35" s="1"/>
  <c r="P29" i="35"/>
  <c r="I98" i="35" s="1"/>
  <c r="P27" i="35"/>
  <c r="I96" i="35" s="1"/>
  <c r="P21" i="35"/>
  <c r="I90" i="35" s="1"/>
  <c r="Q21" i="35"/>
  <c r="H90" i="35" s="1"/>
  <c r="Q25" i="35"/>
  <c r="H94" i="35" s="1"/>
  <c r="P25" i="35"/>
  <c r="I94" i="35" s="1"/>
  <c r="P36" i="35"/>
  <c r="I105" i="35" s="1"/>
  <c r="Q36" i="35"/>
  <c r="H105" i="35" s="1"/>
  <c r="P38" i="35"/>
  <c r="I107" i="35" s="1"/>
  <c r="Q38" i="35"/>
  <c r="H107" i="35" s="1"/>
  <c r="P26" i="35"/>
  <c r="I95" i="35" s="1"/>
  <c r="Q26" i="35"/>
  <c r="H95" i="35" s="1"/>
  <c r="P24" i="35"/>
  <c r="I93" i="35" s="1"/>
  <c r="Q24" i="35"/>
  <c r="H93" i="35" s="1"/>
  <c r="P37" i="35"/>
  <c r="I106" i="35" s="1"/>
  <c r="Q37" i="35"/>
  <c r="H106" i="35" s="1"/>
  <c r="P28" i="35"/>
  <c r="I97" i="35" s="1"/>
  <c r="Q28" i="35"/>
  <c r="H97" i="35" s="1"/>
  <c r="P23" i="35"/>
  <c r="I92" i="35" s="1"/>
  <c r="Q23" i="35"/>
  <c r="H92" i="35" s="1"/>
  <c r="P33" i="35"/>
  <c r="I102" i="35" s="1"/>
  <c r="Q33" i="35"/>
  <c r="H102" i="35" s="1"/>
  <c r="Q30" i="35"/>
  <c r="H99" i="35" s="1"/>
  <c r="P30" i="35"/>
  <c r="I99" i="35" s="1"/>
  <c r="P34" i="35"/>
  <c r="I103" i="35" s="1"/>
  <c r="Q34" i="35"/>
  <c r="H103" i="35" s="1"/>
  <c r="P22" i="35"/>
  <c r="I91" i="35" s="1"/>
  <c r="Q22" i="35"/>
  <c r="H91" i="35" s="1"/>
  <c r="P35" i="35"/>
  <c r="I104" i="35" s="1"/>
  <c r="Q35" i="35"/>
  <c r="H104" i="35" s="1"/>
  <c r="Q31" i="35"/>
  <c r="H100" i="35" s="1"/>
  <c r="P31" i="35"/>
  <c r="I100" i="35" s="1"/>
  <c r="N22" i="35" l="1"/>
  <c r="E91" i="35" s="1"/>
  <c r="O22" i="35"/>
  <c r="D91" i="35" s="1"/>
  <c r="O19" i="35" l="1"/>
  <c r="D88" i="35" s="1"/>
  <c r="N19" i="35"/>
  <c r="E88" i="35" s="1"/>
  <c r="N27" i="35"/>
  <c r="O27" i="35"/>
  <c r="N38" i="35"/>
  <c r="O38" i="35"/>
  <c r="O36" i="35"/>
  <c r="N36" i="35"/>
  <c r="N30" i="35"/>
  <c r="O30" i="35"/>
  <c r="N34" i="35"/>
  <c r="O34" i="35"/>
  <c r="O23" i="35"/>
  <c r="D92" i="35" s="1"/>
  <c r="N23" i="35"/>
  <c r="E92" i="35" s="1"/>
  <c r="N32" i="35"/>
  <c r="O32" i="35"/>
  <c r="N17" i="35"/>
  <c r="E86" i="35" s="1"/>
  <c r="O17" i="35"/>
  <c r="D86" i="35" s="1"/>
  <c r="N37" i="35"/>
  <c r="O37" i="35"/>
  <c r="N16" i="35"/>
  <c r="E85" i="35" s="1"/>
  <c r="O16" i="35"/>
  <c r="D85" i="35" s="1"/>
  <c r="N20" i="35"/>
  <c r="E89" i="35" s="1"/>
  <c r="K89" i="35" s="1"/>
  <c r="O20" i="35"/>
  <c r="D89" i="35" s="1"/>
  <c r="J89" i="35" s="1"/>
  <c r="N28" i="35"/>
  <c r="O28" i="35"/>
  <c r="N31" i="35"/>
  <c r="O31" i="35"/>
  <c r="N18" i="35"/>
  <c r="E87" i="35" s="1"/>
  <c r="O18" i="35"/>
  <c r="D87" i="35" s="1"/>
  <c r="N25" i="35"/>
  <c r="O25" i="35"/>
  <c r="D94" i="35" s="1"/>
  <c r="O29" i="35"/>
  <c r="N29" i="35"/>
  <c r="O33" i="35"/>
  <c r="N33" i="35"/>
  <c r="O35" i="35"/>
  <c r="N35" i="35"/>
  <c r="N21" i="35"/>
  <c r="E90" i="35" s="1"/>
  <c r="O21" i="35"/>
  <c r="D90" i="35" s="1"/>
  <c r="N26" i="35"/>
  <c r="O26" i="35"/>
  <c r="N24" i="35"/>
  <c r="E93" i="35" s="1"/>
  <c r="O24" i="35"/>
  <c r="D93" i="35" s="1"/>
  <c r="K91" i="35" l="1"/>
  <c r="E100" i="35"/>
  <c r="K100" i="35" s="1"/>
  <c r="E96" i="35"/>
  <c r="K96" i="35" s="1"/>
  <c r="E105" i="35"/>
  <c r="K105" i="35" s="1"/>
  <c r="D105" i="35"/>
  <c r="J105" i="35" s="1"/>
  <c r="E98" i="35"/>
  <c r="K98" i="35" s="1"/>
  <c r="D98" i="35"/>
  <c r="J98" i="35" s="1"/>
  <c r="K90" i="35"/>
  <c r="E99" i="35"/>
  <c r="K99" i="35" s="1"/>
  <c r="D107" i="35"/>
  <c r="J107" i="35" s="1"/>
  <c r="D95" i="35"/>
  <c r="J95" i="35" s="1"/>
  <c r="E106" i="35"/>
  <c r="K106" i="35" s="1"/>
  <c r="E95" i="35"/>
  <c r="K95" i="35" s="1"/>
  <c r="D97" i="35"/>
  <c r="J97" i="35" s="1"/>
  <c r="J90" i="35"/>
  <c r="D99" i="35"/>
  <c r="J99" i="35" s="1"/>
  <c r="E94" i="35"/>
  <c r="K94" i="35" s="1"/>
  <c r="D104" i="35"/>
  <c r="J104" i="35" s="1"/>
  <c r="E107" i="35"/>
  <c r="K107" i="35" s="1"/>
  <c r="J93" i="35"/>
  <c r="D102" i="35"/>
  <c r="J102" i="35" s="1"/>
  <c r="E103" i="35"/>
  <c r="K103" i="35" s="1"/>
  <c r="E97" i="35"/>
  <c r="K97" i="35" s="1"/>
  <c r="J92" i="35"/>
  <c r="D101" i="35"/>
  <c r="J101" i="35" s="1"/>
  <c r="E104" i="35"/>
  <c r="K104" i="35" s="1"/>
  <c r="K92" i="35"/>
  <c r="E101" i="35"/>
  <c r="K101" i="35" s="1"/>
  <c r="K93" i="35"/>
  <c r="E102" i="35"/>
  <c r="K102" i="35" s="1"/>
  <c r="J91" i="35"/>
  <c r="D100" i="35"/>
  <c r="J100" i="35" s="1"/>
  <c r="D106" i="35"/>
  <c r="J106" i="35" s="1"/>
  <c r="J94" i="35"/>
  <c r="D103" i="35"/>
  <c r="J103" i="35" s="1"/>
  <c r="D96" i="35"/>
  <c r="J96" i="35" s="1"/>
  <c r="L107" i="35" l="1"/>
  <c r="L103" i="35"/>
  <c r="L90" i="35"/>
  <c r="L96" i="35"/>
  <c r="F17" i="22"/>
  <c r="L101" i="35"/>
  <c r="L95" i="35"/>
  <c r="L91" i="35"/>
  <c r="L92" i="35"/>
  <c r="L104" i="35"/>
  <c r="L94" i="35"/>
  <c r="L100" i="35"/>
  <c r="L93" i="35"/>
  <c r="L97" i="35"/>
  <c r="F16" i="22"/>
  <c r="G16" i="22" s="1"/>
  <c r="C76" i="22" s="1"/>
  <c r="L89" i="35"/>
  <c r="L99" i="35"/>
  <c r="L106" i="35"/>
  <c r="L102" i="35"/>
  <c r="L98" i="35"/>
  <c r="L105" i="35"/>
  <c r="M95" i="35" l="1"/>
  <c r="C25" i="22"/>
  <c r="M89" i="35"/>
  <c r="C19" i="22"/>
  <c r="C27" i="22"/>
  <c r="M97" i="35"/>
  <c r="M96" i="35"/>
  <c r="C26" i="22"/>
  <c r="C35" i="22"/>
  <c r="M105" i="35"/>
  <c r="M93" i="35"/>
  <c r="C23" i="22"/>
  <c r="M102" i="35"/>
  <c r="C32" i="22"/>
  <c r="M94" i="35"/>
  <c r="C24" i="22"/>
  <c r="C20" i="22"/>
  <c r="M90" i="35"/>
  <c r="C21" i="22"/>
  <c r="M91" i="35"/>
  <c r="M101" i="35"/>
  <c r="C31" i="22"/>
  <c r="C30" i="22"/>
  <c r="M100" i="35"/>
  <c r="M104" i="35"/>
  <c r="C34" i="22"/>
  <c r="C37" i="22"/>
  <c r="M107" i="35"/>
  <c r="C28" i="22"/>
  <c r="M98" i="35"/>
  <c r="C36" i="22"/>
  <c r="M106" i="35"/>
  <c r="C29" i="22"/>
  <c r="M99" i="35"/>
  <c r="C22" i="22"/>
  <c r="M92" i="35"/>
  <c r="M103" i="35"/>
  <c r="C33" i="22"/>
  <c r="G17" i="22"/>
  <c r="C77" i="22" s="1"/>
  <c r="F15" i="22"/>
  <c r="G15" i="22" s="1"/>
  <c r="C75" i="22" s="1"/>
  <c r="D75" i="22" s="1"/>
  <c r="E75" i="22" s="1"/>
  <c r="L109" i="35"/>
  <c r="C39" i="22" l="1"/>
  <c r="M109" i="35"/>
  <c r="D52" i="35" l="1"/>
  <c r="E52" i="35" l="1"/>
  <c r="H30" i="35" l="1"/>
  <c r="E67" i="35" s="1"/>
  <c r="K67" i="35" s="1"/>
  <c r="H32" i="35"/>
  <c r="E69" i="35" s="1"/>
  <c r="K69" i="35" s="1"/>
  <c r="I38" i="35"/>
  <c r="D75" i="35" s="1"/>
  <c r="J75" i="35" s="1"/>
  <c r="I25" i="35"/>
  <c r="D62" i="35" s="1"/>
  <c r="J62" i="35" s="1"/>
  <c r="H36" i="35"/>
  <c r="E73" i="35" s="1"/>
  <c r="K73" i="35" s="1"/>
  <c r="H21" i="35"/>
  <c r="E58" i="35" s="1"/>
  <c r="K58" i="35" s="1"/>
  <c r="I21" i="35"/>
  <c r="D58" i="35" s="1"/>
  <c r="J58" i="35" s="1"/>
  <c r="L58" i="35" s="1"/>
  <c r="B20" i="22" s="1"/>
  <c r="E57" i="35"/>
  <c r="K57" i="35" s="1"/>
  <c r="I36" i="35"/>
  <c r="D73" i="35" s="1"/>
  <c r="J73" i="35" s="1"/>
  <c r="I22" i="35"/>
  <c r="D59" i="35" s="1"/>
  <c r="J59" i="35" s="1"/>
  <c r="H22" i="35"/>
  <c r="E59" i="35" s="1"/>
  <c r="K59" i="35" s="1"/>
  <c r="H16" i="35"/>
  <c r="E53" i="35" s="1"/>
  <c r="I16" i="35"/>
  <c r="D53" i="35" s="1"/>
  <c r="M58" i="35" l="1"/>
  <c r="I37" i="35"/>
  <c r="D74" i="35" s="1"/>
  <c r="J74" i="35" s="1"/>
  <c r="H37" i="35"/>
  <c r="E74" i="35" s="1"/>
  <c r="K74" i="35" s="1"/>
  <c r="I20" i="35"/>
  <c r="D57" i="35" s="1"/>
  <c r="B81" i="26"/>
  <c r="I30" i="35"/>
  <c r="D67" i="35" s="1"/>
  <c r="J67" i="35" s="1"/>
  <c r="L67" i="35" s="1"/>
  <c r="B29" i="22" s="1"/>
  <c r="I33" i="35"/>
  <c r="D70" i="35" s="1"/>
  <c r="J70" i="35" s="1"/>
  <c r="H34" i="35"/>
  <c r="E71" i="35" s="1"/>
  <c r="K71" i="35" s="1"/>
  <c r="H28" i="35"/>
  <c r="E65" i="35" s="1"/>
  <c r="K65" i="35" s="1"/>
  <c r="I28" i="35"/>
  <c r="D65" i="35" s="1"/>
  <c r="J65" i="35" s="1"/>
  <c r="H33" i="35"/>
  <c r="E70" i="35" s="1"/>
  <c r="K70" i="35" s="1"/>
  <c r="I23" i="35"/>
  <c r="D60" i="35" s="1"/>
  <c r="J60" i="35" s="1"/>
  <c r="B76" i="26"/>
  <c r="H23" i="35"/>
  <c r="E60" i="35" s="1"/>
  <c r="K60" i="35" s="1"/>
  <c r="H61" i="26"/>
  <c r="J61" i="26" s="1"/>
  <c r="C89" i="26" s="1"/>
  <c r="H24" i="35"/>
  <c r="E61" i="35" s="1"/>
  <c r="K61" i="35" s="1"/>
  <c r="I34" i="35"/>
  <c r="D71" i="35" s="1"/>
  <c r="J71" i="35" s="1"/>
  <c r="I32" i="35"/>
  <c r="D69" i="35" s="1"/>
  <c r="J69" i="35" s="1"/>
  <c r="L69" i="35" s="1"/>
  <c r="B31" i="22" s="1"/>
  <c r="H31" i="35"/>
  <c r="E68" i="35" s="1"/>
  <c r="K68" i="35" s="1"/>
  <c r="I31" i="35"/>
  <c r="D68" i="35" s="1"/>
  <c r="J68" i="35" s="1"/>
  <c r="I35" i="35"/>
  <c r="D72" i="35" s="1"/>
  <c r="J72" i="35" s="1"/>
  <c r="H38" i="35"/>
  <c r="E75" i="35" s="1"/>
  <c r="K75" i="35" s="1"/>
  <c r="L75" i="35" s="1"/>
  <c r="B37" i="22" s="1"/>
  <c r="F37" i="22" s="1"/>
  <c r="G37" i="22" s="1"/>
  <c r="C97" i="22" s="1"/>
  <c r="D97" i="22" s="1"/>
  <c r="H25" i="35"/>
  <c r="E62" i="35" s="1"/>
  <c r="K62" i="35" s="1"/>
  <c r="L62" i="35" s="1"/>
  <c r="B24" i="22" s="1"/>
  <c r="B83" i="26"/>
  <c r="I24" i="35"/>
  <c r="D61" i="35" s="1"/>
  <c r="J61" i="35" s="1"/>
  <c r="H35" i="35"/>
  <c r="E72" i="35" s="1"/>
  <c r="K72" i="35" s="1"/>
  <c r="I29" i="35"/>
  <c r="D66" i="35" s="1"/>
  <c r="J66" i="35" s="1"/>
  <c r="H29" i="35"/>
  <c r="E66" i="35" s="1"/>
  <c r="K66" i="35" s="1"/>
  <c r="B86" i="26"/>
  <c r="H58" i="26"/>
  <c r="J58" i="26" s="1"/>
  <c r="C86" i="26" s="1"/>
  <c r="H44" i="26"/>
  <c r="J44" i="26" s="1"/>
  <c r="C72" i="26" s="1"/>
  <c r="I17" i="35"/>
  <c r="D54" i="35" s="1"/>
  <c r="H17" i="35"/>
  <c r="E54" i="35" s="1"/>
  <c r="L73" i="35"/>
  <c r="B35" i="22" s="1"/>
  <c r="B82" i="26"/>
  <c r="H54" i="26"/>
  <c r="J54" i="26" s="1"/>
  <c r="C82" i="26" s="1"/>
  <c r="B85" i="26"/>
  <c r="H57" i="26"/>
  <c r="J57" i="26" s="1"/>
  <c r="C85" i="26" s="1"/>
  <c r="H26" i="35"/>
  <c r="E63" i="35" s="1"/>
  <c r="K63" i="35" s="1"/>
  <c r="I26" i="35"/>
  <c r="D63" i="35" s="1"/>
  <c r="J63" i="35" s="1"/>
  <c r="L59" i="35"/>
  <c r="B21" i="22" s="1"/>
  <c r="B74" i="26"/>
  <c r="H46" i="26"/>
  <c r="J46" i="26" s="1"/>
  <c r="C74" i="26" s="1"/>
  <c r="B84" i="26"/>
  <c r="H56" i="26"/>
  <c r="J56" i="26" s="1"/>
  <c r="C84" i="26" s="1"/>
  <c r="B75" i="26"/>
  <c r="H47" i="26"/>
  <c r="J47" i="26" s="1"/>
  <c r="C75" i="26" s="1"/>
  <c r="I18" i="35"/>
  <c r="D55" i="35" s="1"/>
  <c r="H18" i="35"/>
  <c r="E55" i="35" s="1"/>
  <c r="B88" i="26"/>
  <c r="H60" i="26"/>
  <c r="J60" i="26" s="1"/>
  <c r="C88" i="26" s="1"/>
  <c r="B91" i="26"/>
  <c r="C91" i="26"/>
  <c r="B79" i="26"/>
  <c r="H51" i="26"/>
  <c r="J51" i="26" s="1"/>
  <c r="C79" i="26" s="1"/>
  <c r="H19" i="35"/>
  <c r="E56" i="35" s="1"/>
  <c r="I19" i="35"/>
  <c r="D56" i="35" s="1"/>
  <c r="B73" i="26"/>
  <c r="H45" i="26"/>
  <c r="J45" i="26" s="1"/>
  <c r="C73" i="26" s="1"/>
  <c r="B87" i="26"/>
  <c r="H59" i="26"/>
  <c r="J59" i="26" s="1"/>
  <c r="C87" i="26" s="1"/>
  <c r="I27" i="35"/>
  <c r="D64" i="35" s="1"/>
  <c r="J64" i="35" s="1"/>
  <c r="H27" i="35"/>
  <c r="E64" i="35" s="1"/>
  <c r="K64" i="35" s="1"/>
  <c r="J57" i="35" l="1"/>
  <c r="L57" i="35" s="1"/>
  <c r="L74" i="35"/>
  <c r="B36" i="22" s="1"/>
  <c r="M67" i="35"/>
  <c r="H53" i="26"/>
  <c r="J53" i="26" s="1"/>
  <c r="C81" i="26" s="1"/>
  <c r="F81" i="26" s="1"/>
  <c r="L70" i="35"/>
  <c r="L71" i="35"/>
  <c r="L65" i="35"/>
  <c r="B27" i="22" s="1"/>
  <c r="B89" i="26"/>
  <c r="H55" i="26"/>
  <c r="J55" i="26" s="1"/>
  <c r="C83" i="26" s="1"/>
  <c r="H83" i="26" s="1"/>
  <c r="L61" i="35"/>
  <c r="B23" i="22" s="1"/>
  <c r="L60" i="35"/>
  <c r="B22" i="22" s="1"/>
  <c r="H48" i="26"/>
  <c r="J48" i="26" s="1"/>
  <c r="C76" i="26" s="1"/>
  <c r="G76" i="26" s="1"/>
  <c r="L72" i="35"/>
  <c r="B34" i="22" s="1"/>
  <c r="M75" i="35"/>
  <c r="M62" i="35"/>
  <c r="M69" i="35"/>
  <c r="L68" i="35"/>
  <c r="B30" i="22" s="1"/>
  <c r="L63" i="35"/>
  <c r="H73" i="26"/>
  <c r="G73" i="26"/>
  <c r="F73" i="26"/>
  <c r="D73" i="26"/>
  <c r="E73" i="26"/>
  <c r="H87" i="26"/>
  <c r="E87" i="26"/>
  <c r="D87" i="26"/>
  <c r="F87" i="26"/>
  <c r="G87" i="26"/>
  <c r="H75" i="26"/>
  <c r="E75" i="26"/>
  <c r="G75" i="26"/>
  <c r="D75" i="26"/>
  <c r="F75" i="26"/>
  <c r="H91" i="26"/>
  <c r="F91" i="26"/>
  <c r="E91" i="26"/>
  <c r="G91" i="26"/>
  <c r="D91" i="26"/>
  <c r="M59" i="35"/>
  <c r="H82" i="26"/>
  <c r="G82" i="26"/>
  <c r="F82" i="26"/>
  <c r="E82" i="26"/>
  <c r="D82" i="26"/>
  <c r="H86" i="26"/>
  <c r="F86" i="26"/>
  <c r="G86" i="26"/>
  <c r="E86" i="26"/>
  <c r="D86" i="26"/>
  <c r="H85" i="26"/>
  <c r="F85" i="26"/>
  <c r="G85" i="26"/>
  <c r="E85" i="26"/>
  <c r="D85" i="26"/>
  <c r="M73" i="35"/>
  <c r="H84" i="26"/>
  <c r="G84" i="26"/>
  <c r="D84" i="26"/>
  <c r="F84" i="26"/>
  <c r="E84" i="26"/>
  <c r="H88" i="26"/>
  <c r="F88" i="26"/>
  <c r="D88" i="26"/>
  <c r="G88" i="26"/>
  <c r="E88" i="26"/>
  <c r="L64" i="35"/>
  <c r="B26" i="22" s="1"/>
  <c r="H74" i="26"/>
  <c r="E74" i="26"/>
  <c r="G74" i="26"/>
  <c r="D74" i="26"/>
  <c r="F74" i="26"/>
  <c r="H89" i="26"/>
  <c r="D89" i="26"/>
  <c r="E89" i="26"/>
  <c r="G89" i="26"/>
  <c r="F89" i="26"/>
  <c r="B80" i="26"/>
  <c r="H52" i="26"/>
  <c r="J52" i="26" s="1"/>
  <c r="C80" i="26" s="1"/>
  <c r="B77" i="26"/>
  <c r="H49" i="26"/>
  <c r="J49" i="26" s="1"/>
  <c r="C77" i="26" s="1"/>
  <c r="B78" i="26"/>
  <c r="H50" i="26"/>
  <c r="J50" i="26" s="1"/>
  <c r="C78" i="26" s="1"/>
  <c r="H79" i="26"/>
  <c r="F79" i="26"/>
  <c r="D79" i="26"/>
  <c r="G79" i="26"/>
  <c r="E79" i="26"/>
  <c r="H72" i="26"/>
  <c r="G72" i="26"/>
  <c r="D72" i="26"/>
  <c r="F72" i="26"/>
  <c r="E72" i="26"/>
  <c r="L66" i="35"/>
  <c r="B28" i="22" s="1"/>
  <c r="B19" i="22" l="1"/>
  <c r="L77" i="35"/>
  <c r="I72" i="26"/>
  <c r="I73" i="26"/>
  <c r="M71" i="35"/>
  <c r="B33" i="22"/>
  <c r="M70" i="35"/>
  <c r="B32" i="22"/>
  <c r="M63" i="35"/>
  <c r="B25" i="22"/>
  <c r="M57" i="35"/>
  <c r="F18" i="22"/>
  <c r="G18" i="22" s="1"/>
  <c r="C78" i="22" s="1"/>
  <c r="M74" i="35"/>
  <c r="E81" i="26"/>
  <c r="G81" i="26"/>
  <c r="H81" i="26"/>
  <c r="D81" i="26"/>
  <c r="M65" i="35"/>
  <c r="H76" i="26"/>
  <c r="G83" i="26"/>
  <c r="F83" i="26"/>
  <c r="D83" i="26"/>
  <c r="E83" i="26"/>
  <c r="M72" i="35"/>
  <c r="E76" i="26"/>
  <c r="F76" i="26"/>
  <c r="D76" i="26"/>
  <c r="M61" i="35"/>
  <c r="M60" i="35"/>
  <c r="M68" i="35"/>
  <c r="I86" i="26"/>
  <c r="I91" i="26"/>
  <c r="D38" i="22" s="1"/>
  <c r="I85" i="26"/>
  <c r="H77" i="26"/>
  <c r="F77" i="26"/>
  <c r="E77" i="26"/>
  <c r="D77" i="26"/>
  <c r="G77" i="26"/>
  <c r="I89" i="26"/>
  <c r="D36" i="22" s="1"/>
  <c r="I88" i="26"/>
  <c r="D35" i="22" s="1"/>
  <c r="I82" i="26"/>
  <c r="D29" i="22" s="1"/>
  <c r="M66" i="35"/>
  <c r="H80" i="26"/>
  <c r="F80" i="26"/>
  <c r="E80" i="26"/>
  <c r="D80" i="26"/>
  <c r="G80" i="26"/>
  <c r="I74" i="26"/>
  <c r="D21" i="22" s="1"/>
  <c r="D20" i="22"/>
  <c r="I79" i="26"/>
  <c r="D26" i="22" s="1"/>
  <c r="M64" i="35"/>
  <c r="H78" i="26"/>
  <c r="F78" i="26"/>
  <c r="G78" i="26"/>
  <c r="D78" i="26"/>
  <c r="E78" i="26"/>
  <c r="I87" i="26"/>
  <c r="D34" i="22" s="1"/>
  <c r="I75" i="26"/>
  <c r="D22" i="22" s="1"/>
  <c r="I84" i="26"/>
  <c r="D31" i="22" s="1"/>
  <c r="B39" i="22" l="1"/>
  <c r="J72" i="26"/>
  <c r="D19" i="22"/>
  <c r="D33" i="22"/>
  <c r="F33" i="22" s="1"/>
  <c r="G33" i="22" s="1"/>
  <c r="C93" i="22" s="1"/>
  <c r="D93" i="22" s="1"/>
  <c r="J85" i="26"/>
  <c r="D32" i="22"/>
  <c r="F32" i="22" s="1"/>
  <c r="G32" i="22" s="1"/>
  <c r="C92" i="22" s="1"/>
  <c r="D92" i="22" s="1"/>
  <c r="F38" i="22"/>
  <c r="G38" i="22" s="1"/>
  <c r="C98" i="22" s="1"/>
  <c r="D98" i="22" s="1"/>
  <c r="I81" i="26"/>
  <c r="D28" i="22" s="1"/>
  <c r="F28" i="22" s="1"/>
  <c r="G28" i="22" s="1"/>
  <c r="C88" i="22" s="1"/>
  <c r="D88" i="22" s="1"/>
  <c r="I83" i="26"/>
  <c r="I76" i="26"/>
  <c r="M77" i="35"/>
  <c r="J91" i="26"/>
  <c r="J86" i="26"/>
  <c r="I80" i="26"/>
  <c r="F21" i="22"/>
  <c r="G21" i="22" s="1"/>
  <c r="C81" i="22" s="1"/>
  <c r="D81" i="22" s="1"/>
  <c r="J74" i="26"/>
  <c r="F29" i="22"/>
  <c r="G29" i="22" s="1"/>
  <c r="C89" i="22" s="1"/>
  <c r="D89" i="22" s="1"/>
  <c r="J82" i="26"/>
  <c r="F36" i="22"/>
  <c r="G36" i="22" s="1"/>
  <c r="C96" i="22" s="1"/>
  <c r="D96" i="22" s="1"/>
  <c r="J89" i="26"/>
  <c r="F22" i="22"/>
  <c r="G22" i="22" s="1"/>
  <c r="C82" i="22" s="1"/>
  <c r="D82" i="22" s="1"/>
  <c r="J75" i="26"/>
  <c r="F20" i="22"/>
  <c r="J73" i="26"/>
  <c r="F35" i="22"/>
  <c r="G35" i="22" s="1"/>
  <c r="C95" i="22" s="1"/>
  <c r="D95" i="22" s="1"/>
  <c r="J88" i="26"/>
  <c r="F34" i="22"/>
  <c r="G34" i="22" s="1"/>
  <c r="C94" i="22" s="1"/>
  <c r="D94" i="22" s="1"/>
  <c r="J87" i="26"/>
  <c r="I77" i="26"/>
  <c r="D24" i="22" s="1"/>
  <c r="F31" i="22"/>
  <c r="G31" i="22" s="1"/>
  <c r="C91" i="22" s="1"/>
  <c r="D91" i="22" s="1"/>
  <c r="J84" i="26"/>
  <c r="F26" i="22"/>
  <c r="G26" i="22" s="1"/>
  <c r="C86" i="22" s="1"/>
  <c r="D86" i="22" s="1"/>
  <c r="J79" i="26"/>
  <c r="I78" i="26"/>
  <c r="D25" i="22" s="1"/>
  <c r="F19" i="22" l="1"/>
  <c r="J81" i="26"/>
  <c r="D27" i="22"/>
  <c r="F27" i="22" s="1"/>
  <c r="G27" i="22" s="1"/>
  <c r="C87" i="22" s="1"/>
  <c r="D87" i="22" s="1"/>
  <c r="D30" i="22"/>
  <c r="F30" i="22" s="1"/>
  <c r="G30" i="22" s="1"/>
  <c r="C90" i="22" s="1"/>
  <c r="D90" i="22" s="1"/>
  <c r="D23" i="22"/>
  <c r="F23" i="22" s="1"/>
  <c r="G23" i="22" s="1"/>
  <c r="C83" i="22" s="1"/>
  <c r="D83" i="22" s="1"/>
  <c r="J83" i="26"/>
  <c r="J76" i="26"/>
  <c r="J92" i="26" s="1"/>
  <c r="J80" i="26"/>
  <c r="F25" i="22"/>
  <c r="G25" i="22" s="1"/>
  <c r="C85" i="22" s="1"/>
  <c r="D85" i="22" s="1"/>
  <c r="J78" i="26"/>
  <c r="G20" i="22"/>
  <c r="F24" i="22"/>
  <c r="G24" i="22" s="1"/>
  <c r="C84" i="22" s="1"/>
  <c r="D84" i="22" s="1"/>
  <c r="J77" i="26"/>
  <c r="I92" i="26"/>
  <c r="D39" i="22" l="1"/>
  <c r="G19" i="22"/>
  <c r="F39" i="22"/>
  <c r="F8" i="12" s="1"/>
  <c r="C80" i="22"/>
  <c r="D80" i="22" s="1"/>
  <c r="G39" i="22" l="1"/>
  <c r="C79" i="22"/>
  <c r="C99" i="22" s="1"/>
  <c r="G8" i="12"/>
  <c r="F29" i="27"/>
  <c r="G9" i="27"/>
  <c r="G6" i="27"/>
  <c r="E47" i="22"/>
  <c r="B46" i="22" l="1"/>
  <c r="D46" i="22" s="1"/>
  <c r="G29" i="27"/>
  <c r="B49" i="22"/>
  <c r="D49" i="22" s="1"/>
  <c r="I9" i="27"/>
  <c r="B77" i="22"/>
  <c r="D77" i="22" s="1"/>
  <c r="I6" i="27"/>
  <c r="E49" i="22" l="1"/>
  <c r="B79" i="22" s="1"/>
  <c r="D79" i="22" s="1"/>
  <c r="D69" i="22"/>
  <c r="E48" i="22"/>
  <c r="B78" i="22" s="1"/>
  <c r="D78" i="22" s="1"/>
  <c r="E46" i="22"/>
  <c r="B76" i="22" s="1"/>
  <c r="I29" i="27"/>
  <c r="D76" i="22" l="1"/>
  <c r="B99" i="22"/>
  <c r="D99" i="22"/>
  <c r="E69" i="22"/>
  <c r="D6" i="22" s="1"/>
  <c r="D7" i="22"/>
  <c r="E76" i="22"/>
  <c r="E77" i="22" s="1"/>
  <c r="E78" i="22" s="1"/>
  <c r="E79" i="22" s="1"/>
  <c r="E80" i="22" s="1"/>
  <c r="E81" i="22" s="1"/>
  <c r="E82" i="22" s="1"/>
  <c r="E83" i="22" s="1"/>
  <c r="E84" i="22" s="1"/>
  <c r="E85" i="22" s="1"/>
  <c r="E86" i="22" s="1"/>
  <c r="E87" i="22" s="1"/>
  <c r="E88" i="22" s="1"/>
  <c r="E89" i="22" s="1"/>
  <c r="E90" i="22" s="1"/>
  <c r="E91" i="22" s="1"/>
  <c r="E92" i="22" s="1"/>
  <c r="E93" i="22" s="1"/>
  <c r="E94" i="22" s="1"/>
  <c r="E95" i="22" s="1"/>
  <c r="E96" i="22" s="1"/>
  <c r="E97" i="22" s="1"/>
  <c r="E98" i="22" s="1"/>
  <c r="D8" i="22" l="1"/>
  <c r="H8" i="12" s="1"/>
  <c r="G5" i="12" s="1"/>
  <c r="E8" i="12"/>
</calcChain>
</file>

<file path=xl/comments1.xml><?xml version="1.0" encoding="utf-8"?>
<comments xmlns="http://schemas.openxmlformats.org/spreadsheetml/2006/main">
  <authors>
    <author>David Urban</author>
  </authors>
  <commentList>
    <comment ref="A17" authorId="0" shapeId="0">
      <text>
        <r>
          <rPr>
            <b/>
            <sz val="9"/>
            <color indexed="81"/>
            <rFont val="Tahoma"/>
            <family val="2"/>
          </rPr>
          <t>David Urban:</t>
        </r>
        <r>
          <rPr>
            <sz val="9"/>
            <color indexed="81"/>
            <rFont val="Tahoma"/>
            <family val="2"/>
          </rPr>
          <t xml:space="preserve">
Assume 1 full stop for stop signs and .5 stop for each traffic signal</t>
        </r>
      </text>
    </comment>
  </commentList>
</comments>
</file>

<file path=xl/sharedStrings.xml><?xml version="1.0" encoding="utf-8"?>
<sst xmlns="http://schemas.openxmlformats.org/spreadsheetml/2006/main" count="321" uniqueCount="201">
  <si>
    <t>Total</t>
  </si>
  <si>
    <t>Year</t>
  </si>
  <si>
    <t>Capital Costs</t>
  </si>
  <si>
    <t>Economic Competitiveness</t>
  </si>
  <si>
    <t>Safety</t>
  </si>
  <si>
    <t>Total Net Benefit</t>
  </si>
  <si>
    <t>Net Present Value (NPV)</t>
  </si>
  <si>
    <t>Discount Rate</t>
  </si>
  <si>
    <t>Fatality</t>
  </si>
  <si>
    <t>Page Reference in BCA</t>
  </si>
  <si>
    <t>Current Infrastructure Baseline</t>
  </si>
  <si>
    <t>Project Description</t>
  </si>
  <si>
    <t>Projected Users</t>
  </si>
  <si>
    <t>Economic Impact</t>
  </si>
  <si>
    <t>Benefit-Cost Ratio</t>
  </si>
  <si>
    <t>Non-Incapacitating Injury</t>
  </si>
  <si>
    <t>Possible Injury</t>
  </si>
  <si>
    <t>Property Damage</t>
  </si>
  <si>
    <t>Collisions</t>
  </si>
  <si>
    <t>Persons</t>
  </si>
  <si>
    <t>Source: ODOT</t>
  </si>
  <si>
    <t>Collision by Severity</t>
  </si>
  <si>
    <t>Value of Reduced Fatalities and Injuries</t>
  </si>
  <si>
    <t>Unit Value ($2017)</t>
  </si>
  <si>
    <t>Source: BCA Guidance 2018</t>
  </si>
  <si>
    <t>KABCO Level</t>
  </si>
  <si>
    <t>Monetized Value</t>
  </si>
  <si>
    <t>O - No Injury</t>
  </si>
  <si>
    <t>C - Possible Injury</t>
  </si>
  <si>
    <t>B - Non-incapacitating</t>
  </si>
  <si>
    <t>A - Incapacitating</t>
  </si>
  <si>
    <t>K - Killed</t>
  </si>
  <si>
    <t>U - Injured (Severity Unknown)</t>
  </si>
  <si>
    <t># of Accidents Reported (Unknown if Injured)</t>
  </si>
  <si>
    <t>Property Damage Only Crashes</t>
  </si>
  <si>
    <t>Per Vehicle</t>
  </si>
  <si>
    <t>No Build</t>
  </si>
  <si>
    <t>No Build Scenario</t>
  </si>
  <si>
    <t>Total (5 Years)</t>
  </si>
  <si>
    <t>Total Cost</t>
  </si>
  <si>
    <t>Average Vehicle Occupancy</t>
  </si>
  <si>
    <t>Vehicle Type</t>
  </si>
  <si>
    <t>Passenger Vehicles</t>
  </si>
  <si>
    <t>Trucks</t>
  </si>
  <si>
    <t>Occupancy</t>
  </si>
  <si>
    <t>Build Scenario</t>
  </si>
  <si>
    <t>Potential Cost Savings</t>
  </si>
  <si>
    <t>Average Vehicle per Crash</t>
  </si>
  <si>
    <t>Vehicle/Crash</t>
  </si>
  <si>
    <t>Collision Rate per Average Daily Traffic</t>
  </si>
  <si>
    <t>Build</t>
  </si>
  <si>
    <t>Est. # of Collisions</t>
  </si>
  <si>
    <t>Est. # of Vehicles</t>
  </si>
  <si>
    <t>Est. # of People</t>
  </si>
  <si>
    <t>PDO (Vehicle)</t>
  </si>
  <si>
    <t>PDO (People)</t>
  </si>
  <si>
    <t>Pos. Injury</t>
  </si>
  <si>
    <t>Growth</t>
  </si>
  <si>
    <t>Growth Rate and 2018 ADT Calculation</t>
  </si>
  <si>
    <t>Growth Rate</t>
  </si>
  <si>
    <t>Traffic Volumes</t>
  </si>
  <si>
    <t>Damage Costs for Pollutant Emissions</t>
  </si>
  <si>
    <t>Emission Type</t>
  </si>
  <si>
    <t>$ / short ton ($2017)</t>
  </si>
  <si>
    <t>Carbon Dioxide</t>
  </si>
  <si>
    <t>Volatile Organic Compounds</t>
  </si>
  <si>
    <t>Nitrogen Oxides</t>
  </si>
  <si>
    <t>Particulate Matter</t>
  </si>
  <si>
    <t>Sulfur Dioxide</t>
  </si>
  <si>
    <t>Source: BCA Guildelines 2018</t>
  </si>
  <si>
    <t>Fuel Consumption (gallons)</t>
  </si>
  <si>
    <t>Total Travel (vehicle miles traveled)</t>
  </si>
  <si>
    <t>Total Delay (vehicle-hour)</t>
  </si>
  <si>
    <t>Total Stops (stops per vehicle-hour)</t>
  </si>
  <si>
    <t>Cruise Speed (mph)</t>
  </si>
  <si>
    <t>K1</t>
  </si>
  <si>
    <t>K2</t>
  </si>
  <si>
    <t>K3</t>
  </si>
  <si>
    <t>Reduction in Fuel Consumption (gallons)</t>
  </si>
  <si>
    <t>Source: NCHRP Synthesis 409 (Page 77)</t>
  </si>
  <si>
    <t>Emission Production Factor (grams per gallon)</t>
  </si>
  <si>
    <t>Emission Rate (grams)</t>
  </si>
  <si>
    <t>Source</t>
  </si>
  <si>
    <t>EPA</t>
  </si>
  <si>
    <t>NCHRP 409</t>
  </si>
  <si>
    <t>Average PM emissions from cars (mg/mi)</t>
  </si>
  <si>
    <t>Average mile per gallon</t>
  </si>
  <si>
    <t>Carbon Dioxide Pollutant Emissions (grams)</t>
  </si>
  <si>
    <t>Nitrogen Oxides Pollutant Emissions (grams)</t>
  </si>
  <si>
    <t>Particulate Matter Pollutant Emissions (grams)</t>
  </si>
  <si>
    <t>Sulfur Dioxide Pollutant Emissions (grams)</t>
  </si>
  <si>
    <t>Volatile Organic Compounds Pollutant Emissions
(grams)</t>
  </si>
  <si>
    <t>Reduction in Fuel Consumption
(gallons)</t>
  </si>
  <si>
    <t>Estimated Annual Delay Reduction
(hours)</t>
  </si>
  <si>
    <t>Cost Savings for Reduced Damage of Pollutant Emissions</t>
  </si>
  <si>
    <t>$ / gram ($2017)</t>
  </si>
  <si>
    <t>Particulate Matter Emission Factor</t>
  </si>
  <si>
    <t>Project Cost</t>
  </si>
  <si>
    <t>Percent Project Cost Paid</t>
  </si>
  <si>
    <t>Potential Cost Savings
(NPV)</t>
  </si>
  <si>
    <t>Cost Savings for Reduced Damage of Pollutant Emissions (NPV)</t>
  </si>
  <si>
    <t>Appendix A-</t>
  </si>
  <si>
    <t>Project</t>
  </si>
  <si>
    <t>Total Net Benefit (NPV)</t>
  </si>
  <si>
    <t>Source: TSD - Technical Update of the Social Cost of Carbon for Regulatory Impact Analysis</t>
  </si>
  <si>
    <t>I-35 S/Hwy9 E is an 8 lane divided highway over the S Canadian River. Peak Hour traffic back up extends to the I-35/Hwy9 interchange. There is insufficient clearance between the Intersections at the I-35 abd Hwy 9 interchange and Hwy 9 and S Harvey Ave.</t>
  </si>
  <si>
    <t>An additional southbound lane will be added between the I-35 and Hwy 9 interchages. An additional exit ramp will be added to the south side of the Exit 106 overpass. A new county road and roundabout will be added to the East side of Riverwind Casino property. S Harvey Rd will be moved farther West.</t>
  </si>
  <si>
    <t>All motorists that use the facility the surrounding businesses and surrounding community.</t>
  </si>
  <si>
    <r>
      <t>Monetized value of reduced crash costs,</t>
    </r>
    <r>
      <rPr>
        <sz val="10"/>
        <color rgb="FFFF0000"/>
        <rFont val="Arial"/>
        <family val="2"/>
      </rPr>
      <t xml:space="preserve"> diversion to transit</t>
    </r>
    <r>
      <rPr>
        <sz val="10"/>
        <rFont val="Arial"/>
        <family val="2"/>
      </rPr>
      <t xml:space="preserve">, </t>
    </r>
    <r>
      <rPr>
        <sz val="10"/>
        <color rgb="FFFF0000"/>
        <rFont val="Arial"/>
        <family val="2"/>
      </rPr>
      <t>multi-modal connectivity benefits</t>
    </r>
    <r>
      <rPr>
        <sz val="10"/>
        <rFont val="Arial"/>
        <family val="2"/>
      </rPr>
      <t xml:space="preserve">, </t>
    </r>
    <r>
      <rPr>
        <sz val="10"/>
        <color rgb="FFFF0000"/>
        <rFont val="Arial"/>
        <family val="2"/>
      </rPr>
      <t xml:space="preserve"> vehicle repair costs</t>
    </r>
    <r>
      <rPr>
        <sz val="10"/>
        <rFont val="Arial"/>
        <family val="2"/>
      </rPr>
      <t xml:space="preserve">, increase in property values,  travel time savings,  and </t>
    </r>
    <r>
      <rPr>
        <sz val="10"/>
        <color rgb="FFFF0000"/>
        <rFont val="Arial"/>
        <family val="2"/>
      </rPr>
      <t>reduced maintenance costs</t>
    </r>
  </si>
  <si>
    <t>All Crashes within project extents</t>
  </si>
  <si>
    <t>Total Benefits</t>
  </si>
  <si>
    <t>Injury Type Per Individual</t>
  </si>
  <si>
    <t>Two-Axle</t>
  </si>
  <si>
    <t>Truck</t>
  </si>
  <si>
    <t>Truck %</t>
  </si>
  <si>
    <t>Speed Limit</t>
  </si>
  <si>
    <t>No-Build</t>
  </si>
  <si>
    <t>Vehicle Hours Travelled</t>
  </si>
  <si>
    <t>VMT</t>
  </si>
  <si>
    <t>Vehicle Miles Travelled</t>
  </si>
  <si>
    <t>Reduction in VHT</t>
  </si>
  <si>
    <t>VHT Benefit</t>
  </si>
  <si>
    <t>Travel Time Savings</t>
  </si>
  <si>
    <t>Discount</t>
  </si>
  <si>
    <t>Direct User Benefits</t>
  </si>
  <si>
    <t>Net Present Value</t>
  </si>
  <si>
    <t>Internal Rate of Return</t>
  </si>
  <si>
    <t>Benefit/Cost Ratio</t>
  </si>
  <si>
    <t>Analysis Year</t>
  </si>
  <si>
    <t>Operations Savings</t>
  </si>
  <si>
    <t>Crash Savings</t>
  </si>
  <si>
    <t>Operation and Maintenance Costs</t>
  </si>
  <si>
    <t>Subtotal</t>
  </si>
  <si>
    <t>7% Discount</t>
  </si>
  <si>
    <t>Total Costs</t>
  </si>
  <si>
    <t>Net Direct Benefits</t>
  </si>
  <si>
    <t>Minutes</t>
  </si>
  <si>
    <t>2041 Build</t>
  </si>
  <si>
    <t>Environmental</t>
  </si>
  <si>
    <t>Reduced Pollutants</t>
  </si>
  <si>
    <t>O&amp;M</t>
  </si>
  <si>
    <t>EPA Kansas City Analysis</t>
  </si>
  <si>
    <t>Google</t>
  </si>
  <si>
    <t>Reduction in VMT</t>
  </si>
  <si>
    <t>Total Crash Rate/100 Million VMT</t>
  </si>
  <si>
    <t>AADT</t>
  </si>
  <si>
    <t>Fuel Consumption (Gallons)</t>
  </si>
  <si>
    <t>Reduction in Fuel Consumption (Gallons)</t>
  </si>
  <si>
    <t>Total Delay (Hours)</t>
  </si>
  <si>
    <t>Net Direct Benefits - 7% Discount</t>
  </si>
  <si>
    <t>Existing</t>
  </si>
  <si>
    <t>Project Life (Years)</t>
  </si>
  <si>
    <t>Project Costs (NPV)</t>
  </si>
  <si>
    <t>Truck VHT</t>
  </si>
  <si>
    <t>Auto VHT</t>
  </si>
  <si>
    <t>Annual Growth Rate</t>
  </si>
  <si>
    <t>ADT</t>
  </si>
  <si>
    <t>Truck Percent</t>
  </si>
  <si>
    <t>Truck VMT</t>
  </si>
  <si>
    <t>Auto VMT</t>
  </si>
  <si>
    <t>Total Project Costs (2019$)</t>
  </si>
  <si>
    <t>Statewide</t>
  </si>
  <si>
    <t>Source: https://www.ksdot.org/Assets/wwwksdotorg/bureaus/burTransPlan/prodinfo/2017factsbook/QuickFacts.pdf</t>
  </si>
  <si>
    <t>Project Cost (NPV)</t>
  </si>
  <si>
    <t>Source: Truck Value of Time (DOT Benefit-Cost Analysis (BCA) 2018 Resource Guide)</t>
  </si>
  <si>
    <t>Source: Passenger Vehicle Value of Time (DOT Benefit-Cost Analysis (BCA) 2018 Resource Guide)</t>
  </si>
  <si>
    <t>Source: Per-Mile Truck Operating Cost (DOT Benefit-Cost Analysis (BCA) 2018 Resource Guide)</t>
  </si>
  <si>
    <t>Source: Per-Mile Two-Axle Operating Cost (DOT Benefit-Cost Analysis (BCA) 2018 Resource Guide)</t>
  </si>
  <si>
    <t>Safety Calculations</t>
  </si>
  <si>
    <t>Travel Time Calculations</t>
  </si>
  <si>
    <t>Environmental Calculations</t>
  </si>
  <si>
    <t>20 Year BENEFITS</t>
  </si>
  <si>
    <t>20 Year COSTS</t>
  </si>
  <si>
    <t>20 Year Costs</t>
  </si>
  <si>
    <t>Incapacitating Injury</t>
  </si>
  <si>
    <t>2017 ADT</t>
  </si>
  <si>
    <t>2041 ADT</t>
  </si>
  <si>
    <t>Residual Value (2041$)</t>
  </si>
  <si>
    <t>Source: 2017 ODOT Mayes County Crash Rate</t>
  </si>
  <si>
    <t>Travel Times</t>
  </si>
  <si>
    <t>Length</t>
  </si>
  <si>
    <t>VHT</t>
  </si>
  <si>
    <t>2039 No-Build</t>
  </si>
  <si>
    <t>2040 No-Build</t>
  </si>
  <si>
    <t>2041 No-Build</t>
  </si>
  <si>
    <t>2022 Build</t>
  </si>
  <si>
    <t>Source: Google Maps</t>
  </si>
  <si>
    <t>2017 Existing</t>
  </si>
  <si>
    <t>Annual VHT</t>
  </si>
  <si>
    <t>Annual VMT</t>
  </si>
  <si>
    <t>Dam Closed, 80% of traffic still makes trip</t>
  </si>
  <si>
    <t>Vehicle Operating Cost Saving</t>
  </si>
  <si>
    <t>Cumulative</t>
  </si>
  <si>
    <t>Source: High Level HSM Analysis</t>
  </si>
  <si>
    <t>20% Reduction</t>
  </si>
  <si>
    <t>Number of Vehicles Involved</t>
  </si>
  <si>
    <t>Average</t>
  </si>
  <si>
    <t>Source: 2017 ODOT Crash Facts</t>
  </si>
  <si>
    <t xml:space="preserve"> Injury</t>
  </si>
  <si>
    <t>2019 BCA SUMMARY - SH 28 Pensacola Dam</t>
  </si>
  <si>
    <t>Source: ODOT Statewide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</si>
</sst>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0"/>
    <numFmt numFmtId="165" formatCode="_(&quot;$&quot;* #,##0_);_(&quot;$&quot;* \(#,##0\);_(&quot;$&quot;* &quot;-&quot;??_);_(@_)"/>
    <numFmt numFmtId="166" formatCode="0.00000"/>
    <numFmt numFmtId="167" formatCode="0.000"/>
    <numFmt numFmtId="168" formatCode="_(* #,##0_);_(* \(#,##0\);_(* &quot;-&quot;??_);_(@_)"/>
    <numFmt numFmtId="169" formatCode="&quot;$&quot;#,##0"/>
    <numFmt numFmtId="170" formatCode="#,##0.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0"/>
      <name val="MS Sans Serif"/>
      <family val="2"/>
    </font>
    <font>
      <b/>
      <sz val="11"/>
      <name val="Arial"/>
      <family val="2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12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rgb="FFFF0000"/>
      <name val="Arial Narrow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sz val="10"/>
      <color rgb="FFFF0000"/>
      <name val="Arial Narrow"/>
      <family val="2"/>
    </font>
    <font>
      <b/>
      <sz val="11"/>
      <color theme="1"/>
      <name val="Arial Narrow"/>
      <family val="2"/>
    </font>
    <font>
      <b/>
      <sz val="9"/>
      <name val="Arial Narrow"/>
      <family val="2"/>
    </font>
    <font>
      <b/>
      <sz val="11"/>
      <color theme="0"/>
      <name val="Arial Narrow"/>
      <family val="2"/>
    </font>
    <font>
      <sz val="12"/>
      <name val="Arial Narrow"/>
      <family val="2"/>
    </font>
    <font>
      <i/>
      <sz val="10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  <font>
      <sz val="18"/>
      <color rgb="FFFF000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20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EF5E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4" fillId="0" borderId="0" applyNumberFormat="0" applyAlignment="0"/>
    <xf numFmtId="43" fontId="8" fillId="0" borderId="0" applyFont="0" applyFill="0" applyBorder="0" applyAlignment="0" applyProtection="0"/>
    <xf numFmtId="44" fontId="3" fillId="0" borderId="0" applyFont="0" applyFill="0" applyBorder="0" applyAlignment="0" applyProtection="0"/>
    <xf numFmtId="38" fontId="4" fillId="2" borderId="0" applyNumberFormat="0" applyBorder="0" applyAlignment="0" applyProtection="0"/>
    <xf numFmtId="0" fontId="5" fillId="0" borderId="1" applyNumberFormat="0" applyAlignment="0" applyProtection="0">
      <alignment horizontal="left" vertical="center"/>
    </xf>
    <xf numFmtId="0" fontId="5" fillId="0" borderId="2">
      <alignment horizontal="left" vertical="center"/>
    </xf>
    <xf numFmtId="10" fontId="4" fillId="3" borderId="3" applyNumberFormat="0" applyBorder="0" applyAlignment="0" applyProtection="0"/>
    <xf numFmtId="164" fontId="3" fillId="0" borderId="0"/>
    <xf numFmtId="0" fontId="3" fillId="0" borderId="0"/>
    <xf numFmtId="9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0" fontId="6" fillId="0" borderId="0" applyNumberFormat="0" applyFont="0" applyFill="0" applyBorder="0" applyAlignment="0" applyProtection="0">
      <alignment horizontal="left"/>
    </xf>
    <xf numFmtId="0" fontId="3" fillId="0" borderId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372">
    <xf numFmtId="0" fontId="0" fillId="0" borderId="0" xfId="0"/>
    <xf numFmtId="0" fontId="0" fillId="0" borderId="0" xfId="0" applyBorder="1"/>
    <xf numFmtId="0" fontId="5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6" fontId="3" fillId="0" borderId="7" xfId="0" applyNumberFormat="1" applyFont="1" applyBorder="1" applyAlignment="1">
      <alignment horizontal="left" vertical="center" wrapText="1"/>
    </xf>
    <xf numFmtId="42" fontId="3" fillId="0" borderId="7" xfId="0" applyNumberFormat="1" applyFont="1" applyBorder="1" applyAlignment="1">
      <alignment horizontal="left" vertical="center" wrapText="1"/>
    </xf>
    <xf numFmtId="42" fontId="3" fillId="0" borderId="13" xfId="0" applyNumberFormat="1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5" fillId="0" borderId="0" xfId="5" applyBorder="1" applyAlignment="1"/>
    <xf numFmtId="0" fontId="7" fillId="0" borderId="7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2" fontId="10" fillId="0" borderId="5" xfId="0" applyNumberFormat="1" applyFont="1" applyBorder="1" applyAlignment="1">
      <alignment horizontal="center" vertical="center"/>
    </xf>
    <xf numFmtId="0" fontId="0" fillId="0" borderId="0" xfId="0" applyFill="1"/>
    <xf numFmtId="0" fontId="11" fillId="0" borderId="0" xfId="0" applyFont="1"/>
    <xf numFmtId="14" fontId="12" fillId="0" borderId="0" xfId="0" applyNumberFormat="1" applyFont="1"/>
    <xf numFmtId="0" fontId="3" fillId="0" borderId="0" xfId="0" applyFont="1" applyFill="1"/>
    <xf numFmtId="0" fontId="0" fillId="0" borderId="24" xfId="0" applyBorder="1"/>
    <xf numFmtId="0" fontId="15" fillId="0" borderId="0" xfId="0" applyFont="1"/>
    <xf numFmtId="6" fontId="15" fillId="0" borderId="0" xfId="0" applyNumberFormat="1" applyFont="1"/>
    <xf numFmtId="0" fontId="15" fillId="0" borderId="3" xfId="0" applyFont="1" applyBorder="1"/>
    <xf numFmtId="10" fontId="22" fillId="6" borderId="3" xfId="13" applyNumberFormat="1" applyFont="1" applyFill="1" applyBorder="1" applyAlignment="1">
      <alignment horizontal="center"/>
    </xf>
    <xf numFmtId="6" fontId="22" fillId="6" borderId="3" xfId="13" applyNumberFormat="1" applyFont="1" applyFill="1" applyBorder="1" applyAlignment="1">
      <alignment horizontal="center"/>
    </xf>
    <xf numFmtId="40" fontId="22" fillId="6" borderId="3" xfId="13" applyNumberFormat="1" applyFont="1" applyFill="1" applyBorder="1" applyAlignment="1">
      <alignment horizontal="center"/>
    </xf>
    <xf numFmtId="6" fontId="21" fillId="0" borderId="5" xfId="0" applyNumberFormat="1" applyFont="1" applyBorder="1"/>
    <xf numFmtId="0" fontId="15" fillId="0" borderId="0" xfId="0" applyFont="1" applyFill="1" applyBorder="1"/>
    <xf numFmtId="0" fontId="18" fillId="0" borderId="0" xfId="0" applyFont="1" applyFill="1" applyBorder="1" applyAlignment="1"/>
    <xf numFmtId="0" fontId="16" fillId="0" borderId="0" xfId="0" applyFont="1" applyFill="1" applyBorder="1" applyAlignment="1"/>
    <xf numFmtId="0" fontId="15" fillId="0" borderId="0" xfId="0" applyFont="1" applyFill="1" applyBorder="1" applyAlignment="1"/>
    <xf numFmtId="0" fontId="15" fillId="0" borderId="0" xfId="0" quotePrefix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/>
    </xf>
    <xf numFmtId="9" fontId="15" fillId="0" borderId="0" xfId="10" applyFont="1" applyFill="1" applyBorder="1" applyAlignment="1">
      <alignment horizontal="center"/>
    </xf>
    <xf numFmtId="0" fontId="16" fillId="0" borderId="0" xfId="0" applyFont="1" applyFill="1" applyBorder="1" applyAlignment="1">
      <alignment horizontal="left"/>
    </xf>
    <xf numFmtId="0" fontId="15" fillId="0" borderId="3" xfId="0" applyFont="1" applyBorder="1" applyAlignment="1">
      <alignment wrapText="1"/>
    </xf>
    <xf numFmtId="0" fontId="16" fillId="0" borderId="0" xfId="0" applyFont="1" applyFill="1" applyBorder="1" applyAlignment="1">
      <alignment horizontal="left" wrapText="1"/>
    </xf>
    <xf numFmtId="167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/>
    <xf numFmtId="0" fontId="16" fillId="0" borderId="0" xfId="0" applyFont="1" applyFill="1" applyBorder="1" applyAlignment="1">
      <alignment horizontal="left" vertical="center" wrapText="1"/>
    </xf>
    <xf numFmtId="167" fontId="15" fillId="0" borderId="0" xfId="0" applyNumberFormat="1" applyFont="1"/>
    <xf numFmtId="0" fontId="15" fillId="0" borderId="0" xfId="0" applyFont="1" applyFill="1"/>
    <xf numFmtId="0" fontId="15" fillId="0" borderId="0" xfId="0" applyFont="1" applyFill="1" applyBorder="1" applyAlignment="1">
      <alignment horizontal="left" wrapText="1"/>
    </xf>
    <xf numFmtId="0" fontId="15" fillId="0" borderId="3" xfId="0" applyFont="1" applyBorder="1" applyAlignment="1">
      <alignment horizontal="center"/>
    </xf>
    <xf numFmtId="43" fontId="15" fillId="0" borderId="0" xfId="0" applyNumberFormat="1" applyFont="1"/>
    <xf numFmtId="0" fontId="20" fillId="0" borderId="0" xfId="0" applyFont="1" applyFill="1"/>
    <xf numFmtId="165" fontId="16" fillId="0" borderId="5" xfId="0" applyNumberFormat="1" applyFont="1" applyBorder="1" applyAlignment="1"/>
    <xf numFmtId="0" fontId="16" fillId="0" borderId="0" xfId="13" applyFont="1" applyFill="1" applyBorder="1" applyAlignment="1"/>
    <xf numFmtId="0" fontId="16" fillId="0" borderId="0" xfId="13" applyFont="1" applyFill="1" applyBorder="1" applyAlignment="1">
      <alignment horizontal="center" vertical="center" wrapText="1"/>
    </xf>
    <xf numFmtId="0" fontId="16" fillId="0" borderId="0" xfId="13" applyFont="1" applyFill="1" applyBorder="1" applyAlignment="1">
      <alignment wrapText="1"/>
    </xf>
    <xf numFmtId="0" fontId="15" fillId="0" borderId="0" xfId="13" applyFont="1"/>
    <xf numFmtId="0" fontId="15" fillId="0" borderId="0" xfId="13" applyFont="1" applyFill="1" applyBorder="1" applyAlignment="1">
      <alignment vertical="center"/>
    </xf>
    <xf numFmtId="0" fontId="15" fillId="0" borderId="0" xfId="13" applyFont="1" applyFill="1" applyBorder="1" applyAlignment="1">
      <alignment horizontal="center" vertical="center"/>
    </xf>
    <xf numFmtId="0" fontId="16" fillId="0" borderId="0" xfId="13" applyFont="1" applyFill="1" applyBorder="1" applyAlignment="1">
      <alignment horizontal="left" vertical="center" wrapText="1"/>
    </xf>
    <xf numFmtId="9" fontId="15" fillId="0" borderId="0" xfId="13" applyNumberFormat="1" applyFont="1" applyAlignment="1"/>
    <xf numFmtId="9" fontId="16" fillId="0" borderId="0" xfId="10" applyFont="1" applyFill="1" applyBorder="1" applyAlignment="1"/>
    <xf numFmtId="0" fontId="15" fillId="0" borderId="0" xfId="13" applyFont="1" applyAlignment="1"/>
    <xf numFmtId="0" fontId="15" fillId="0" borderId="0" xfId="13" applyFont="1" applyFill="1" applyBorder="1" applyAlignment="1">
      <alignment horizontal="center"/>
    </xf>
    <xf numFmtId="0" fontId="15" fillId="0" borderId="3" xfId="13" applyFont="1" applyFill="1" applyBorder="1" applyAlignment="1">
      <alignment horizontal="center" vertical="center"/>
    </xf>
    <xf numFmtId="3" fontId="15" fillId="5" borderId="3" xfId="13" applyNumberFormat="1" applyFont="1" applyFill="1" applyBorder="1" applyAlignment="1">
      <alignment horizontal="center"/>
    </xf>
    <xf numFmtId="9" fontId="15" fillId="5" borderId="3" xfId="13" applyNumberFormat="1" applyFont="1" applyFill="1" applyBorder="1" applyAlignment="1">
      <alignment horizontal="center" vertical="center"/>
    </xf>
    <xf numFmtId="3" fontId="15" fillId="0" borderId="3" xfId="13" applyNumberFormat="1" applyFont="1" applyFill="1" applyBorder="1" applyAlignment="1">
      <alignment horizontal="center"/>
    </xf>
    <xf numFmtId="0" fontId="15" fillId="0" borderId="0" xfId="13" applyFont="1" applyFill="1" applyBorder="1" applyAlignment="1"/>
    <xf numFmtId="0" fontId="16" fillId="0" borderId="0" xfId="13" applyFont="1" applyFill="1" applyBorder="1" applyAlignment="1">
      <alignment horizontal="center"/>
    </xf>
    <xf numFmtId="0" fontId="16" fillId="0" borderId="0" xfId="13" applyFont="1" applyFill="1" applyBorder="1" applyAlignment="1">
      <alignment horizontal="center" vertical="center"/>
    </xf>
    <xf numFmtId="0" fontId="16" fillId="0" borderId="0" xfId="13" applyFont="1" applyBorder="1" applyAlignment="1"/>
    <xf numFmtId="1" fontId="15" fillId="0" borderId="0" xfId="13" applyNumberFormat="1" applyFont="1"/>
    <xf numFmtId="3" fontId="15" fillId="5" borderId="3" xfId="3" applyNumberFormat="1" applyFont="1" applyFill="1" applyBorder="1" applyAlignment="1">
      <alignment horizontal="center"/>
    </xf>
    <xf numFmtId="9" fontId="15" fillId="0" borderId="0" xfId="13" applyNumberFormat="1" applyFont="1" applyFill="1" applyBorder="1" applyAlignment="1">
      <alignment horizontal="center" vertical="center"/>
    </xf>
    <xf numFmtId="0" fontId="15" fillId="0" borderId="0" xfId="3" applyNumberFormat="1" applyFont="1" applyFill="1" applyBorder="1" applyAlignment="1">
      <alignment horizontal="right"/>
    </xf>
    <xf numFmtId="44" fontId="15" fillId="0" borderId="3" xfId="3" applyFont="1" applyFill="1" applyBorder="1"/>
    <xf numFmtId="0" fontId="25" fillId="0" borderId="0" xfId="13" applyFont="1" applyFill="1" applyBorder="1" applyAlignment="1"/>
    <xf numFmtId="0" fontId="25" fillId="0" borderId="22" xfId="13" applyFont="1" applyFill="1" applyBorder="1" applyAlignment="1"/>
    <xf numFmtId="0" fontId="16" fillId="0" borderId="0" xfId="13" applyFont="1" applyFill="1" applyBorder="1" applyAlignment="1">
      <alignment horizontal="left"/>
    </xf>
    <xf numFmtId="0" fontId="15" fillId="0" borderId="0" xfId="13" applyFont="1" applyFill="1" applyBorder="1"/>
    <xf numFmtId="0" fontId="15" fillId="0" borderId="0" xfId="13" applyFont="1" applyBorder="1" applyAlignment="1"/>
    <xf numFmtId="0" fontId="15" fillId="0" borderId="0" xfId="13" applyFont="1" applyBorder="1" applyAlignment="1">
      <alignment horizontal="right"/>
    </xf>
    <xf numFmtId="44" fontId="15" fillId="0" borderId="0" xfId="3" applyFont="1" applyBorder="1"/>
    <xf numFmtId="0" fontId="27" fillId="0" borderId="0" xfId="13" applyFont="1" applyAlignment="1"/>
    <xf numFmtId="0" fontId="20" fillId="0" borderId="0" xfId="13" applyFont="1" applyAlignment="1">
      <alignment horizontal="center"/>
    </xf>
    <xf numFmtId="0" fontId="20" fillId="0" borderId="0" xfId="0" applyFont="1" applyAlignment="1">
      <alignment horizontal="center"/>
    </xf>
    <xf numFmtId="0" fontId="16" fillId="0" borderId="0" xfId="0" applyFont="1"/>
    <xf numFmtId="2" fontId="16" fillId="0" borderId="0" xfId="13" applyNumberFormat="1" applyFont="1" applyFill="1" applyBorder="1" applyAlignment="1">
      <alignment horizontal="center" vertical="center" wrapText="1"/>
    </xf>
    <xf numFmtId="3" fontId="15" fillId="0" borderId="0" xfId="13" applyNumberFormat="1" applyFont="1" applyFill="1" applyBorder="1" applyAlignment="1">
      <alignment horizontal="center"/>
    </xf>
    <xf numFmtId="3" fontId="15" fillId="0" borderId="0" xfId="3" applyNumberFormat="1" applyFont="1" applyFill="1" applyBorder="1" applyAlignment="1">
      <alignment horizontal="center"/>
    </xf>
    <xf numFmtId="0" fontId="17" fillId="0" borderId="0" xfId="13" applyFont="1" applyFill="1" applyBorder="1" applyAlignment="1"/>
    <xf numFmtId="44" fontId="15" fillId="0" borderId="0" xfId="0" applyNumberFormat="1" applyFont="1" applyFill="1" applyBorder="1"/>
    <xf numFmtId="44" fontId="15" fillId="0" borderId="0" xfId="0" applyNumberFormat="1" applyFont="1" applyFill="1" applyBorder="1" applyAlignment="1"/>
    <xf numFmtId="0" fontId="15" fillId="0" borderId="0" xfId="0" applyFont="1" applyBorder="1" applyAlignment="1">
      <alignment horizontal="center"/>
    </xf>
    <xf numFmtId="168" fontId="15" fillId="0" borderId="3" xfId="2" applyNumberFormat="1" applyFont="1" applyFill="1" applyBorder="1" applyAlignment="1">
      <alignment horizontal="center"/>
    </xf>
    <xf numFmtId="0" fontId="15" fillId="0" borderId="0" xfId="0" applyFont="1" applyBorder="1"/>
    <xf numFmtId="0" fontId="28" fillId="0" borderId="0" xfId="0" applyFont="1"/>
    <xf numFmtId="0" fontId="15" fillId="0" borderId="3" xfId="0" applyFont="1" applyFill="1" applyBorder="1" applyAlignment="1">
      <alignment horizontal="center"/>
    </xf>
    <xf numFmtId="0" fontId="26" fillId="0" borderId="0" xfId="0" applyFont="1" applyFill="1" applyBorder="1" applyAlignment="1"/>
    <xf numFmtId="3" fontId="15" fillId="0" borderId="0" xfId="0" applyNumberFormat="1" applyFont="1"/>
    <xf numFmtId="0" fontId="16" fillId="0" borderId="0" xfId="0" applyFont="1" applyFill="1" applyBorder="1" applyAlignment="1">
      <alignment horizontal="left"/>
    </xf>
    <xf numFmtId="0" fontId="15" fillId="0" borderId="24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13" applyFont="1" applyFill="1" applyBorder="1" applyAlignment="1">
      <alignment horizontal="left" wrapText="1"/>
    </xf>
    <xf numFmtId="0" fontId="18" fillId="8" borderId="3" xfId="13" applyFont="1" applyFill="1" applyBorder="1" applyAlignment="1"/>
    <xf numFmtId="0" fontId="18" fillId="8" borderId="3" xfId="13" applyFont="1" applyFill="1" applyBorder="1" applyAlignment="1">
      <alignment horizontal="center" vertical="center" wrapText="1"/>
    </xf>
    <xf numFmtId="0" fontId="19" fillId="8" borderId="3" xfId="13" applyFont="1" applyFill="1" applyBorder="1"/>
    <xf numFmtId="0" fontId="18" fillId="8" borderId="3" xfId="13" applyFont="1" applyFill="1" applyBorder="1" applyAlignment="1">
      <alignment horizontal="center" vertical="center"/>
    </xf>
    <xf numFmtId="0" fontId="16" fillId="7" borderId="3" xfId="13" applyFont="1" applyFill="1" applyBorder="1" applyAlignment="1">
      <alignment horizontal="left" vertical="center"/>
    </xf>
    <xf numFmtId="0" fontId="16" fillId="7" borderId="3" xfId="13" applyFont="1" applyFill="1" applyBorder="1" applyAlignment="1">
      <alignment horizontal="center" vertical="center" wrapText="1"/>
    </xf>
    <xf numFmtId="0" fontId="18" fillId="8" borderId="3" xfId="13" applyFont="1" applyFill="1" applyBorder="1" applyAlignment="1">
      <alignment horizontal="center"/>
    </xf>
    <xf numFmtId="0" fontId="16" fillId="7" borderId="3" xfId="13" applyFont="1" applyFill="1" applyBorder="1" applyAlignment="1">
      <alignment horizontal="center"/>
    </xf>
    <xf numFmtId="3" fontId="16" fillId="4" borderId="3" xfId="13" applyNumberFormat="1" applyFont="1" applyFill="1" applyBorder="1" applyAlignment="1"/>
    <xf numFmtId="9" fontId="16" fillId="4" borderId="3" xfId="10" applyFont="1" applyFill="1" applyBorder="1" applyAlignment="1"/>
    <xf numFmtId="10" fontId="16" fillId="5" borderId="3" xfId="13" applyNumberFormat="1" applyFont="1" applyFill="1" applyBorder="1" applyAlignment="1">
      <alignment horizontal="center" vertical="center" wrapText="1"/>
    </xf>
    <xf numFmtId="10" fontId="16" fillId="5" borderId="3" xfId="13" applyNumberFormat="1" applyFont="1" applyFill="1" applyBorder="1" applyAlignment="1"/>
    <xf numFmtId="0" fontId="16" fillId="5" borderId="3" xfId="13" applyFont="1" applyFill="1" applyBorder="1" applyAlignment="1">
      <alignment horizontal="center" vertical="center" wrapText="1"/>
    </xf>
    <xf numFmtId="3" fontId="16" fillId="5" borderId="3" xfId="13" applyNumberFormat="1" applyFont="1" applyFill="1" applyBorder="1" applyAlignment="1">
      <alignment horizontal="center" vertical="center" wrapText="1"/>
    </xf>
    <xf numFmtId="4" fontId="15" fillId="0" borderId="3" xfId="13" applyNumberFormat="1" applyFont="1" applyFill="1" applyBorder="1"/>
    <xf numFmtId="3" fontId="15" fillId="5" borderId="3" xfId="13" applyNumberFormat="1" applyFont="1" applyFill="1" applyBorder="1" applyAlignment="1">
      <alignment vertical="center"/>
    </xf>
    <xf numFmtId="10" fontId="16" fillId="0" borderId="0" xfId="13" applyNumberFormat="1" applyFont="1" applyFill="1" applyBorder="1" applyAlignment="1">
      <alignment horizontal="center" vertical="center" wrapText="1"/>
    </xf>
    <xf numFmtId="0" fontId="15" fillId="0" borderId="0" xfId="13" applyFont="1" applyFill="1" applyBorder="1" applyAlignment="1">
      <alignment horizontal="right"/>
    </xf>
    <xf numFmtId="5" fontId="16" fillId="0" borderId="5" xfId="3" applyNumberFormat="1" applyFont="1" applyFill="1" applyBorder="1"/>
    <xf numFmtId="0" fontId="18" fillId="8" borderId="10" xfId="13" applyFont="1" applyFill="1" applyBorder="1" applyAlignment="1">
      <alignment horizontal="center" vertical="center" wrapText="1"/>
    </xf>
    <xf numFmtId="5" fontId="16" fillId="0" borderId="3" xfId="3" applyNumberFormat="1" applyFont="1" applyFill="1" applyBorder="1"/>
    <xf numFmtId="5" fontId="16" fillId="5" borderId="3" xfId="3" applyNumberFormat="1" applyFont="1" applyFill="1" applyBorder="1"/>
    <xf numFmtId="7" fontId="16" fillId="5" borderId="3" xfId="3" applyNumberFormat="1" applyFont="1" applyFill="1" applyBorder="1"/>
    <xf numFmtId="5" fontId="16" fillId="5" borderId="5" xfId="3" applyNumberFormat="1" applyFont="1" applyFill="1" applyBorder="1"/>
    <xf numFmtId="5" fontId="16" fillId="0" borderId="7" xfId="3" applyNumberFormat="1" applyFont="1" applyFill="1" applyBorder="1"/>
    <xf numFmtId="7" fontId="16" fillId="5" borderId="7" xfId="3" applyNumberFormat="1" applyFont="1" applyFill="1" applyBorder="1"/>
    <xf numFmtId="170" fontId="15" fillId="4" borderId="3" xfId="13" applyNumberFormat="1" applyFont="1" applyFill="1" applyBorder="1" applyAlignment="1">
      <alignment horizontal="center" vertical="center"/>
    </xf>
    <xf numFmtId="3" fontId="15" fillId="4" borderId="3" xfId="13" applyNumberFormat="1" applyFont="1" applyFill="1" applyBorder="1"/>
    <xf numFmtId="0" fontId="18" fillId="8" borderId="3" xfId="0" applyFont="1" applyFill="1" applyBorder="1" applyAlignment="1">
      <alignment horizontal="center" wrapText="1"/>
    </xf>
    <xf numFmtId="0" fontId="18" fillId="8" borderId="19" xfId="0" applyFont="1" applyFill="1" applyBorder="1" applyAlignment="1">
      <alignment horizontal="center" wrapText="1"/>
    </xf>
    <xf numFmtId="0" fontId="18" fillId="8" borderId="3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/>
    </xf>
    <xf numFmtId="0" fontId="18" fillId="8" borderId="3" xfId="0" applyFont="1" applyFill="1" applyBorder="1" applyAlignment="1">
      <alignment horizontal="center" vertical="center"/>
    </xf>
    <xf numFmtId="0" fontId="15" fillId="9" borderId="15" xfId="0" applyFont="1" applyFill="1" applyBorder="1" applyAlignment="1">
      <alignment horizontal="center"/>
    </xf>
    <xf numFmtId="0" fontId="15" fillId="9" borderId="17" xfId="0" applyFont="1" applyFill="1" applyBorder="1" applyAlignment="1">
      <alignment horizontal="center"/>
    </xf>
    <xf numFmtId="9" fontId="15" fillId="9" borderId="3" xfId="10" applyFont="1" applyFill="1" applyBorder="1"/>
    <xf numFmtId="5" fontId="15" fillId="4" borderId="3" xfId="3" applyNumberFormat="1" applyFont="1" applyFill="1" applyBorder="1" applyAlignment="1">
      <alignment horizontal="right"/>
    </xf>
    <xf numFmtId="0" fontId="15" fillId="4" borderId="3" xfId="3" applyNumberFormat="1" applyFont="1" applyFill="1" applyBorder="1" applyAlignment="1">
      <alignment horizontal="right"/>
    </xf>
    <xf numFmtId="0" fontId="18" fillId="8" borderId="7" xfId="0" applyFont="1" applyFill="1" applyBorder="1" applyAlignment="1">
      <alignment horizontal="center" vertical="center"/>
    </xf>
    <xf numFmtId="0" fontId="18" fillId="8" borderId="7" xfId="0" applyFont="1" applyFill="1" applyBorder="1" applyAlignment="1">
      <alignment horizontal="center" vertical="center" wrapText="1"/>
    </xf>
    <xf numFmtId="5" fontId="15" fillId="5" borderId="17" xfId="3" applyNumberFormat="1" applyFont="1" applyFill="1" applyBorder="1" applyAlignment="1">
      <alignment horizontal="right"/>
    </xf>
    <xf numFmtId="5" fontId="15" fillId="5" borderId="19" xfId="3" applyNumberFormat="1" applyFont="1" applyFill="1" applyBorder="1" applyAlignment="1">
      <alignment horizontal="right"/>
    </xf>
    <xf numFmtId="5" fontId="15" fillId="5" borderId="16" xfId="3" applyNumberFormat="1" applyFont="1" applyFill="1" applyBorder="1" applyAlignment="1">
      <alignment horizontal="right"/>
    </xf>
    <xf numFmtId="9" fontId="15" fillId="9" borderId="19" xfId="10" applyFont="1" applyFill="1" applyBorder="1" applyAlignment="1">
      <alignment horizontal="center"/>
    </xf>
    <xf numFmtId="5" fontId="15" fillId="9" borderId="19" xfId="3" applyNumberFormat="1" applyFont="1" applyFill="1" applyBorder="1" applyAlignment="1">
      <alignment horizontal="right"/>
    </xf>
    <xf numFmtId="9" fontId="15" fillId="9" borderId="17" xfId="10" applyFont="1" applyFill="1" applyBorder="1" applyAlignment="1">
      <alignment horizontal="center"/>
    </xf>
    <xf numFmtId="9" fontId="15" fillId="9" borderId="16" xfId="10" applyFont="1" applyFill="1" applyBorder="1" applyAlignment="1">
      <alignment horizontal="center"/>
    </xf>
    <xf numFmtId="9" fontId="16" fillId="9" borderId="5" xfId="0" applyNumberFormat="1" applyFont="1" applyFill="1" applyBorder="1" applyAlignment="1">
      <alignment horizontal="center"/>
    </xf>
    <xf numFmtId="5" fontId="16" fillId="5" borderId="5" xfId="3" applyNumberFormat="1" applyFont="1" applyFill="1" applyBorder="1" applyAlignment="1">
      <alignment horizontal="right"/>
    </xf>
    <xf numFmtId="5" fontId="16" fillId="9" borderId="5" xfId="3" applyNumberFormat="1" applyFont="1" applyFill="1" applyBorder="1" applyAlignment="1">
      <alignment horizontal="right"/>
    </xf>
    <xf numFmtId="0" fontId="30" fillId="0" borderId="0" xfId="0" applyFont="1" applyFill="1" applyBorder="1" applyAlignment="1"/>
    <xf numFmtId="0" fontId="31" fillId="0" borderId="0" xfId="0" applyFont="1" applyFill="1" applyBorder="1" applyAlignment="1"/>
    <xf numFmtId="0" fontId="18" fillId="8" borderId="5" xfId="0" quotePrefix="1" applyFont="1" applyFill="1" applyBorder="1" applyAlignment="1">
      <alignment horizontal="center" vertical="center" wrapText="1"/>
    </xf>
    <xf numFmtId="0" fontId="18" fillId="8" borderId="5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left"/>
    </xf>
    <xf numFmtId="0" fontId="18" fillId="8" borderId="3" xfId="0" applyFont="1" applyFill="1" applyBorder="1" applyAlignment="1">
      <alignment wrapText="1"/>
    </xf>
    <xf numFmtId="0" fontId="18" fillId="8" borderId="3" xfId="0" applyFont="1" applyFill="1" applyBorder="1" applyAlignment="1">
      <alignment horizontal="left" vertical="center" wrapText="1"/>
    </xf>
    <xf numFmtId="0" fontId="18" fillId="8" borderId="3" xfId="0" applyFont="1" applyFill="1" applyBorder="1"/>
    <xf numFmtId="3" fontId="15" fillId="9" borderId="19" xfId="0" applyNumberFormat="1" applyFont="1" applyFill="1" applyBorder="1" applyAlignment="1">
      <alignment horizontal="center"/>
    </xf>
    <xf numFmtId="169" fontId="15" fillId="9" borderId="19" xfId="0" applyNumberFormat="1" applyFont="1" applyFill="1" applyBorder="1"/>
    <xf numFmtId="3" fontId="15" fillId="9" borderId="17" xfId="0" applyNumberFormat="1" applyFont="1" applyFill="1" applyBorder="1" applyAlignment="1">
      <alignment horizontal="center"/>
    </xf>
    <xf numFmtId="168" fontId="15" fillId="9" borderId="19" xfId="2" applyNumberFormat="1" applyFont="1" applyFill="1" applyBorder="1"/>
    <xf numFmtId="169" fontId="16" fillId="9" borderId="19" xfId="0" applyNumberFormat="1" applyFont="1" applyFill="1" applyBorder="1"/>
    <xf numFmtId="1" fontId="15" fillId="9" borderId="3" xfId="0" applyNumberFormat="1" applyFont="1" applyFill="1" applyBorder="1"/>
    <xf numFmtId="1" fontId="20" fillId="9" borderId="3" xfId="0" applyNumberFormat="1" applyFont="1" applyFill="1" applyBorder="1"/>
    <xf numFmtId="1" fontId="15" fillId="5" borderId="3" xfId="0" applyNumberFormat="1" applyFont="1" applyFill="1" applyBorder="1"/>
    <xf numFmtId="3" fontId="15" fillId="9" borderId="3" xfId="0" applyNumberFormat="1" applyFont="1" applyFill="1" applyBorder="1" applyAlignment="1">
      <alignment horizontal="right"/>
    </xf>
    <xf numFmtId="3" fontId="15" fillId="9" borderId="3" xfId="0" applyNumberFormat="1" applyFont="1" applyFill="1" applyBorder="1" applyAlignment="1">
      <alignment horizontal="center"/>
    </xf>
    <xf numFmtId="0" fontId="16" fillId="10" borderId="19" xfId="0" applyNumberFormat="1" applyFont="1" applyFill="1" applyBorder="1" applyAlignment="1">
      <alignment horizontal="center"/>
    </xf>
    <xf numFmtId="0" fontId="16" fillId="10" borderId="17" xfId="0" applyNumberFormat="1" applyFont="1" applyFill="1" applyBorder="1" applyAlignment="1">
      <alignment horizontal="center"/>
    </xf>
    <xf numFmtId="0" fontId="16" fillId="10" borderId="19" xfId="0" applyFont="1" applyFill="1" applyBorder="1" applyAlignment="1">
      <alignment horizontal="center"/>
    </xf>
    <xf numFmtId="0" fontId="16" fillId="10" borderId="17" xfId="0" applyFont="1" applyFill="1" applyBorder="1" applyAlignment="1">
      <alignment horizontal="center"/>
    </xf>
    <xf numFmtId="0" fontId="16" fillId="10" borderId="14" xfId="0" applyFont="1" applyFill="1" applyBorder="1" applyAlignment="1">
      <alignment horizontal="right"/>
    </xf>
    <xf numFmtId="0" fontId="16" fillId="10" borderId="3" xfId="0" applyFont="1" applyFill="1" applyBorder="1"/>
    <xf numFmtId="0" fontId="16" fillId="10" borderId="3" xfId="0" applyFont="1" applyFill="1" applyBorder="1" applyAlignment="1">
      <alignment horizontal="center" vertical="center" wrapText="1"/>
    </xf>
    <xf numFmtId="0" fontId="16" fillId="10" borderId="15" xfId="0" applyFont="1" applyFill="1" applyBorder="1" applyAlignment="1">
      <alignment horizontal="left" vertical="center" wrapText="1"/>
    </xf>
    <xf numFmtId="0" fontId="16" fillId="10" borderId="10" xfId="0" applyFont="1" applyFill="1" applyBorder="1" applyAlignment="1">
      <alignment horizontal="left" vertical="center" wrapText="1"/>
    </xf>
    <xf numFmtId="0" fontId="16" fillId="10" borderId="16" xfId="0" applyFont="1" applyFill="1" applyBorder="1" applyAlignment="1">
      <alignment horizontal="left" vertical="center" wrapText="1"/>
    </xf>
    <xf numFmtId="0" fontId="16" fillId="10" borderId="15" xfId="0" applyFont="1" applyFill="1" applyBorder="1" applyAlignment="1">
      <alignment horizontal="left"/>
    </xf>
    <xf numFmtId="0" fontId="16" fillId="10" borderId="17" xfId="0" applyFont="1" applyFill="1" applyBorder="1" applyAlignment="1">
      <alignment horizontal="left"/>
    </xf>
    <xf numFmtId="0" fontId="16" fillId="10" borderId="17" xfId="0" applyFont="1" applyFill="1" applyBorder="1" applyAlignment="1">
      <alignment horizontal="left" wrapText="1"/>
    </xf>
    <xf numFmtId="0" fontId="16" fillId="10" borderId="16" xfId="0" applyFont="1" applyFill="1" applyBorder="1" applyAlignment="1">
      <alignment horizontal="left" wrapText="1"/>
    </xf>
    <xf numFmtId="0" fontId="16" fillId="10" borderId="3" xfId="0" applyFont="1" applyFill="1" applyBorder="1" applyAlignment="1">
      <alignment horizontal="left"/>
    </xf>
    <xf numFmtId="0" fontId="16" fillId="10" borderId="15" xfId="0" applyFont="1" applyFill="1" applyBorder="1"/>
    <xf numFmtId="0" fontId="16" fillId="10" borderId="16" xfId="0" applyFont="1" applyFill="1" applyBorder="1"/>
    <xf numFmtId="0" fontId="16" fillId="10" borderId="18" xfId="0" applyFont="1" applyFill="1" applyBorder="1"/>
    <xf numFmtId="0" fontId="16" fillId="10" borderId="5" xfId="0" applyFont="1" applyFill="1" applyBorder="1" applyAlignment="1">
      <alignment horizontal="center"/>
    </xf>
    <xf numFmtId="0" fontId="19" fillId="8" borderId="3" xfId="0" quotePrefix="1" applyFont="1" applyFill="1" applyBorder="1" applyAlignment="1">
      <alignment horizontal="center" vertical="center" wrapText="1"/>
    </xf>
    <xf numFmtId="0" fontId="19" fillId="8" borderId="3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/>
    </xf>
    <xf numFmtId="165" fontId="15" fillId="5" borderId="15" xfId="3" applyNumberFormat="1" applyFont="1" applyFill="1" applyBorder="1" applyAlignment="1">
      <alignment horizontal="left"/>
    </xf>
    <xf numFmtId="165" fontId="15" fillId="5" borderId="17" xfId="3" applyNumberFormat="1" applyFont="1" applyFill="1" applyBorder="1" applyAlignment="1">
      <alignment horizontal="left"/>
    </xf>
    <xf numFmtId="165" fontId="15" fillId="5" borderId="17" xfId="3" applyNumberFormat="1" applyFont="1" applyFill="1" applyBorder="1" applyAlignment="1">
      <alignment horizontal="left" vertical="center"/>
    </xf>
    <xf numFmtId="165" fontId="15" fillId="5" borderId="16" xfId="3" applyNumberFormat="1" applyFont="1" applyFill="1" applyBorder="1" applyAlignment="1">
      <alignment horizontal="left" vertical="center"/>
    </xf>
    <xf numFmtId="0" fontId="15" fillId="5" borderId="15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2" fontId="15" fillId="5" borderId="3" xfId="0" applyNumberFormat="1" applyFont="1" applyFill="1" applyBorder="1" applyAlignment="1">
      <alignment horizontal="center" vertical="center" wrapText="1"/>
    </xf>
    <xf numFmtId="166" fontId="15" fillId="5" borderId="15" xfId="0" applyNumberFormat="1" applyFont="1" applyFill="1" applyBorder="1" applyAlignment="1">
      <alignment horizontal="center" wrapText="1"/>
    </xf>
    <xf numFmtId="166" fontId="15" fillId="4" borderId="15" xfId="0" applyNumberFormat="1" applyFont="1" applyFill="1" applyBorder="1" applyAlignment="1">
      <alignment horizontal="center" wrapText="1"/>
    </xf>
    <xf numFmtId="2" fontId="15" fillId="4" borderId="3" xfId="0" applyNumberFormat="1" applyFont="1" applyFill="1" applyBorder="1" applyAlignment="1">
      <alignment horizontal="center" vertical="center" wrapText="1"/>
    </xf>
    <xf numFmtId="165" fontId="15" fillId="5" borderId="3" xfId="3" applyNumberFormat="1" applyFont="1" applyFill="1" applyBorder="1"/>
    <xf numFmtId="0" fontId="15" fillId="5" borderId="15" xfId="0" applyFont="1" applyFill="1" applyBorder="1" applyAlignment="1">
      <alignment horizontal="center"/>
    </xf>
    <xf numFmtId="0" fontId="15" fillId="5" borderId="16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 vertical="center"/>
    </xf>
    <xf numFmtId="0" fontId="15" fillId="5" borderId="18" xfId="0" applyFont="1" applyFill="1" applyBorder="1" applyAlignment="1">
      <alignment horizontal="center" vertical="center"/>
    </xf>
    <xf numFmtId="9" fontId="15" fillId="9" borderId="15" xfId="10" applyFont="1" applyFill="1" applyBorder="1" applyAlignment="1">
      <alignment horizontal="center"/>
    </xf>
    <xf numFmtId="0" fontId="15" fillId="9" borderId="16" xfId="0" applyFont="1" applyFill="1" applyBorder="1" applyAlignment="1">
      <alignment horizontal="center"/>
    </xf>
    <xf numFmtId="0" fontId="15" fillId="9" borderId="15" xfId="0" applyFont="1" applyFill="1" applyBorder="1" applyAlignment="1">
      <alignment horizontal="center" vertical="center"/>
    </xf>
    <xf numFmtId="0" fontId="15" fillId="9" borderId="18" xfId="0" applyFont="1" applyFill="1" applyBorder="1" applyAlignment="1">
      <alignment horizontal="center" vertical="center"/>
    </xf>
    <xf numFmtId="10" fontId="15" fillId="0" borderId="3" xfId="10" applyNumberFormat="1" applyFont="1" applyFill="1" applyBorder="1" applyAlignment="1">
      <alignment horizontal="center"/>
    </xf>
    <xf numFmtId="3" fontId="15" fillId="5" borderId="3" xfId="0" applyNumberFormat="1" applyFont="1" applyFill="1" applyBorder="1" applyAlignment="1">
      <alignment horizontal="right"/>
    </xf>
    <xf numFmtId="3" fontId="15" fillId="5" borderId="19" xfId="0" applyNumberFormat="1" applyFont="1" applyFill="1" applyBorder="1" applyAlignment="1">
      <alignment horizontal="center"/>
    </xf>
    <xf numFmtId="3" fontId="15" fillId="5" borderId="17" xfId="0" applyNumberFormat="1" applyFont="1" applyFill="1" applyBorder="1" applyAlignment="1">
      <alignment horizontal="center"/>
    </xf>
    <xf numFmtId="37" fontId="15" fillId="5" borderId="19" xfId="2" applyNumberFormat="1" applyFont="1" applyFill="1" applyBorder="1" applyAlignment="1">
      <alignment horizontal="center"/>
    </xf>
    <xf numFmtId="37" fontId="15" fillId="5" borderId="17" xfId="2" applyNumberFormat="1" applyFont="1" applyFill="1" applyBorder="1" applyAlignment="1">
      <alignment horizontal="center"/>
    </xf>
    <xf numFmtId="169" fontId="16" fillId="5" borderId="19" xfId="0" applyNumberFormat="1" applyFont="1" applyFill="1" applyBorder="1"/>
    <xf numFmtId="165" fontId="16" fillId="5" borderId="5" xfId="0" applyNumberFormat="1" applyFont="1" applyFill="1" applyBorder="1"/>
    <xf numFmtId="0" fontId="18" fillId="8" borderId="10" xfId="0" applyFont="1" applyFill="1" applyBorder="1" applyAlignment="1">
      <alignment horizontal="center" vertical="center" wrapText="1"/>
    </xf>
    <xf numFmtId="5" fontId="16" fillId="0" borderId="5" xfId="3" applyNumberFormat="1" applyFont="1" applyFill="1" applyBorder="1" applyAlignment="1">
      <alignment horizontal="right"/>
    </xf>
    <xf numFmtId="0" fontId="16" fillId="10" borderId="34" xfId="0" applyFont="1" applyFill="1" applyBorder="1" applyAlignment="1">
      <alignment horizontal="center"/>
    </xf>
    <xf numFmtId="0" fontId="16" fillId="10" borderId="8" xfId="0" applyFont="1" applyFill="1" applyBorder="1" applyAlignment="1">
      <alignment horizontal="center"/>
    </xf>
    <xf numFmtId="0" fontId="18" fillId="8" borderId="3" xfId="0" applyFont="1" applyFill="1" applyBorder="1" applyAlignment="1">
      <alignment vertical="center"/>
    </xf>
    <xf numFmtId="0" fontId="18" fillId="8" borderId="3" xfId="0" applyFont="1" applyFill="1" applyBorder="1" applyAlignment="1">
      <alignment horizontal="center" vertical="center" wrapText="1"/>
    </xf>
    <xf numFmtId="0" fontId="16" fillId="10" borderId="17" xfId="0" applyFont="1" applyFill="1" applyBorder="1"/>
    <xf numFmtId="0" fontId="19" fillId="8" borderId="3" xfId="0" applyFont="1" applyFill="1" applyBorder="1"/>
    <xf numFmtId="0" fontId="16" fillId="10" borderId="3" xfId="0" applyFont="1" applyFill="1" applyBorder="1" applyAlignment="1">
      <alignment wrapText="1"/>
    </xf>
    <xf numFmtId="0" fontId="16" fillId="10" borderId="3" xfId="0" applyFont="1" applyFill="1" applyBorder="1" applyAlignment="1">
      <alignment horizontal="center"/>
    </xf>
    <xf numFmtId="0" fontId="18" fillId="8" borderId="10" xfId="0" applyFont="1" applyFill="1" applyBorder="1" applyAlignment="1">
      <alignment horizontal="center"/>
    </xf>
    <xf numFmtId="168" fontId="15" fillId="0" borderId="3" xfId="0" applyNumberFormat="1" applyFont="1" applyFill="1" applyBorder="1" applyAlignment="1">
      <alignment horizontal="center"/>
    </xf>
    <xf numFmtId="5" fontId="16" fillId="0" borderId="5" xfId="0" applyNumberFormat="1" applyFont="1" applyBorder="1"/>
    <xf numFmtId="168" fontId="15" fillId="9" borderId="3" xfId="2" applyNumberFormat="1" applyFont="1" applyFill="1" applyBorder="1" applyAlignment="1">
      <alignment horizontal="center"/>
    </xf>
    <xf numFmtId="168" fontId="15" fillId="5" borderId="3" xfId="2" applyNumberFormat="1" applyFont="1" applyFill="1" applyBorder="1" applyAlignment="1">
      <alignment horizontal="center"/>
    </xf>
    <xf numFmtId="5" fontId="16" fillId="5" borderId="5" xfId="0" applyNumberFormat="1" applyFont="1" applyFill="1" applyBorder="1"/>
    <xf numFmtId="43" fontId="15" fillId="9" borderId="3" xfId="2" applyNumberFormat="1" applyFont="1" applyFill="1" applyBorder="1" applyAlignment="1">
      <alignment horizontal="center"/>
    </xf>
    <xf numFmtId="43" fontId="15" fillId="5" borderId="3" xfId="2" applyNumberFormat="1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/>
    </xf>
    <xf numFmtId="0" fontId="15" fillId="5" borderId="3" xfId="0" applyFont="1" applyFill="1" applyBorder="1" applyAlignment="1">
      <alignment horizontal="center" vertical="center"/>
    </xf>
    <xf numFmtId="5" fontId="15" fillId="5" borderId="15" xfId="0" applyNumberFormat="1" applyFont="1" applyFill="1" applyBorder="1" applyAlignment="1">
      <alignment horizontal="right"/>
    </xf>
    <xf numFmtId="7" fontId="15" fillId="5" borderId="4" xfId="0" applyNumberFormat="1" applyFont="1" applyFill="1" applyBorder="1"/>
    <xf numFmtId="7" fontId="15" fillId="5" borderId="5" xfId="0" applyNumberFormat="1" applyFont="1" applyFill="1" applyBorder="1"/>
    <xf numFmtId="5" fontId="16" fillId="0" borderId="33" xfId="3" applyNumberFormat="1" applyFont="1" applyFill="1" applyBorder="1" applyAlignment="1">
      <alignment horizontal="right"/>
    </xf>
    <xf numFmtId="6" fontId="15" fillId="0" borderId="19" xfId="3" applyNumberFormat="1" applyFont="1" applyFill="1" applyBorder="1" applyAlignment="1">
      <alignment horizontal="right"/>
    </xf>
    <xf numFmtId="6" fontId="15" fillId="0" borderId="34" xfId="3" applyNumberFormat="1" applyFont="1" applyFill="1" applyBorder="1" applyAlignment="1">
      <alignment horizontal="right"/>
    </xf>
    <xf numFmtId="0" fontId="23" fillId="8" borderId="7" xfId="9" applyFont="1" applyFill="1" applyBorder="1" applyAlignment="1">
      <alignment horizontal="center" vertical="center"/>
    </xf>
    <xf numFmtId="5" fontId="24" fillId="9" borderId="5" xfId="3" applyNumberFormat="1" applyFont="1" applyFill="1" applyBorder="1" applyAlignment="1">
      <alignment horizontal="center" vertical="center"/>
    </xf>
    <xf numFmtId="2" fontId="24" fillId="9" borderId="5" xfId="9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wrapText="1"/>
    </xf>
    <xf numFmtId="0" fontId="16" fillId="10" borderId="16" xfId="0" applyFont="1" applyFill="1" applyBorder="1" applyAlignment="1">
      <alignment horizontal="center"/>
    </xf>
    <xf numFmtId="9" fontId="15" fillId="9" borderId="34" xfId="10" applyFont="1" applyFill="1" applyBorder="1" applyAlignment="1">
      <alignment horizontal="center"/>
    </xf>
    <xf numFmtId="5" fontId="15" fillId="5" borderId="34" xfId="3" applyNumberFormat="1" applyFont="1" applyFill="1" applyBorder="1" applyAlignment="1">
      <alignment horizontal="right"/>
    </xf>
    <xf numFmtId="5" fontId="15" fillId="9" borderId="34" xfId="3" applyNumberFormat="1" applyFont="1" applyFill="1" applyBorder="1" applyAlignment="1">
      <alignment horizontal="right"/>
    </xf>
    <xf numFmtId="5" fontId="16" fillId="5" borderId="3" xfId="0" applyNumberFormat="1" applyFont="1" applyFill="1" applyBorder="1"/>
    <xf numFmtId="5" fontId="16" fillId="0" borderId="3" xfId="0" applyNumberFormat="1" applyFont="1" applyFill="1" applyBorder="1"/>
    <xf numFmtId="5" fontId="16" fillId="5" borderId="7" xfId="0" applyNumberFormat="1" applyFont="1" applyFill="1" applyBorder="1"/>
    <xf numFmtId="5" fontId="16" fillId="0" borderId="7" xfId="0" applyNumberFormat="1" applyFont="1" applyFill="1" applyBorder="1"/>
    <xf numFmtId="3" fontId="15" fillId="5" borderId="3" xfId="13" applyNumberFormat="1" applyFont="1" applyFill="1" applyBorder="1"/>
    <xf numFmtId="3" fontId="15" fillId="0" borderId="3" xfId="13" applyNumberFormat="1" applyFont="1" applyFill="1" applyBorder="1"/>
    <xf numFmtId="2" fontId="15" fillId="0" borderId="3" xfId="0" applyNumberFormat="1" applyFont="1" applyBorder="1"/>
    <xf numFmtId="1" fontId="15" fillId="9" borderId="19" xfId="0" applyNumberFormat="1" applyFont="1" applyFill="1" applyBorder="1" applyAlignment="1">
      <alignment horizontal="center"/>
    </xf>
    <xf numFmtId="1" fontId="15" fillId="5" borderId="19" xfId="0" applyNumberFormat="1" applyFont="1" applyFill="1" applyBorder="1" applyAlignment="1">
      <alignment horizontal="center"/>
    </xf>
    <xf numFmtId="1" fontId="15" fillId="9" borderId="19" xfId="0" applyNumberFormat="1" applyFont="1" applyFill="1" applyBorder="1" applyAlignment="1">
      <alignment horizontal="center" vertical="center"/>
    </xf>
    <xf numFmtId="1" fontId="15" fillId="5" borderId="19" xfId="0" applyNumberFormat="1" applyFont="1" applyFill="1" applyBorder="1" applyAlignment="1">
      <alignment horizontal="center" vertical="center"/>
    </xf>
    <xf numFmtId="6" fontId="15" fillId="5" borderId="19" xfId="3" applyNumberFormat="1" applyFont="1" applyFill="1" applyBorder="1" applyAlignment="1">
      <alignment horizontal="right"/>
    </xf>
    <xf numFmtId="6" fontId="15" fillId="5" borderId="34" xfId="3" applyNumberFormat="1" applyFont="1" applyFill="1" applyBorder="1" applyAlignment="1">
      <alignment horizontal="right"/>
    </xf>
    <xf numFmtId="8" fontId="15" fillId="5" borderId="19" xfId="3" applyNumberFormat="1" applyFont="1" applyFill="1" applyBorder="1" applyAlignment="1">
      <alignment horizontal="right"/>
    </xf>
    <xf numFmtId="5" fontId="16" fillId="5" borderId="7" xfId="3" applyNumberFormat="1" applyFont="1" applyFill="1" applyBorder="1"/>
    <xf numFmtId="3" fontId="15" fillId="9" borderId="34" xfId="0" applyNumberFormat="1" applyFont="1" applyFill="1" applyBorder="1" applyAlignment="1">
      <alignment horizontal="center"/>
    </xf>
    <xf numFmtId="3" fontId="15" fillId="5" borderId="34" xfId="0" applyNumberFormat="1" applyFont="1" applyFill="1" applyBorder="1" applyAlignment="1">
      <alignment horizontal="center"/>
    </xf>
    <xf numFmtId="37" fontId="15" fillId="5" borderId="34" xfId="2" applyNumberFormat="1" applyFont="1" applyFill="1" applyBorder="1" applyAlignment="1">
      <alignment horizontal="center"/>
    </xf>
    <xf numFmtId="1" fontId="15" fillId="9" borderId="34" xfId="0" applyNumberFormat="1" applyFont="1" applyFill="1" applyBorder="1" applyAlignment="1">
      <alignment horizontal="center"/>
    </xf>
    <xf numFmtId="1" fontId="15" fillId="5" borderId="34" xfId="0" applyNumberFormat="1" applyFont="1" applyFill="1" applyBorder="1" applyAlignment="1">
      <alignment horizontal="center"/>
    </xf>
    <xf numFmtId="1" fontId="15" fillId="9" borderId="34" xfId="0" applyNumberFormat="1" applyFont="1" applyFill="1" applyBorder="1" applyAlignment="1">
      <alignment horizontal="center" vertical="center"/>
    </xf>
    <xf numFmtId="1" fontId="15" fillId="5" borderId="34" xfId="0" applyNumberFormat="1" applyFont="1" applyFill="1" applyBorder="1" applyAlignment="1">
      <alignment horizontal="center" vertical="center"/>
    </xf>
    <xf numFmtId="169" fontId="15" fillId="9" borderId="34" xfId="0" applyNumberFormat="1" applyFont="1" applyFill="1" applyBorder="1"/>
    <xf numFmtId="0" fontId="16" fillId="10" borderId="34" xfId="0" applyNumberFormat="1" applyFont="1" applyFill="1" applyBorder="1" applyAlignment="1">
      <alignment horizontal="center"/>
    </xf>
    <xf numFmtId="168" fontId="15" fillId="9" borderId="34" xfId="2" applyNumberFormat="1" applyFont="1" applyFill="1" applyBorder="1"/>
    <xf numFmtId="169" fontId="16" fillId="9" borderId="34" xfId="0" applyNumberFormat="1" applyFont="1" applyFill="1" applyBorder="1"/>
    <xf numFmtId="169" fontId="16" fillId="5" borderId="34" xfId="0" applyNumberFormat="1" applyFont="1" applyFill="1" applyBorder="1"/>
    <xf numFmtId="169" fontId="16" fillId="5" borderId="20" xfId="0" applyNumberFormat="1" applyFont="1" applyFill="1" applyBorder="1"/>
    <xf numFmtId="169" fontId="15" fillId="9" borderId="28" xfId="3" applyNumberFormat="1" applyFont="1" applyFill="1" applyBorder="1"/>
    <xf numFmtId="169" fontId="15" fillId="9" borderId="35" xfId="3" applyNumberFormat="1" applyFont="1" applyFill="1" applyBorder="1"/>
    <xf numFmtId="165" fontId="16" fillId="9" borderId="5" xfId="0" applyNumberFormat="1" applyFont="1" applyFill="1" applyBorder="1"/>
    <xf numFmtId="6" fontId="21" fillId="0" borderId="5" xfId="0" applyNumberFormat="1" applyFont="1" applyBorder="1" applyAlignment="1">
      <alignment horizontal="right"/>
    </xf>
    <xf numFmtId="5" fontId="16" fillId="5" borderId="33" xfId="3" applyNumberFormat="1" applyFont="1" applyFill="1" applyBorder="1" applyAlignment="1">
      <alignment horizontal="right"/>
    </xf>
    <xf numFmtId="6" fontId="21" fillId="0" borderId="5" xfId="0" applyNumberFormat="1" applyFont="1" applyFill="1" applyBorder="1" applyAlignment="1">
      <alignment horizontal="right"/>
    </xf>
    <xf numFmtId="0" fontId="23" fillId="8" borderId="7" xfId="9" applyFont="1" applyFill="1" applyBorder="1" applyAlignment="1">
      <alignment horizontal="center" vertical="center"/>
    </xf>
    <xf numFmtId="0" fontId="29" fillId="10" borderId="12" xfId="9" applyFont="1" applyFill="1" applyBorder="1" applyAlignment="1">
      <alignment horizontal="center" vertical="center" wrapText="1"/>
    </xf>
    <xf numFmtId="0" fontId="29" fillId="10" borderId="21" xfId="9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wrapText="1"/>
    </xf>
    <xf numFmtId="0" fontId="18" fillId="8" borderId="3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left"/>
    </xf>
    <xf numFmtId="0" fontId="18" fillId="8" borderId="14" xfId="0" applyFont="1" applyFill="1" applyBorder="1" applyAlignment="1">
      <alignment horizontal="center" wrapText="1"/>
    </xf>
    <xf numFmtId="0" fontId="18" fillId="8" borderId="2" xfId="0" applyFont="1" applyFill="1" applyBorder="1" applyAlignment="1">
      <alignment horizontal="center" wrapText="1"/>
    </xf>
    <xf numFmtId="0" fontId="18" fillId="8" borderId="11" xfId="0" applyFont="1" applyFill="1" applyBorder="1" applyAlignment="1">
      <alignment horizontal="center" wrapText="1"/>
    </xf>
    <xf numFmtId="0" fontId="18" fillId="8" borderId="23" xfId="0" applyFont="1" applyFill="1" applyBorder="1" applyAlignment="1">
      <alignment horizontal="center" vertical="center"/>
    </xf>
    <xf numFmtId="0" fontId="18" fillId="8" borderId="29" xfId="0" applyFont="1" applyFill="1" applyBorder="1" applyAlignment="1">
      <alignment horizontal="center" vertical="center"/>
    </xf>
    <xf numFmtId="0" fontId="18" fillId="8" borderId="13" xfId="0" applyFont="1" applyFill="1" applyBorder="1" applyAlignment="1">
      <alignment horizontal="center" vertical="center"/>
    </xf>
    <xf numFmtId="0" fontId="18" fillId="8" borderId="30" xfId="0" applyFont="1" applyFill="1" applyBorder="1" applyAlignment="1">
      <alignment horizontal="center" vertical="center"/>
    </xf>
    <xf numFmtId="0" fontId="18" fillId="8" borderId="31" xfId="0" applyFont="1" applyFill="1" applyBorder="1" applyAlignment="1">
      <alignment horizontal="center" vertical="center"/>
    </xf>
    <xf numFmtId="0" fontId="16" fillId="10" borderId="28" xfId="0" applyFont="1" applyFill="1" applyBorder="1" applyAlignment="1">
      <alignment horizontal="center"/>
    </xf>
    <xf numFmtId="0" fontId="16" fillId="10" borderId="32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right" vertical="center"/>
    </xf>
    <xf numFmtId="0" fontId="18" fillId="8" borderId="14" xfId="0" applyFont="1" applyFill="1" applyBorder="1" applyAlignment="1">
      <alignment horizontal="center"/>
    </xf>
    <xf numFmtId="0" fontId="18" fillId="8" borderId="2" xfId="0" applyFont="1" applyFill="1" applyBorder="1" applyAlignment="1">
      <alignment horizontal="center"/>
    </xf>
    <xf numFmtId="0" fontId="18" fillId="8" borderId="11" xfId="0" applyFont="1" applyFill="1" applyBorder="1" applyAlignment="1">
      <alignment horizontal="center"/>
    </xf>
    <xf numFmtId="0" fontId="16" fillId="0" borderId="14" xfId="13" applyFont="1" applyFill="1" applyBorder="1" applyAlignment="1">
      <alignment horizontal="left" wrapText="1"/>
    </xf>
    <xf numFmtId="0" fontId="16" fillId="0" borderId="2" xfId="13" applyFont="1" applyFill="1" applyBorder="1" applyAlignment="1">
      <alignment horizontal="left" wrapText="1"/>
    </xf>
    <xf numFmtId="0" fontId="16" fillId="0" borderId="11" xfId="13" applyFont="1" applyFill="1" applyBorder="1" applyAlignment="1">
      <alignment horizontal="left" wrapText="1"/>
    </xf>
    <xf numFmtId="0" fontId="18" fillId="8" borderId="14" xfId="13" applyFont="1" applyFill="1" applyBorder="1" applyAlignment="1">
      <alignment horizontal="center" vertical="center" wrapText="1"/>
    </xf>
    <xf numFmtId="0" fontId="18" fillId="8" borderId="2" xfId="13" applyFont="1" applyFill="1" applyBorder="1" applyAlignment="1">
      <alignment horizontal="center" vertical="center" wrapText="1"/>
    </xf>
    <xf numFmtId="0" fontId="18" fillId="8" borderId="11" xfId="13" applyFont="1" applyFill="1" applyBorder="1" applyAlignment="1">
      <alignment horizontal="center" vertical="center" wrapText="1"/>
    </xf>
    <xf numFmtId="0" fontId="18" fillId="8" borderId="10" xfId="13" applyFont="1" applyFill="1" applyBorder="1" applyAlignment="1">
      <alignment horizontal="center" vertical="center" wrapText="1"/>
    </xf>
    <xf numFmtId="0" fontId="18" fillId="8" borderId="4" xfId="13" applyFont="1" applyFill="1" applyBorder="1" applyAlignment="1">
      <alignment horizontal="center" vertical="center" wrapText="1"/>
    </xf>
    <xf numFmtId="0" fontId="18" fillId="8" borderId="23" xfId="13" applyFont="1" applyFill="1" applyBorder="1" applyAlignment="1">
      <alignment horizontal="center" vertical="center" wrapText="1"/>
    </xf>
    <xf numFmtId="0" fontId="18" fillId="8" borderId="6" xfId="13" applyFont="1" applyFill="1" applyBorder="1" applyAlignment="1">
      <alignment horizontal="center" vertical="center" wrapText="1"/>
    </xf>
    <xf numFmtId="0" fontId="18" fillId="8" borderId="26" xfId="13" applyFont="1" applyFill="1" applyBorder="1" applyAlignment="1">
      <alignment horizontal="center" vertical="center" wrapText="1"/>
    </xf>
    <xf numFmtId="0" fontId="18" fillId="8" borderId="27" xfId="13" applyFont="1" applyFill="1" applyBorder="1" applyAlignment="1">
      <alignment horizontal="center" vertical="center" wrapText="1"/>
    </xf>
    <xf numFmtId="0" fontId="18" fillId="8" borderId="3" xfId="13" applyFont="1" applyFill="1" applyBorder="1" applyAlignment="1">
      <alignment horizontal="center"/>
    </xf>
    <xf numFmtId="0" fontId="16" fillId="0" borderId="0" xfId="13" applyFont="1" applyFill="1" applyBorder="1" applyAlignment="1">
      <alignment horizontal="right"/>
    </xf>
    <xf numFmtId="0" fontId="18" fillId="8" borderId="3" xfId="13" applyFont="1" applyFill="1" applyBorder="1" applyAlignment="1">
      <alignment horizontal="center" vertical="center"/>
    </xf>
    <xf numFmtId="0" fontId="18" fillId="8" borderId="14" xfId="13" applyFont="1" applyFill="1" applyBorder="1" applyAlignment="1">
      <alignment horizontal="center"/>
    </xf>
    <xf numFmtId="0" fontId="18" fillId="8" borderId="2" xfId="13" applyFont="1" applyFill="1" applyBorder="1" applyAlignment="1">
      <alignment horizontal="center"/>
    </xf>
    <xf numFmtId="0" fontId="18" fillId="8" borderId="11" xfId="13" applyFont="1" applyFill="1" applyBorder="1" applyAlignment="1">
      <alignment horizontal="center"/>
    </xf>
    <xf numFmtId="1" fontId="15" fillId="5" borderId="23" xfId="0" applyNumberFormat="1" applyFont="1" applyFill="1" applyBorder="1" applyAlignment="1">
      <alignment horizontal="center"/>
    </xf>
    <xf numFmtId="1" fontId="15" fillId="5" borderId="6" xfId="0" applyNumberFormat="1" applyFont="1" applyFill="1" applyBorder="1" applyAlignment="1">
      <alignment horizontal="center"/>
    </xf>
    <xf numFmtId="1" fontId="15" fillId="5" borderId="26" xfId="0" applyNumberFormat="1" applyFont="1" applyFill="1" applyBorder="1" applyAlignment="1">
      <alignment horizontal="center"/>
    </xf>
    <xf numFmtId="1" fontId="15" fillId="5" borderId="27" xfId="0" applyNumberFormat="1" applyFont="1" applyFill="1" applyBorder="1" applyAlignment="1">
      <alignment horizontal="center"/>
    </xf>
    <xf numFmtId="44" fontId="18" fillId="8" borderId="10" xfId="0" applyNumberFormat="1" applyFont="1" applyFill="1" applyBorder="1" applyAlignment="1">
      <alignment horizontal="center" wrapText="1"/>
    </xf>
    <xf numFmtId="44" fontId="18" fillId="8" borderId="5" xfId="0" applyNumberFormat="1" applyFont="1" applyFill="1" applyBorder="1" applyAlignment="1">
      <alignment horizontal="center" wrapText="1"/>
    </xf>
    <xf numFmtId="0" fontId="16" fillId="0" borderId="0" xfId="0" applyFont="1" applyBorder="1" applyAlignment="1">
      <alignment horizontal="right"/>
    </xf>
    <xf numFmtId="0" fontId="15" fillId="0" borderId="14" xfId="0" applyFont="1" applyBorder="1" applyAlignment="1">
      <alignment horizontal="right"/>
    </xf>
    <xf numFmtId="0" fontId="15" fillId="0" borderId="11" xfId="0" applyFont="1" applyBorder="1" applyAlignment="1">
      <alignment horizontal="right"/>
    </xf>
    <xf numFmtId="0" fontId="16" fillId="0" borderId="3" xfId="0" applyFont="1" applyFill="1" applyBorder="1" applyAlignment="1">
      <alignment horizontal="left"/>
    </xf>
    <xf numFmtId="168" fontId="18" fillId="8" borderId="14" xfId="2" applyNumberFormat="1" applyFont="1" applyFill="1" applyBorder="1" applyAlignment="1">
      <alignment horizontal="center"/>
    </xf>
    <xf numFmtId="168" fontId="18" fillId="8" borderId="11" xfId="2" applyNumberFormat="1" applyFont="1" applyFill="1" applyBorder="1" applyAlignment="1">
      <alignment horizontal="center"/>
    </xf>
    <xf numFmtId="0" fontId="16" fillId="0" borderId="29" xfId="0" applyFont="1" applyFill="1" applyBorder="1" applyAlignment="1">
      <alignment horizontal="left"/>
    </xf>
    <xf numFmtId="0" fontId="15" fillId="0" borderId="14" xfId="0" applyFont="1" applyFill="1" applyBorder="1" applyAlignment="1">
      <alignment horizontal="left"/>
    </xf>
    <xf numFmtId="0" fontId="15" fillId="0" borderId="2" xfId="0" applyFont="1" applyFill="1" applyBorder="1" applyAlignment="1">
      <alignment horizontal="left"/>
    </xf>
    <xf numFmtId="0" fontId="15" fillId="0" borderId="11" xfId="0" applyFont="1" applyFill="1" applyBorder="1" applyAlignment="1">
      <alignment horizontal="left"/>
    </xf>
    <xf numFmtId="0" fontId="18" fillId="8" borderId="25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left" wrapText="1"/>
    </xf>
    <xf numFmtId="0" fontId="18" fillId="8" borderId="5" xfId="0" applyFont="1" applyFill="1" applyBorder="1" applyAlignment="1">
      <alignment horizontal="center"/>
    </xf>
    <xf numFmtId="0" fontId="16" fillId="10" borderId="3" xfId="0" applyFont="1" applyFill="1" applyBorder="1" applyAlignment="1">
      <alignment horizontal="center" vertical="center" wrapText="1"/>
    </xf>
    <xf numFmtId="0" fontId="16" fillId="10" borderId="10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18" fillId="8" borderId="4" xfId="0" applyFont="1" applyFill="1" applyBorder="1" applyAlignment="1">
      <alignment horizontal="center" vertical="center" wrapText="1"/>
    </xf>
    <xf numFmtId="0" fontId="18" fillId="8" borderId="8" xfId="0" applyFont="1" applyFill="1" applyBorder="1" applyAlignment="1">
      <alignment horizontal="center" vertical="center" wrapText="1"/>
    </xf>
    <xf numFmtId="0" fontId="15" fillId="10" borderId="14" xfId="0" applyFont="1" applyFill="1" applyBorder="1" applyAlignment="1">
      <alignment horizontal="right"/>
    </xf>
    <xf numFmtId="0" fontId="15" fillId="10" borderId="2" xfId="0" applyFont="1" applyFill="1" applyBorder="1" applyAlignment="1">
      <alignment horizontal="right"/>
    </xf>
    <xf numFmtId="0" fontId="15" fillId="10" borderId="11" xfId="0" applyFont="1" applyFill="1" applyBorder="1" applyAlignment="1">
      <alignment horizontal="right"/>
    </xf>
    <xf numFmtId="0" fontId="16" fillId="0" borderId="3" xfId="0" applyFont="1" applyFill="1" applyBorder="1" applyAlignment="1">
      <alignment horizontal="left" vertical="center" wrapText="1"/>
    </xf>
    <xf numFmtId="0" fontId="18" fillId="8" borderId="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left"/>
    </xf>
    <xf numFmtId="0" fontId="16" fillId="0" borderId="2" xfId="0" applyFont="1" applyFill="1" applyBorder="1" applyAlignment="1">
      <alignment horizontal="left"/>
    </xf>
    <xf numFmtId="0" fontId="16" fillId="0" borderId="11" xfId="0" applyFont="1" applyFill="1" applyBorder="1" applyAlignment="1">
      <alignment horizontal="left"/>
    </xf>
    <xf numFmtId="0" fontId="18" fillId="8" borderId="10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8" fillId="8" borderId="8" xfId="0" applyFont="1" applyFill="1" applyBorder="1" applyAlignment="1">
      <alignment horizontal="center" vertical="center"/>
    </xf>
    <xf numFmtId="0" fontId="18" fillId="8" borderId="14" xfId="0" applyFont="1" applyFill="1" applyBorder="1" applyAlignment="1">
      <alignment horizontal="center" vertical="center"/>
    </xf>
    <xf numFmtId="0" fontId="18" fillId="8" borderId="2" xfId="0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horizontal="center" vertical="center"/>
    </xf>
    <xf numFmtId="0" fontId="16" fillId="0" borderId="12" xfId="0" applyFont="1" applyBorder="1" applyAlignment="1">
      <alignment horizontal="right"/>
    </xf>
    <xf numFmtId="0" fontId="16" fillId="0" borderId="36" xfId="0" applyFont="1" applyBorder="1" applyAlignment="1">
      <alignment horizontal="right"/>
    </xf>
    <xf numFmtId="0" fontId="16" fillId="0" borderId="21" xfId="0" applyFont="1" applyBorder="1" applyAlignment="1">
      <alignment horizontal="right"/>
    </xf>
    <xf numFmtId="0" fontId="16" fillId="0" borderId="26" xfId="0" applyFont="1" applyBorder="1" applyAlignment="1">
      <alignment horizontal="right"/>
    </xf>
    <xf numFmtId="0" fontId="16" fillId="0" borderId="25" xfId="0" applyFont="1" applyBorder="1" applyAlignment="1">
      <alignment horizontal="right"/>
    </xf>
    <xf numFmtId="0" fontId="16" fillId="0" borderId="27" xfId="0" applyFont="1" applyBorder="1" applyAlignment="1">
      <alignment horizontal="right"/>
    </xf>
  </cellXfs>
  <cellStyles count="23">
    <cellStyle name="active" xfId="1"/>
    <cellStyle name="Comma" xfId="2" builtinId="3"/>
    <cellStyle name="Comma 2" xfId="14"/>
    <cellStyle name="Currency" xfId="3" builtinId="4"/>
    <cellStyle name="Currency 2 2" xfId="21"/>
    <cellStyle name="Currency 3" xfId="22"/>
    <cellStyle name="Currency 8" xfId="18"/>
    <cellStyle name="Grey" xfId="4"/>
    <cellStyle name="Header1" xfId="5"/>
    <cellStyle name="Header2" xfId="6"/>
    <cellStyle name="Input [yellow]" xfId="7"/>
    <cellStyle name="Normal" xfId="0" builtinId="0"/>
    <cellStyle name="Normal - Style1" xfId="8"/>
    <cellStyle name="Normal 11" xfId="17"/>
    <cellStyle name="Normal 16" xfId="13"/>
    <cellStyle name="Normal 2" xfId="9"/>
    <cellStyle name="Normal 2 2" xfId="20"/>
    <cellStyle name="Normal 4" xfId="15"/>
    <cellStyle name="Normal 4 2" xfId="16"/>
    <cellStyle name="Normal 4 3" xfId="19"/>
    <cellStyle name="Percent" xfId="10" builtinId="5"/>
    <cellStyle name="Percent [2]" xfId="11"/>
    <cellStyle name="PSChar" xfId="12"/>
  </cellStyles>
  <dxfs count="0"/>
  <tableStyles count="0" defaultTableStyle="TableStyleMedium9" defaultPivotStyle="PivotStyleLight16"/>
  <colors>
    <mruColors>
      <color rgb="FFFFFFCC"/>
      <color rgb="FFFDB924"/>
      <color rgb="FFFEF5E4"/>
      <color rgb="FF029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EMCKEN~1\LOCALS~1\Temp\notesE97E9E\Template%20of%20Benefits%20%20v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TWFP01\Data\Project\FTW_TPTO\061018034\xls\Service%20Area%20D\2007_8_11_FTW_RIF_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unnel Capacity"/>
      <sheetName val="Notes"/>
    </sheetNames>
    <sheetDataSet>
      <sheetData sheetId="0">
        <row r="2">
          <cell r="C2">
            <v>8000</v>
          </cell>
        </row>
        <row r="3">
          <cell r="C3">
            <v>0.57999999999999996</v>
          </cell>
        </row>
        <row r="4">
          <cell r="C4">
            <v>0</v>
          </cell>
        </row>
        <row r="5">
          <cell r="C5">
            <v>63</v>
          </cell>
        </row>
        <row r="6">
          <cell r="C6">
            <v>36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overed_Sheet1"/>
      <sheetName val="NEW ROAD"/>
      <sheetName val="CCI"/>
      <sheetName val="PayItems"/>
      <sheetName val="Basswood (4)"/>
      <sheetName val="Basswood (5)"/>
      <sheetName val="Basswood (6)"/>
      <sheetName val="Basswood (7)"/>
      <sheetName val="Summerfields"/>
      <sheetName val="NTP (2)"/>
      <sheetName val="NTP (3)"/>
      <sheetName val="NTP (4)"/>
      <sheetName val="Shiver"/>
      <sheetName val="Heritage Trace (5)"/>
      <sheetName val="Heritage Trace (6)"/>
      <sheetName val="Heritage Trace (7)"/>
      <sheetName val="Golden Triangle (2)"/>
      <sheetName val="Golden Triangle (3)"/>
      <sheetName val="Golden Triangle (4)"/>
      <sheetName val="Keller Hicks (2)"/>
      <sheetName val="Keller Hicks (3)"/>
      <sheetName val="Keller Hicks (4)"/>
      <sheetName val="Timberland (1)"/>
      <sheetName val="Timberland (2)"/>
      <sheetName val="Timberland (3)"/>
      <sheetName val="N. Riverside (1)"/>
      <sheetName val="N. Riverside (2)"/>
      <sheetName val="N. Riverside (3)"/>
      <sheetName val="N. Riverside (4)"/>
      <sheetName val="N. Riverside (5)"/>
      <sheetName val="N. Riverside (6)"/>
      <sheetName val="N. Riverside (7)"/>
      <sheetName val="N. Beach (3)"/>
      <sheetName val="N. Beach (4)"/>
      <sheetName val="N. Beach (5)"/>
      <sheetName val="N. Beach (6)"/>
      <sheetName val="N. Beach (7)"/>
      <sheetName val="N. Beach (8)"/>
      <sheetName val="N. Beach (9)"/>
      <sheetName val="N. Beach (10)"/>
      <sheetName val="Park Vista (2)"/>
      <sheetName val="Park Vista (3)"/>
      <sheetName val="Park Vista (4)"/>
      <sheetName val="Park Vista (5)"/>
      <sheetName val="Summary"/>
      <sheetName val="CIP"/>
      <sheetName val="CIP-cost"/>
      <sheetName val="SupD"/>
      <sheetName val="E-D"/>
      <sheetName val="MaxFee"/>
      <sheetName val="PieCharts"/>
      <sheetName val="LUVMET"/>
      <sheetName val="LUVMET (2)"/>
      <sheetName val="10-Yr"/>
    </sheetNames>
    <sheetDataSet>
      <sheetData sheetId="0"/>
      <sheetData sheetId="1">
        <row r="2">
          <cell r="A2" t="str">
            <v>Median</v>
          </cell>
        </row>
        <row r="3">
          <cell r="A3" t="str">
            <v>NEW</v>
          </cell>
        </row>
        <row r="4">
          <cell r="A4" t="str">
            <v>EXISTING</v>
          </cell>
        </row>
      </sheetData>
      <sheetData sheetId="2">
        <row r="6">
          <cell r="B6">
            <v>155.07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CC"/>
    <pageSetUpPr fitToPage="1"/>
  </sheetPr>
  <dimension ref="B2:K17"/>
  <sheetViews>
    <sheetView tabSelected="1" zoomScaleNormal="100" workbookViewId="0">
      <selection activeCell="F15" sqref="F15"/>
    </sheetView>
  </sheetViews>
  <sheetFormatPr defaultRowHeight="12.75" x14ac:dyDescent="0.2"/>
  <cols>
    <col min="2" max="2" width="10.28515625" customWidth="1"/>
    <col min="3" max="3" width="11.28515625" bestFit="1" customWidth="1"/>
    <col min="4" max="4" width="18.85546875" customWidth="1"/>
    <col min="5" max="5" width="24" customWidth="1"/>
    <col min="6" max="6" width="22.42578125" customWidth="1"/>
    <col min="7" max="7" width="30.7109375" customWidth="1"/>
    <col min="8" max="8" width="26.85546875" customWidth="1"/>
  </cols>
  <sheetData>
    <row r="2" spans="2:11" ht="15.75" customHeight="1" x14ac:dyDescent="0.2">
      <c r="B2" s="2"/>
      <c r="C2" s="2"/>
      <c r="D2" s="3"/>
      <c r="E2" s="3"/>
      <c r="F2" s="3"/>
      <c r="G2" s="3"/>
      <c r="H2" s="2"/>
    </row>
    <row r="3" spans="2:11" hidden="1" x14ac:dyDescent="0.2"/>
    <row r="4" spans="2:11" ht="60.75" hidden="1" thickBot="1" x14ac:dyDescent="0.25">
      <c r="B4" s="9" t="s">
        <v>10</v>
      </c>
      <c r="C4" s="9" t="s">
        <v>11</v>
      </c>
      <c r="D4" s="9" t="s">
        <v>12</v>
      </c>
      <c r="E4" s="9"/>
      <c r="F4" s="9" t="s">
        <v>13</v>
      </c>
      <c r="G4" s="9" t="s">
        <v>14</v>
      </c>
      <c r="H4" s="9" t="s">
        <v>9</v>
      </c>
    </row>
    <row r="5" spans="2:11" ht="408.75" hidden="1" thickBot="1" x14ac:dyDescent="0.25">
      <c r="B5" s="7" t="s">
        <v>105</v>
      </c>
      <c r="C5" s="4" t="s">
        <v>106</v>
      </c>
      <c r="D5" s="5" t="s">
        <v>107</v>
      </c>
      <c r="E5" s="6"/>
      <c r="F5" s="6" t="s">
        <v>108</v>
      </c>
      <c r="G5" s="11">
        <f>+H8</f>
        <v>1.0708585023843227</v>
      </c>
      <c r="H5" s="10" t="s">
        <v>101</v>
      </c>
    </row>
    <row r="7" spans="2:11" ht="32.25" customHeight="1" thickBot="1" x14ac:dyDescent="0.25">
      <c r="B7" s="289" t="s">
        <v>102</v>
      </c>
      <c r="C7" s="289"/>
      <c r="D7" s="247" t="s">
        <v>2</v>
      </c>
      <c r="E7" s="247" t="s">
        <v>152</v>
      </c>
      <c r="F7" s="247" t="s">
        <v>5</v>
      </c>
      <c r="G7" s="247" t="s">
        <v>103</v>
      </c>
      <c r="H7" s="247" t="s">
        <v>14</v>
      </c>
    </row>
    <row r="8" spans="2:11" ht="62.25" customHeight="1" thickTop="1" x14ac:dyDescent="0.2">
      <c r="B8" s="290" t="str">
        <f>'Summary Table'!A1</f>
        <v>2019 BCA SUMMARY - SH 28 Pensacola Dam</v>
      </c>
      <c r="C8" s="291"/>
      <c r="D8" s="248">
        <f>Costs!C2</f>
        <v>28200000</v>
      </c>
      <c r="E8" s="248">
        <f>'Summary Table'!E69</f>
        <v>17942379.892269772</v>
      </c>
      <c r="F8" s="248">
        <f>'Summary Table'!F39</f>
        <v>73197889.094766244</v>
      </c>
      <c r="G8" s="248">
        <f>'Summary Table'!G39</f>
        <v>19213750.060646594</v>
      </c>
      <c r="H8" s="249">
        <f>'Summary Table'!D8</f>
        <v>1.0708585023843227</v>
      </c>
    </row>
    <row r="10" spans="2:11" x14ac:dyDescent="0.2">
      <c r="B10" s="12"/>
      <c r="C10" s="12"/>
      <c r="D10" s="12"/>
      <c r="E10" s="12"/>
      <c r="F10" s="12"/>
      <c r="G10" s="12"/>
      <c r="H10" s="12"/>
    </row>
    <row r="11" spans="2:11" ht="13.9" customHeight="1" x14ac:dyDescent="0.25">
      <c r="B11" s="250"/>
      <c r="C11" s="250"/>
      <c r="D11" s="250"/>
      <c r="E11" s="250"/>
      <c r="F11" s="250"/>
      <c r="G11" s="250"/>
      <c r="H11" s="250"/>
      <c r="I11" s="1"/>
      <c r="J11" s="1"/>
      <c r="K11" s="1"/>
    </row>
    <row r="12" spans="2:11" ht="13.15" customHeight="1" x14ac:dyDescent="0.25">
      <c r="B12" s="250"/>
      <c r="C12" s="250"/>
      <c r="D12" s="250"/>
      <c r="E12" s="250"/>
      <c r="F12" s="250"/>
      <c r="G12" s="250"/>
      <c r="H12" s="250"/>
      <c r="I12" s="1"/>
      <c r="J12" s="1"/>
      <c r="K12" s="1"/>
    </row>
    <row r="13" spans="2:11" x14ac:dyDescent="0.2">
      <c r="H13" s="1"/>
      <c r="I13" s="1"/>
      <c r="J13" s="1"/>
      <c r="K13" s="1"/>
    </row>
    <row r="14" spans="2:11" ht="15.75" x14ac:dyDescent="0.25">
      <c r="H14" s="1"/>
      <c r="I14" s="8"/>
      <c r="J14" s="8"/>
      <c r="K14" s="1"/>
    </row>
    <row r="15" spans="2:11" ht="15.75" x14ac:dyDescent="0.25">
      <c r="H15" s="1"/>
      <c r="I15" s="8"/>
      <c r="J15" s="8"/>
      <c r="K15" s="1"/>
    </row>
    <row r="16" spans="2:11" x14ac:dyDescent="0.2">
      <c r="H16" s="1"/>
      <c r="I16" s="1"/>
      <c r="J16" s="1"/>
      <c r="K16" s="1"/>
    </row>
    <row r="17" spans="8:11" x14ac:dyDescent="0.2">
      <c r="H17" s="1"/>
      <c r="I17" s="1"/>
      <c r="J17" s="1"/>
      <c r="K17" s="1"/>
    </row>
  </sheetData>
  <mergeCells count="2">
    <mergeCell ref="B7:C7"/>
    <mergeCell ref="B8:C8"/>
  </mergeCells>
  <pageMargins left="0.7" right="0.7" top="0.75" bottom="0.75" header="0.3" footer="0.3"/>
  <pageSetup scale="71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H99"/>
  <sheetViews>
    <sheetView topLeftCell="A41" zoomScale="110" zoomScaleNormal="110" workbookViewId="0"/>
  </sheetViews>
  <sheetFormatPr defaultRowHeight="12.75" x14ac:dyDescent="0.2"/>
  <cols>
    <col min="1" max="1" width="13.85546875" customWidth="1"/>
    <col min="2" max="2" width="23.7109375" customWidth="1"/>
    <col min="3" max="3" width="23.28515625" customWidth="1"/>
    <col min="4" max="4" width="22.5703125" customWidth="1"/>
    <col min="5" max="5" width="17.85546875" customWidth="1"/>
    <col min="6" max="6" width="15.5703125" customWidth="1"/>
    <col min="7" max="7" width="17.7109375" customWidth="1"/>
    <col min="8" max="8" width="10.5703125" customWidth="1"/>
    <col min="9" max="9" width="13.140625" customWidth="1"/>
    <col min="10" max="10" width="12.7109375" customWidth="1"/>
    <col min="11" max="11" width="15.85546875" customWidth="1"/>
    <col min="12" max="12" width="13.7109375" customWidth="1"/>
    <col min="13" max="13" width="15.5703125" customWidth="1"/>
    <col min="14" max="14" width="14.5703125" customWidth="1"/>
  </cols>
  <sheetData>
    <row r="1" spans="1:8" ht="23.25" x14ac:dyDescent="0.35">
      <c r="A1" s="13" t="s">
        <v>199</v>
      </c>
    </row>
    <row r="2" spans="1:8" ht="18.75" x14ac:dyDescent="0.3">
      <c r="A2" s="14">
        <f ca="1">TODAY()</f>
        <v>43655</v>
      </c>
    </row>
    <row r="4" spans="1:8" x14ac:dyDescent="0.2">
      <c r="B4" s="292" t="s">
        <v>124</v>
      </c>
      <c r="C4" s="292"/>
      <c r="D4" s="292"/>
    </row>
    <row r="5" spans="1:8" ht="13.15" customHeight="1" x14ac:dyDescent="0.25">
      <c r="B5" s="295" t="s">
        <v>7</v>
      </c>
      <c r="C5" s="295"/>
      <c r="D5" s="20">
        <v>7.0000000000000007E-2</v>
      </c>
      <c r="E5" s="17"/>
    </row>
    <row r="6" spans="1:8" ht="13.9" customHeight="1" x14ac:dyDescent="0.25">
      <c r="B6" s="295" t="s">
        <v>125</v>
      </c>
      <c r="C6" s="295"/>
      <c r="D6" s="21">
        <f>G39-E69</f>
        <v>1271370.168376822</v>
      </c>
      <c r="E6" s="17"/>
    </row>
    <row r="7" spans="1:8" ht="13.15" customHeight="1" x14ac:dyDescent="0.25">
      <c r="B7" s="295" t="s">
        <v>126</v>
      </c>
      <c r="C7" s="295"/>
      <c r="D7" s="20">
        <f>IRR(D76:D98)</f>
        <v>3.5818351699832274E-3</v>
      </c>
      <c r="E7" s="17"/>
    </row>
    <row r="8" spans="1:8" ht="13.9" customHeight="1" x14ac:dyDescent="0.25">
      <c r="B8" s="295" t="s">
        <v>127</v>
      </c>
      <c r="C8" s="295"/>
      <c r="D8" s="22">
        <f>G39/E69</f>
        <v>1.0708585023843227</v>
      </c>
      <c r="E8" s="17"/>
    </row>
    <row r="11" spans="1:8" x14ac:dyDescent="0.2">
      <c r="A11" s="299" t="s">
        <v>171</v>
      </c>
      <c r="B11" s="300"/>
      <c r="C11" s="300"/>
      <c r="D11" s="300"/>
      <c r="E11" s="300"/>
      <c r="F11" s="300"/>
      <c r="G11" s="300"/>
      <c r="H11" s="16"/>
    </row>
    <row r="12" spans="1:8" x14ac:dyDescent="0.2">
      <c r="A12" s="134"/>
      <c r="B12" s="294" t="s">
        <v>3</v>
      </c>
      <c r="C12" s="294"/>
      <c r="D12" s="134" t="s">
        <v>138</v>
      </c>
      <c r="E12" s="134" t="s">
        <v>4</v>
      </c>
      <c r="F12" s="294" t="s">
        <v>0</v>
      </c>
      <c r="G12" s="294" t="s">
        <v>133</v>
      </c>
    </row>
    <row r="13" spans="1:8" x14ac:dyDescent="0.2">
      <c r="A13" s="134" t="s">
        <v>128</v>
      </c>
      <c r="B13" s="134" t="s">
        <v>122</v>
      </c>
      <c r="C13" s="134" t="s">
        <v>129</v>
      </c>
      <c r="D13" s="134" t="s">
        <v>139</v>
      </c>
      <c r="E13" s="134" t="s">
        <v>130</v>
      </c>
      <c r="F13" s="294"/>
      <c r="G13" s="294"/>
    </row>
    <row r="14" spans="1:8" x14ac:dyDescent="0.2">
      <c r="A14" s="174">
        <v>2017</v>
      </c>
      <c r="B14" s="245">
        <f>'Travel Time'!L52</f>
        <v>0</v>
      </c>
      <c r="C14" s="266">
        <f>'Travel Time'!L84</f>
        <v>0</v>
      </c>
      <c r="D14" s="245">
        <f>'Environmental Protection'!I67</f>
        <v>0</v>
      </c>
      <c r="E14" s="266">
        <f>Safety!Z74</f>
        <v>0</v>
      </c>
      <c r="F14" s="245">
        <f>SUM(B14:E14)</f>
        <v>0</v>
      </c>
      <c r="G14" s="266">
        <v>0</v>
      </c>
    </row>
    <row r="15" spans="1:8" x14ac:dyDescent="0.2">
      <c r="A15" s="174">
        <v>2018</v>
      </c>
      <c r="B15" s="245">
        <f>'Travel Time'!L53</f>
        <v>0</v>
      </c>
      <c r="C15" s="266">
        <f>'Travel Time'!L85</f>
        <v>0</v>
      </c>
      <c r="D15" s="245">
        <f>'Environmental Protection'!I68</f>
        <v>0</v>
      </c>
      <c r="E15" s="266">
        <f>Safety!Z75</f>
        <v>0</v>
      </c>
      <c r="F15" s="245">
        <f t="shared" ref="F15" si="0">SUM(B15:E15)</f>
        <v>0</v>
      </c>
      <c r="G15" s="266">
        <f>F15*NPV!C3</f>
        <v>0</v>
      </c>
    </row>
    <row r="16" spans="1:8" x14ac:dyDescent="0.2">
      <c r="A16" s="174">
        <f>Costs!E6</f>
        <v>2019</v>
      </c>
      <c r="B16" s="245">
        <f>'Travel Time'!L54</f>
        <v>0</v>
      </c>
      <c r="C16" s="266">
        <f>'Travel Time'!L86</f>
        <v>0</v>
      </c>
      <c r="D16" s="245">
        <f>'Environmental Protection'!I69</f>
        <v>0</v>
      </c>
      <c r="E16" s="266">
        <f>Safety!Z76</f>
        <v>0</v>
      </c>
      <c r="F16" s="245">
        <f t="shared" ref="F16:F19" si="1">SUM(B16:E16)</f>
        <v>0</v>
      </c>
      <c r="G16" s="266">
        <f>F16*NPV!C4</f>
        <v>0</v>
      </c>
    </row>
    <row r="17" spans="1:7" x14ac:dyDescent="0.2">
      <c r="A17" s="174">
        <f>Costs!E7</f>
        <v>2020</v>
      </c>
      <c r="B17" s="245">
        <f>'Travel Time'!L55</f>
        <v>0</v>
      </c>
      <c r="C17" s="266">
        <f>'Travel Time'!L87</f>
        <v>0</v>
      </c>
      <c r="D17" s="245">
        <f>'Environmental Protection'!I70</f>
        <v>0</v>
      </c>
      <c r="E17" s="266">
        <f>Safety!Z77</f>
        <v>0</v>
      </c>
      <c r="F17" s="245">
        <f t="shared" si="1"/>
        <v>0</v>
      </c>
      <c r="G17" s="266">
        <f>F17*NPV!C5</f>
        <v>0</v>
      </c>
    </row>
    <row r="18" spans="1:7" x14ac:dyDescent="0.2">
      <c r="A18" s="174">
        <f>Costs!E8</f>
        <v>2021</v>
      </c>
      <c r="B18" s="245">
        <f>'Travel Time'!L56</f>
        <v>0</v>
      </c>
      <c r="C18" s="266">
        <f>'Travel Time'!L88</f>
        <v>0</v>
      </c>
      <c r="D18" s="245">
        <f>'Environmental Protection'!I71</f>
        <v>0</v>
      </c>
      <c r="E18" s="266">
        <f>Safety!Z78</f>
        <v>0</v>
      </c>
      <c r="F18" s="245">
        <f t="shared" si="1"/>
        <v>0</v>
      </c>
      <c r="G18" s="266">
        <f>F18*NPV!C6</f>
        <v>0</v>
      </c>
    </row>
    <row r="19" spans="1:7" x14ac:dyDescent="0.2">
      <c r="A19" s="174">
        <f>Costs!E9</f>
        <v>2022</v>
      </c>
      <c r="B19" s="245">
        <f>'Travel Time'!L57</f>
        <v>266974.19931139599</v>
      </c>
      <c r="C19" s="266">
        <f>'Travel Time'!L89</f>
        <v>-30.212130238959219</v>
      </c>
      <c r="D19" s="245">
        <f>'Environmental Protection'!I72</f>
        <v>8393.1236822192532</v>
      </c>
      <c r="E19" s="266">
        <f>Safety!Z79</f>
        <v>684600</v>
      </c>
      <c r="F19" s="245">
        <f t="shared" si="1"/>
        <v>959937.11086337629</v>
      </c>
      <c r="G19" s="266">
        <f>F19*NPV!C7</f>
        <v>684421.89321906923</v>
      </c>
    </row>
    <row r="20" spans="1:7" x14ac:dyDescent="0.2">
      <c r="A20" s="174">
        <f>Costs!E10</f>
        <v>2023</v>
      </c>
      <c r="B20" s="245">
        <f>'Travel Time'!L58</f>
        <v>272616.52428765263</v>
      </c>
      <c r="C20" s="266">
        <f>'Travel Time'!L90</f>
        <v>-120454.04677408407</v>
      </c>
      <c r="D20" s="245">
        <f>'Environmental Protection'!I73</f>
        <v>822.60381868438731</v>
      </c>
      <c r="E20" s="266">
        <f>Safety!Z80</f>
        <v>805300</v>
      </c>
      <c r="F20" s="245">
        <f>SUM(B20:E20)</f>
        <v>958285.08133225294</v>
      </c>
      <c r="G20" s="266">
        <f>F20*NPV!C8</f>
        <v>638545.81214512105</v>
      </c>
    </row>
    <row r="21" spans="1:7" x14ac:dyDescent="0.2">
      <c r="A21" s="174">
        <f>Costs!E11</f>
        <v>2024</v>
      </c>
      <c r="B21" s="245">
        <f>'Travel Time'!L59</f>
        <v>278380.75</v>
      </c>
      <c r="C21" s="266">
        <f>'Travel Time'!L91</f>
        <v>-122987.40300000009</v>
      </c>
      <c r="D21" s="245">
        <f>'Environmental Protection'!I74</f>
        <v>840.6748315260561</v>
      </c>
      <c r="E21" s="266">
        <f>Safety!Z81</f>
        <v>805300</v>
      </c>
      <c r="F21" s="245">
        <f>SUM(B21:E21)</f>
        <v>961534.02183152596</v>
      </c>
      <c r="G21" s="266">
        <f>F21*NPV!C9</f>
        <v>598795.06390883552</v>
      </c>
    </row>
    <row r="22" spans="1:7" x14ac:dyDescent="0.2">
      <c r="A22" s="174">
        <f>Costs!E12</f>
        <v>2025</v>
      </c>
      <c r="B22" s="245">
        <f>'Travel Time'!L60</f>
        <v>284235.75068314886</v>
      </c>
      <c r="C22" s="266">
        <f>'Travel Time'!L92</f>
        <v>-125565.55366297989</v>
      </c>
      <c r="D22" s="245">
        <f>'Environmental Protection'!I75</f>
        <v>858.52922654386566</v>
      </c>
      <c r="E22" s="266">
        <f>Safety!Z82</f>
        <v>802100</v>
      </c>
      <c r="F22" s="245">
        <f>SUM(B22:E22)</f>
        <v>961628.72624671285</v>
      </c>
      <c r="G22" s="266">
        <f>F22*NPV!C10</f>
        <v>559676.67388686782</v>
      </c>
    </row>
    <row r="23" spans="1:7" x14ac:dyDescent="0.2">
      <c r="A23" s="174">
        <f>Costs!E13</f>
        <v>2026</v>
      </c>
      <c r="B23" s="245">
        <f>'Travel Time'!L61</f>
        <v>290289.5125517681</v>
      </c>
      <c r="C23" s="266">
        <f>'Travel Time'!L93</f>
        <v>-128240.9094456833</v>
      </c>
      <c r="D23" s="245">
        <f>'Environmental Protection'!I76</f>
        <v>877.22985869479703</v>
      </c>
      <c r="E23" s="266">
        <f>Safety!Z83</f>
        <v>998500</v>
      </c>
      <c r="F23" s="245">
        <f t="shared" ref="F23:F37" si="2">SUM(B23:E23)</f>
        <v>1161425.8329647796</v>
      </c>
      <c r="G23" s="266">
        <f>F23*NPV!C11</f>
        <v>631738.70005844417</v>
      </c>
    </row>
    <row r="24" spans="1:7" x14ac:dyDescent="0.2">
      <c r="A24" s="174">
        <f>Costs!E14</f>
        <v>2027</v>
      </c>
      <c r="B24" s="245">
        <f>'Travel Time'!L62</f>
        <v>296458.06708268332</v>
      </c>
      <c r="C24" s="266">
        <f>'Travel Time'!L94</f>
        <v>-130967.1082184088</v>
      </c>
      <c r="D24" s="245">
        <f>'Environmental Protection'!I77</f>
        <v>896.17435919423849</v>
      </c>
      <c r="E24" s="266">
        <f>Safety!Z84</f>
        <v>802100</v>
      </c>
      <c r="F24" s="245">
        <f t="shared" si="2"/>
        <v>968487.13322346879</v>
      </c>
      <c r="G24" s="266">
        <f>F24*NPV!C12</f>
        <v>492329.74861573247</v>
      </c>
    </row>
    <row r="25" spans="1:7" x14ac:dyDescent="0.2">
      <c r="A25" s="174">
        <f>Costs!E15</f>
        <v>2028</v>
      </c>
      <c r="B25" s="245">
        <f>'Travel Time'!L63</f>
        <v>302685.46031164081</v>
      </c>
      <c r="C25" s="266">
        <f>'Travel Time'!L95</f>
        <v>-133693.93990834092</v>
      </c>
      <c r="D25" s="245">
        <f>'Environmental Protection'!I78</f>
        <v>915.79483769211038</v>
      </c>
      <c r="E25" s="266">
        <f>Safety!Z85</f>
        <v>938900</v>
      </c>
      <c r="F25" s="245">
        <f t="shared" si="2"/>
        <v>1108807.315240992</v>
      </c>
      <c r="G25" s="266">
        <f>F25*NPV!C13</f>
        <v>526786.36805285525</v>
      </c>
    </row>
    <row r="26" spans="1:7" x14ac:dyDescent="0.2">
      <c r="A26" s="174">
        <f>Costs!E16</f>
        <v>2029</v>
      </c>
      <c r="B26" s="245">
        <f>'Travel Time'!L64</f>
        <v>309111.62190305203</v>
      </c>
      <c r="C26" s="266">
        <f>'Travel Time'!L96</f>
        <v>-136521.50499102322</v>
      </c>
      <c r="D26" s="245">
        <f>'Environmental Protection'!I79</f>
        <v>936.0345411434289</v>
      </c>
      <c r="E26" s="266">
        <f>Safety!Z86</f>
        <v>938900</v>
      </c>
      <c r="F26" s="245">
        <f t="shared" si="2"/>
        <v>1112426.1514531723</v>
      </c>
      <c r="G26" s="266">
        <f>F26*NPV!C14</f>
        <v>493930.51501735393</v>
      </c>
    </row>
    <row r="27" spans="1:7" x14ac:dyDescent="0.2">
      <c r="A27" s="174">
        <f>Costs!E17</f>
        <v>2030</v>
      </c>
      <c r="B27" s="245">
        <f>'Travel Time'!L65</f>
        <v>315645.90952241432</v>
      </c>
      <c r="C27" s="266">
        <f>'Travel Time'!L97</f>
        <v>-139400.04024611774</v>
      </c>
      <c r="D27" s="245">
        <f>'Environmental Protection'!I80</f>
        <v>956.20597119623653</v>
      </c>
      <c r="E27" s="266">
        <f>Safety!Z87</f>
        <v>1138500</v>
      </c>
      <c r="F27" s="245">
        <f t="shared" si="2"/>
        <v>1315702.0752474929</v>
      </c>
      <c r="G27" s="266">
        <f>F27*NPV!C15</f>
        <v>545969.58524087898</v>
      </c>
    </row>
    <row r="28" spans="1:7" x14ac:dyDescent="0.2">
      <c r="A28" s="174">
        <f>Costs!E18</f>
        <v>2031</v>
      </c>
      <c r="B28" s="245">
        <f>'Travel Time'!L66</f>
        <v>322378.96958393115</v>
      </c>
      <c r="C28" s="266">
        <f>'Travel Time'!L98</f>
        <v>-142381.06595121959</v>
      </c>
      <c r="D28" s="245">
        <f>'Environmental Protection'!I81</f>
        <v>976.8831201126751</v>
      </c>
      <c r="E28" s="266">
        <f>Safety!Z88</f>
        <v>881000</v>
      </c>
      <c r="F28" s="245">
        <f t="shared" si="2"/>
        <v>1061974.7867528242</v>
      </c>
      <c r="G28" s="266">
        <f>F28*NPV!C16</f>
        <v>411852.13182844222</v>
      </c>
    </row>
    <row r="29" spans="1:7" x14ac:dyDescent="0.2">
      <c r="A29" s="174">
        <f>Costs!E19</f>
        <v>2032</v>
      </c>
      <c r="B29" s="245">
        <f>'Travel Time'!L67</f>
        <v>329170.86338859226</v>
      </c>
      <c r="C29" s="266">
        <f>'Travel Time'!L99</f>
        <v>-145368.02543973015</v>
      </c>
      <c r="D29" s="245">
        <f>'Environmental Protection'!I82</f>
        <v>997.89572875803128</v>
      </c>
      <c r="E29" s="266">
        <f>Safety!Z89</f>
        <v>937800</v>
      </c>
      <c r="F29" s="245">
        <f t="shared" si="2"/>
        <v>1122600.7336776201</v>
      </c>
      <c r="G29" s="266">
        <f>F29*NPV!C17</f>
        <v>406882.16756904608</v>
      </c>
    </row>
    <row r="30" spans="1:7" x14ac:dyDescent="0.2">
      <c r="A30" s="174">
        <f>Costs!E20</f>
        <v>2033</v>
      </c>
      <c r="B30" s="245">
        <f>'Travel Time'!L68</f>
        <v>336112.24342322513</v>
      </c>
      <c r="C30" s="266">
        <f>'Travel Time'!L100</f>
        <v>-148413.76746835443</v>
      </c>
      <c r="D30" s="245">
        <f>'Environmental Protection'!I83</f>
        <v>1019.732659827123</v>
      </c>
      <c r="E30" s="266">
        <f>Safety!Z90</f>
        <v>1070300</v>
      </c>
      <c r="F30" s="245">
        <f t="shared" si="2"/>
        <v>1259018.2086146979</v>
      </c>
      <c r="G30" s="266">
        <f>F30*NPV!C18</f>
        <v>426473.02651369286</v>
      </c>
    </row>
    <row r="31" spans="1:7" x14ac:dyDescent="0.2">
      <c r="A31" s="174">
        <f>Costs!E21</f>
        <v>2034</v>
      </c>
      <c r="B31" s="245">
        <f>'Travel Time'!L69</f>
        <v>343245.73602802493</v>
      </c>
      <c r="C31" s="266">
        <f>'Travel Time'!L101</f>
        <v>-151562.1257073564</v>
      </c>
      <c r="D31" s="245">
        <f>'Environmental Protection'!I84</f>
        <v>1041.7631680128247</v>
      </c>
      <c r="E31" s="266">
        <f>Safety!Z91</f>
        <v>1138500</v>
      </c>
      <c r="F31" s="245">
        <f t="shared" si="2"/>
        <v>1331225.3734886814</v>
      </c>
      <c r="G31" s="266">
        <f>F31*NPV!C19</f>
        <v>421431.86118253676</v>
      </c>
    </row>
    <row r="32" spans="1:7" x14ac:dyDescent="0.2">
      <c r="A32" s="174">
        <f>Costs!E22</f>
        <v>2035</v>
      </c>
      <c r="B32" s="245">
        <f>'Travel Time'!L70</f>
        <v>350522.04999999993</v>
      </c>
      <c r="C32" s="266">
        <f>'Travel Time'!L102</f>
        <v>-154766.745</v>
      </c>
      <c r="D32" s="245">
        <f>'Environmental Protection'!I85</f>
        <v>1064.476116010019</v>
      </c>
      <c r="E32" s="266">
        <f>Safety!Z92</f>
        <v>1138500</v>
      </c>
      <c r="F32" s="245">
        <f t="shared" si="2"/>
        <v>1335319.7811160099</v>
      </c>
      <c r="G32" s="266">
        <f>F32*NPV!C20</f>
        <v>395072.93998268206</v>
      </c>
    </row>
    <row r="33" spans="1:7" x14ac:dyDescent="0.2">
      <c r="A33" s="174">
        <f>Costs!E23</f>
        <v>2036</v>
      </c>
      <c r="B33" s="245">
        <f>'Travel Time'!L71</f>
        <v>357947.85</v>
      </c>
      <c r="C33" s="266">
        <f>'Travel Time'!L103</f>
        <v>-158034.55500000002</v>
      </c>
      <c r="D33" s="245">
        <f>'Environmental Protection'!I86</f>
        <v>1087.7296212063113</v>
      </c>
      <c r="E33" s="266">
        <f>Safety!Z93</f>
        <v>1138500</v>
      </c>
      <c r="F33" s="245">
        <f t="shared" si="2"/>
        <v>1339501.0246212063</v>
      </c>
      <c r="G33" s="266">
        <f>F33*NPV!C21</f>
        <v>370383.19538432121</v>
      </c>
    </row>
    <row r="34" spans="1:7" x14ac:dyDescent="0.2">
      <c r="A34" s="174">
        <f>Costs!E24</f>
        <v>2037</v>
      </c>
      <c r="B34" s="245">
        <f>'Travel Time'!L72</f>
        <v>365516.47257085022</v>
      </c>
      <c r="C34" s="266">
        <f>'Travel Time'!L104</f>
        <v>-161361.71668269238</v>
      </c>
      <c r="D34" s="245">
        <f>'Environmental Protection'!I87</f>
        <v>1111.4669305568918</v>
      </c>
      <c r="E34" s="266">
        <f>Safety!Z94</f>
        <v>949600</v>
      </c>
      <c r="F34" s="245">
        <f t="shared" si="2"/>
        <v>1154866.2228187148</v>
      </c>
      <c r="G34" s="266">
        <f>F34*NPV!C22</f>
        <v>298439.37768423138</v>
      </c>
    </row>
    <row r="35" spans="1:7" x14ac:dyDescent="0.2">
      <c r="A35" s="174">
        <f>Costs!E25</f>
        <v>2038</v>
      </c>
      <c r="B35" s="245">
        <f>'Travel Time'!L73</f>
        <v>373283.87249070639</v>
      </c>
      <c r="C35" s="266">
        <f>'Travel Time'!L105</f>
        <v>-164801.9403791822</v>
      </c>
      <c r="D35" s="245">
        <f>'Environmental Protection'!I88</f>
        <v>1135.0289222321207</v>
      </c>
      <c r="E35" s="266">
        <f>Safety!Z95</f>
        <v>1009200</v>
      </c>
      <c r="F35" s="245">
        <f t="shared" si="2"/>
        <v>1218816.9610337564</v>
      </c>
      <c r="G35" s="266">
        <f>F35*NPV!C23</f>
        <v>294360.24643268524</v>
      </c>
    </row>
    <row r="36" spans="1:7" x14ac:dyDescent="0.2">
      <c r="A36" s="174">
        <f>Costs!E26</f>
        <v>2039</v>
      </c>
      <c r="B36" s="245">
        <f>'Travel Time'!L74</f>
        <v>381157.74172603746</v>
      </c>
      <c r="C36" s="266">
        <f>'Travel Time'!L106</f>
        <v>-168252.87474278113</v>
      </c>
      <c r="D36" s="245">
        <f>'Environmental Protection'!I89</f>
        <v>1160.0240556687818</v>
      </c>
      <c r="E36" s="266">
        <f>Safety!Z96</f>
        <v>1146000</v>
      </c>
      <c r="F36" s="245">
        <f t="shared" si="2"/>
        <v>1360064.8910389252</v>
      </c>
      <c r="G36" s="266">
        <f>F36*NPV!C24</f>
        <v>306984.55140574026</v>
      </c>
    </row>
    <row r="37" spans="1:7" x14ac:dyDescent="0.2">
      <c r="A37" s="174">
        <f>Costs!E27</f>
        <v>2040</v>
      </c>
      <c r="B37" s="245">
        <f>'Travel Time'!L75</f>
        <v>11854338.837675858</v>
      </c>
      <c r="C37" s="266">
        <f>'Travel Time'!L107</f>
        <v>11707724.067119772</v>
      </c>
      <c r="D37" s="245">
        <f>'Environmental Protection'!I90</f>
        <v>1126079.7797148158</v>
      </c>
      <c r="E37" s="266">
        <f>Safety!Z97</f>
        <v>1271000</v>
      </c>
      <c r="F37" s="245">
        <f t="shared" si="2"/>
        <v>25959142.684510447</v>
      </c>
      <c r="G37" s="266">
        <f>F37*NPV!C25</f>
        <v>5476000.243611142</v>
      </c>
    </row>
    <row r="38" spans="1:7" ht="13.5" thickBot="1" x14ac:dyDescent="0.25">
      <c r="A38" s="223">
        <f>Costs!E28</f>
        <v>2041</v>
      </c>
      <c r="B38" s="246">
        <f>'Travel Time'!L76</f>
        <v>12108418.948665584</v>
      </c>
      <c r="C38" s="267">
        <f>'Travel Time'!L108</f>
        <v>12134408.674723065</v>
      </c>
      <c r="D38" s="246">
        <f>'Environmental Protection'!I91</f>
        <v>1161497.3553009408</v>
      </c>
      <c r="E38" s="267">
        <f>Safety!Z98</f>
        <v>1142800</v>
      </c>
      <c r="F38" s="246">
        <f t="shared" ref="F38" si="3">SUM(B38:E38)</f>
        <v>26547124.978689589</v>
      </c>
      <c r="G38" s="267">
        <f>F38*NPV!C26</f>
        <v>5233675.958906915</v>
      </c>
    </row>
    <row r="39" spans="1:7" ht="17.25" thickTop="1" x14ac:dyDescent="0.3">
      <c r="A39" s="288" t="s">
        <v>0</v>
      </c>
      <c r="B39" s="222">
        <f t="shared" ref="B39:E39" si="4">SUM(B14:B38)</f>
        <v>29738491.381206565</v>
      </c>
      <c r="C39" s="152">
        <f t="shared" si="4"/>
        <v>21409329.207094643</v>
      </c>
      <c r="D39" s="222">
        <f t="shared" si="4"/>
        <v>2312668.5064650355</v>
      </c>
      <c r="E39" s="152">
        <f t="shared" si="4"/>
        <v>19737400</v>
      </c>
      <c r="F39" s="222">
        <f>SUM(F14:F38)</f>
        <v>73197889.094766244</v>
      </c>
      <c r="G39" s="152">
        <f>SUM(G14:G38)</f>
        <v>19213750.060646594</v>
      </c>
    </row>
    <row r="42" spans="1:7" x14ac:dyDescent="0.2">
      <c r="A42" s="296" t="s">
        <v>172</v>
      </c>
      <c r="B42" s="297"/>
      <c r="C42" s="297"/>
      <c r="D42" s="297"/>
      <c r="E42" s="298"/>
    </row>
    <row r="43" spans="1:7" ht="27.6" customHeight="1" x14ac:dyDescent="0.2">
      <c r="A43" s="132" t="s">
        <v>128</v>
      </c>
      <c r="B43" s="133" t="s">
        <v>2</v>
      </c>
      <c r="C43" s="133" t="s">
        <v>131</v>
      </c>
      <c r="D43" s="133" t="s">
        <v>132</v>
      </c>
      <c r="E43" s="133" t="s">
        <v>133</v>
      </c>
    </row>
    <row r="44" spans="1:7" x14ac:dyDescent="0.2">
      <c r="A44" s="174">
        <v>2017</v>
      </c>
      <c r="B44" s="245">
        <f>Costs!G4</f>
        <v>0</v>
      </c>
      <c r="C44" s="266">
        <f>Costs!H4</f>
        <v>0</v>
      </c>
      <c r="D44" s="245">
        <f>+B44+C44</f>
        <v>0</v>
      </c>
      <c r="E44" s="266">
        <f>D44*1</f>
        <v>0</v>
      </c>
    </row>
    <row r="45" spans="1:7" x14ac:dyDescent="0.2">
      <c r="A45" s="174">
        <v>2018</v>
      </c>
      <c r="B45" s="245">
        <f>Costs!G5</f>
        <v>0</v>
      </c>
      <c r="C45" s="266">
        <f>Costs!H5</f>
        <v>0</v>
      </c>
      <c r="D45" s="245">
        <f t="shared" ref="D45:D68" si="5">+B45+C45</f>
        <v>0</v>
      </c>
      <c r="E45" s="266">
        <f>D45*NPV!C3</f>
        <v>0</v>
      </c>
    </row>
    <row r="46" spans="1:7" x14ac:dyDescent="0.2">
      <c r="A46" s="174">
        <f t="shared" ref="A46:A68" si="6">A16</f>
        <v>2019</v>
      </c>
      <c r="B46" s="245">
        <f>Costs!G6</f>
        <v>0</v>
      </c>
      <c r="C46" s="266">
        <f>Costs!H6</f>
        <v>0</v>
      </c>
      <c r="D46" s="245">
        <f t="shared" si="5"/>
        <v>0</v>
      </c>
      <c r="E46" s="266">
        <f>D46*NPV!C4</f>
        <v>0</v>
      </c>
    </row>
    <row r="47" spans="1:7" x14ac:dyDescent="0.2">
      <c r="A47" s="174">
        <f t="shared" si="6"/>
        <v>2020</v>
      </c>
      <c r="B47" s="245">
        <f>Costs!G7</f>
        <v>8460000</v>
      </c>
      <c r="C47" s="266">
        <f>Costs!H7</f>
        <v>0</v>
      </c>
      <c r="D47" s="245">
        <f t="shared" si="5"/>
        <v>8460000</v>
      </c>
      <c r="E47" s="268">
        <f>D47*NPV!C5</f>
        <v>6905880.038496607</v>
      </c>
    </row>
    <row r="48" spans="1:7" x14ac:dyDescent="0.2">
      <c r="A48" s="174">
        <f t="shared" si="6"/>
        <v>2021</v>
      </c>
      <c r="B48" s="245">
        <f>Costs!G8</f>
        <v>19740000</v>
      </c>
      <c r="C48" s="266">
        <f>Costs!H8</f>
        <v>0</v>
      </c>
      <c r="D48" s="245">
        <f t="shared" si="5"/>
        <v>19740000</v>
      </c>
      <c r="E48" s="266">
        <f>D48*NPV!C6</f>
        <v>15059551.485818148</v>
      </c>
    </row>
    <row r="49" spans="1:5" x14ac:dyDescent="0.2">
      <c r="A49" s="174">
        <f t="shared" si="6"/>
        <v>2022</v>
      </c>
      <c r="B49" s="245">
        <f>Costs!G9</f>
        <v>0</v>
      </c>
      <c r="C49" s="266">
        <f>Costs!H9</f>
        <v>6000</v>
      </c>
      <c r="D49" s="245">
        <f t="shared" si="5"/>
        <v>6000</v>
      </c>
      <c r="E49" s="266">
        <f>D49*NPV!C7</f>
        <v>4277.9170769020102</v>
      </c>
    </row>
    <row r="50" spans="1:5" x14ac:dyDescent="0.2">
      <c r="A50" s="174">
        <f t="shared" si="6"/>
        <v>2023</v>
      </c>
      <c r="B50" s="245">
        <f>Costs!G10</f>
        <v>0</v>
      </c>
      <c r="C50" s="266">
        <f>Costs!H10</f>
        <v>6000</v>
      </c>
      <c r="D50" s="245">
        <f t="shared" si="5"/>
        <v>6000</v>
      </c>
      <c r="E50" s="266">
        <f>D50*NPV!C8</f>
        <v>3998.0533428990752</v>
      </c>
    </row>
    <row r="51" spans="1:5" x14ac:dyDescent="0.2">
      <c r="A51" s="174">
        <f t="shared" si="6"/>
        <v>2024</v>
      </c>
      <c r="B51" s="245">
        <f>Costs!G11</f>
        <v>0</v>
      </c>
      <c r="C51" s="266">
        <f>Costs!H11</f>
        <v>6000</v>
      </c>
      <c r="D51" s="245">
        <f t="shared" si="5"/>
        <v>6000</v>
      </c>
      <c r="E51" s="266">
        <f>D51*NPV!C9</f>
        <v>3736.4984513075465</v>
      </c>
    </row>
    <row r="52" spans="1:5" x14ac:dyDescent="0.2">
      <c r="A52" s="174">
        <f t="shared" si="6"/>
        <v>2025</v>
      </c>
      <c r="B52" s="245">
        <f>Costs!G12</f>
        <v>0</v>
      </c>
      <c r="C52" s="266">
        <f>Costs!H12</f>
        <v>6000</v>
      </c>
      <c r="D52" s="245">
        <f t="shared" si="5"/>
        <v>6000</v>
      </c>
      <c r="E52" s="266">
        <f>D52*NPV!C10</f>
        <v>3492.0546273902305</v>
      </c>
    </row>
    <row r="53" spans="1:5" x14ac:dyDescent="0.2">
      <c r="A53" s="174">
        <f t="shared" si="6"/>
        <v>2026</v>
      </c>
      <c r="B53" s="245">
        <f>Costs!G13</f>
        <v>0</v>
      </c>
      <c r="C53" s="266">
        <f>Costs!H13</f>
        <v>6000</v>
      </c>
      <c r="D53" s="245">
        <f t="shared" si="5"/>
        <v>6000</v>
      </c>
      <c r="E53" s="266">
        <f>D53*NPV!C11</f>
        <v>3263.6024555048884</v>
      </c>
    </row>
    <row r="54" spans="1:5" x14ac:dyDescent="0.2">
      <c r="A54" s="174">
        <f t="shared" si="6"/>
        <v>2027</v>
      </c>
      <c r="B54" s="245">
        <f>Costs!G14</f>
        <v>0</v>
      </c>
      <c r="C54" s="266">
        <f>Costs!H14</f>
        <v>6000</v>
      </c>
      <c r="D54" s="245">
        <f t="shared" si="5"/>
        <v>6000</v>
      </c>
      <c r="E54" s="266">
        <f>D54*NPV!C12</f>
        <v>3050.0957528083068</v>
      </c>
    </row>
    <row r="55" spans="1:5" x14ac:dyDescent="0.2">
      <c r="A55" s="174">
        <f t="shared" si="6"/>
        <v>2028</v>
      </c>
      <c r="B55" s="245">
        <f>Costs!G15</f>
        <v>0</v>
      </c>
      <c r="C55" s="266">
        <f>Costs!H15</f>
        <v>6000</v>
      </c>
      <c r="D55" s="245">
        <f t="shared" si="5"/>
        <v>6000</v>
      </c>
      <c r="E55" s="266">
        <f>D55*NPV!C13</f>
        <v>2850.5567783255201</v>
      </c>
    </row>
    <row r="56" spans="1:5" x14ac:dyDescent="0.2">
      <c r="A56" s="174">
        <f t="shared" si="6"/>
        <v>2029</v>
      </c>
      <c r="B56" s="245">
        <f>Costs!G16</f>
        <v>0</v>
      </c>
      <c r="C56" s="266">
        <f>Costs!H16</f>
        <v>6000</v>
      </c>
      <c r="D56" s="245">
        <f t="shared" si="5"/>
        <v>6000</v>
      </c>
      <c r="E56" s="266">
        <f>D56*NPV!C14</f>
        <v>2664.0717554444118</v>
      </c>
    </row>
    <row r="57" spans="1:5" x14ac:dyDescent="0.2">
      <c r="A57" s="174">
        <f t="shared" si="6"/>
        <v>2030</v>
      </c>
      <c r="B57" s="245">
        <f>Costs!G17</f>
        <v>0</v>
      </c>
      <c r="C57" s="266">
        <f>Costs!H17</f>
        <v>6000</v>
      </c>
      <c r="D57" s="245">
        <f t="shared" si="5"/>
        <v>6000</v>
      </c>
      <c r="E57" s="266">
        <f>D57*NPV!C15</f>
        <v>2489.7866873312255</v>
      </c>
    </row>
    <row r="58" spans="1:5" x14ac:dyDescent="0.2">
      <c r="A58" s="174">
        <f t="shared" si="6"/>
        <v>2031</v>
      </c>
      <c r="B58" s="245">
        <f>Costs!G18</f>
        <v>0</v>
      </c>
      <c r="C58" s="266">
        <f>Costs!H18</f>
        <v>6000</v>
      </c>
      <c r="D58" s="245">
        <f t="shared" si="5"/>
        <v>6000</v>
      </c>
      <c r="E58" s="266">
        <f>D58*NPV!C16</f>
        <v>2326.9034461039496</v>
      </c>
    </row>
    <row r="59" spans="1:5" x14ac:dyDescent="0.2">
      <c r="A59" s="174">
        <f t="shared" si="6"/>
        <v>2032</v>
      </c>
      <c r="B59" s="245">
        <f>Costs!G19</f>
        <v>0</v>
      </c>
      <c r="C59" s="266">
        <f>Costs!H19</f>
        <v>8000</v>
      </c>
      <c r="D59" s="245">
        <f t="shared" si="5"/>
        <v>8000</v>
      </c>
      <c r="E59" s="266">
        <f>D59*NPV!C17</f>
        <v>2899.5681571388773</v>
      </c>
    </row>
    <row r="60" spans="1:5" x14ac:dyDescent="0.2">
      <c r="A60" s="174">
        <f t="shared" si="6"/>
        <v>2033</v>
      </c>
      <c r="B60" s="245">
        <f>Costs!G20</f>
        <v>0</v>
      </c>
      <c r="C60" s="266">
        <f>Costs!H20</f>
        <v>8000</v>
      </c>
      <c r="D60" s="245">
        <f t="shared" si="5"/>
        <v>8000</v>
      </c>
      <c r="E60" s="266">
        <f>D60*NPV!C18</f>
        <v>2709.8767823727831</v>
      </c>
    </row>
    <row r="61" spans="1:5" x14ac:dyDescent="0.2">
      <c r="A61" s="174">
        <f t="shared" si="6"/>
        <v>2034</v>
      </c>
      <c r="B61" s="245">
        <f>Costs!G21</f>
        <v>0</v>
      </c>
      <c r="C61" s="266">
        <f>Costs!H21</f>
        <v>8000</v>
      </c>
      <c r="D61" s="245">
        <f t="shared" si="5"/>
        <v>8000</v>
      </c>
      <c r="E61" s="266">
        <f>D61*NPV!C19</f>
        <v>2532.5951237128816</v>
      </c>
    </row>
    <row r="62" spans="1:5" x14ac:dyDescent="0.2">
      <c r="A62" s="174">
        <f t="shared" si="6"/>
        <v>2035</v>
      </c>
      <c r="B62" s="245">
        <f>Costs!G22</f>
        <v>0</v>
      </c>
      <c r="C62" s="266">
        <f>Costs!H22</f>
        <v>8000</v>
      </c>
      <c r="D62" s="245">
        <f t="shared" si="5"/>
        <v>8000</v>
      </c>
      <c r="E62" s="266">
        <f>D62*NPV!C20</f>
        <v>2366.911330572786</v>
      </c>
    </row>
    <row r="63" spans="1:5" x14ac:dyDescent="0.2">
      <c r="A63" s="174">
        <f t="shared" si="6"/>
        <v>2036</v>
      </c>
      <c r="B63" s="245">
        <f>Costs!G23</f>
        <v>0</v>
      </c>
      <c r="C63" s="266">
        <f>Costs!H23</f>
        <v>8000</v>
      </c>
      <c r="D63" s="245">
        <f t="shared" si="5"/>
        <v>8000</v>
      </c>
      <c r="E63" s="266">
        <f>D63*NPV!C21</f>
        <v>2212.0666640867157</v>
      </c>
    </row>
    <row r="64" spans="1:5" x14ac:dyDescent="0.2">
      <c r="A64" s="174">
        <f t="shared" si="6"/>
        <v>2037</v>
      </c>
      <c r="B64" s="245">
        <f>Costs!G24</f>
        <v>0</v>
      </c>
      <c r="C64" s="266">
        <f>Costs!H24</f>
        <v>8000</v>
      </c>
      <c r="D64" s="245">
        <f t="shared" si="5"/>
        <v>8000</v>
      </c>
      <c r="E64" s="266">
        <f>D64*NPV!C22</f>
        <v>2067.3520225109496</v>
      </c>
    </row>
    <row r="65" spans="1:5" x14ac:dyDescent="0.2">
      <c r="A65" s="174">
        <f t="shared" si="6"/>
        <v>2038</v>
      </c>
      <c r="B65" s="245">
        <f>Costs!G25</f>
        <v>0</v>
      </c>
      <c r="C65" s="266">
        <f>Costs!H25</f>
        <v>8000</v>
      </c>
      <c r="D65" s="245">
        <f t="shared" si="5"/>
        <v>8000</v>
      </c>
      <c r="E65" s="266">
        <f>D65*NPV!C23</f>
        <v>1932.1046939354669</v>
      </c>
    </row>
    <row r="66" spans="1:5" x14ac:dyDescent="0.2">
      <c r="A66" s="174">
        <f t="shared" si="6"/>
        <v>2039</v>
      </c>
      <c r="B66" s="245">
        <f>Costs!G26</f>
        <v>0</v>
      </c>
      <c r="C66" s="266">
        <f>Costs!H26</f>
        <v>8000</v>
      </c>
      <c r="D66" s="245">
        <f t="shared" si="5"/>
        <v>8000</v>
      </c>
      <c r="E66" s="266">
        <f>D66*NPV!C24</f>
        <v>1805.7053214350158</v>
      </c>
    </row>
    <row r="67" spans="1:5" x14ac:dyDescent="0.2">
      <c r="A67" s="174">
        <f t="shared" si="6"/>
        <v>2040</v>
      </c>
      <c r="B67" s="245">
        <f>Costs!G27</f>
        <v>0</v>
      </c>
      <c r="C67" s="266">
        <f>Costs!H27</f>
        <v>8000</v>
      </c>
      <c r="D67" s="245">
        <f t="shared" si="5"/>
        <v>8000</v>
      </c>
      <c r="E67" s="266">
        <f>D67*NPV!C25</f>
        <v>1687.5750667616969</v>
      </c>
    </row>
    <row r="68" spans="1:5" ht="13.5" thickBot="1" x14ac:dyDescent="0.25">
      <c r="A68" s="223">
        <f t="shared" si="6"/>
        <v>2041</v>
      </c>
      <c r="B68" s="246">
        <f>Costs!G28</f>
        <v>-20680000</v>
      </c>
      <c r="C68" s="267">
        <f>Costs!H28</f>
        <v>8000</v>
      </c>
      <c r="D68" s="245">
        <f t="shared" si="5"/>
        <v>-20672000</v>
      </c>
      <c r="E68" s="267">
        <f>D68*NPV!C26</f>
        <v>-4075414.9275815184</v>
      </c>
    </row>
    <row r="69" spans="1:5" ht="17.25" thickTop="1" x14ac:dyDescent="0.3">
      <c r="A69" s="17"/>
      <c r="B69" s="18"/>
      <c r="C69" s="23" t="s">
        <v>39</v>
      </c>
      <c r="D69" s="244">
        <f>SUM(D44:D68)</f>
        <v>7660000</v>
      </c>
      <c r="E69" s="244">
        <f>SUM(E44:E68)</f>
        <v>17942379.892269772</v>
      </c>
    </row>
    <row r="70" spans="1:5" x14ac:dyDescent="0.2">
      <c r="A70" s="12"/>
    </row>
    <row r="72" spans="1:5" ht="14.45" customHeight="1" x14ac:dyDescent="0.2">
      <c r="A72" s="293" t="s">
        <v>149</v>
      </c>
      <c r="B72" s="293"/>
      <c r="C72" s="293"/>
      <c r="D72" s="293"/>
      <c r="E72" s="293"/>
    </row>
    <row r="73" spans="1:5" x14ac:dyDescent="0.2">
      <c r="A73" s="132" t="s">
        <v>128</v>
      </c>
      <c r="B73" s="132" t="s">
        <v>134</v>
      </c>
      <c r="C73" s="132" t="s">
        <v>110</v>
      </c>
      <c r="D73" s="132" t="s">
        <v>135</v>
      </c>
      <c r="E73" s="132" t="s">
        <v>192</v>
      </c>
    </row>
    <row r="74" spans="1:5" x14ac:dyDescent="0.2">
      <c r="A74" s="174">
        <v>2017</v>
      </c>
      <c r="B74" s="245">
        <f>E44</f>
        <v>0</v>
      </c>
      <c r="C74" s="266">
        <f>G14</f>
        <v>0</v>
      </c>
      <c r="D74" s="245">
        <f t="shared" ref="D74:D97" si="7">C74-B74</f>
        <v>0</v>
      </c>
      <c r="E74" s="266">
        <f>D74</f>
        <v>0</v>
      </c>
    </row>
    <row r="75" spans="1:5" x14ac:dyDescent="0.2">
      <c r="A75" s="174">
        <v>2018</v>
      </c>
      <c r="B75" s="245">
        <f t="shared" ref="B75:B97" si="8">E45</f>
        <v>0</v>
      </c>
      <c r="C75" s="266">
        <f t="shared" ref="C75:C97" si="9">G15</f>
        <v>0</v>
      </c>
      <c r="D75" s="245">
        <f t="shared" si="7"/>
        <v>0</v>
      </c>
      <c r="E75" s="266">
        <f>D75+E74</f>
        <v>0</v>
      </c>
    </row>
    <row r="76" spans="1:5" x14ac:dyDescent="0.2">
      <c r="A76" s="174">
        <f t="shared" ref="A76:A98" si="10">A46</f>
        <v>2019</v>
      </c>
      <c r="B76" s="245">
        <f t="shared" si="8"/>
        <v>0</v>
      </c>
      <c r="C76" s="266">
        <f t="shared" si="9"/>
        <v>0</v>
      </c>
      <c r="D76" s="245">
        <f t="shared" si="7"/>
        <v>0</v>
      </c>
      <c r="E76" s="266">
        <f t="shared" ref="E76:E98" si="11">D76+E75</f>
        <v>0</v>
      </c>
    </row>
    <row r="77" spans="1:5" x14ac:dyDescent="0.2">
      <c r="A77" s="174">
        <f t="shared" si="10"/>
        <v>2020</v>
      </c>
      <c r="B77" s="245">
        <f t="shared" si="8"/>
        <v>6905880.038496607</v>
      </c>
      <c r="C77" s="266">
        <f t="shared" si="9"/>
        <v>0</v>
      </c>
      <c r="D77" s="245">
        <f t="shared" si="7"/>
        <v>-6905880.038496607</v>
      </c>
      <c r="E77" s="266">
        <f t="shared" si="11"/>
        <v>-6905880.038496607</v>
      </c>
    </row>
    <row r="78" spans="1:5" x14ac:dyDescent="0.2">
      <c r="A78" s="174">
        <f t="shared" si="10"/>
        <v>2021</v>
      </c>
      <c r="B78" s="245">
        <f t="shared" si="8"/>
        <v>15059551.485818148</v>
      </c>
      <c r="C78" s="266">
        <f t="shared" si="9"/>
        <v>0</v>
      </c>
      <c r="D78" s="245">
        <f t="shared" si="7"/>
        <v>-15059551.485818148</v>
      </c>
      <c r="E78" s="266">
        <f t="shared" si="11"/>
        <v>-21965431.524314754</v>
      </c>
    </row>
    <row r="79" spans="1:5" x14ac:dyDescent="0.2">
      <c r="A79" s="174">
        <f t="shared" si="10"/>
        <v>2022</v>
      </c>
      <c r="B79" s="245">
        <f t="shared" si="8"/>
        <v>4277.9170769020102</v>
      </c>
      <c r="C79" s="266">
        <f t="shared" si="9"/>
        <v>684421.89321906923</v>
      </c>
      <c r="D79" s="245">
        <f t="shared" si="7"/>
        <v>680143.97614216723</v>
      </c>
      <c r="E79" s="266">
        <f t="shared" si="11"/>
        <v>-21285287.548172586</v>
      </c>
    </row>
    <row r="80" spans="1:5" x14ac:dyDescent="0.2">
      <c r="A80" s="174">
        <f t="shared" si="10"/>
        <v>2023</v>
      </c>
      <c r="B80" s="245">
        <f t="shared" si="8"/>
        <v>3998.0533428990752</v>
      </c>
      <c r="C80" s="266">
        <f t="shared" si="9"/>
        <v>638545.81214512105</v>
      </c>
      <c r="D80" s="245">
        <f t="shared" si="7"/>
        <v>634547.75880222197</v>
      </c>
      <c r="E80" s="266">
        <f t="shared" si="11"/>
        <v>-20650739.789370365</v>
      </c>
    </row>
    <row r="81" spans="1:5" x14ac:dyDescent="0.2">
      <c r="A81" s="174">
        <f t="shared" si="10"/>
        <v>2024</v>
      </c>
      <c r="B81" s="245">
        <f t="shared" si="8"/>
        <v>3736.4984513075465</v>
      </c>
      <c r="C81" s="266">
        <f t="shared" si="9"/>
        <v>598795.06390883552</v>
      </c>
      <c r="D81" s="245">
        <f t="shared" si="7"/>
        <v>595058.56545752799</v>
      </c>
      <c r="E81" s="266">
        <f t="shared" si="11"/>
        <v>-20055681.223912839</v>
      </c>
    </row>
    <row r="82" spans="1:5" x14ac:dyDescent="0.2">
      <c r="A82" s="174">
        <f t="shared" si="10"/>
        <v>2025</v>
      </c>
      <c r="B82" s="245">
        <f t="shared" si="8"/>
        <v>3492.0546273902305</v>
      </c>
      <c r="C82" s="266">
        <f t="shared" si="9"/>
        <v>559676.67388686782</v>
      </c>
      <c r="D82" s="245">
        <f t="shared" si="7"/>
        <v>556184.61925947759</v>
      </c>
      <c r="E82" s="266">
        <f t="shared" si="11"/>
        <v>-19499496.604653362</v>
      </c>
    </row>
    <row r="83" spans="1:5" x14ac:dyDescent="0.2">
      <c r="A83" s="174">
        <f t="shared" si="10"/>
        <v>2026</v>
      </c>
      <c r="B83" s="245">
        <f t="shared" si="8"/>
        <v>3263.6024555048884</v>
      </c>
      <c r="C83" s="266">
        <f t="shared" si="9"/>
        <v>631738.70005844417</v>
      </c>
      <c r="D83" s="245">
        <f t="shared" si="7"/>
        <v>628475.09760293923</v>
      </c>
      <c r="E83" s="266">
        <f t="shared" si="11"/>
        <v>-18871021.507050425</v>
      </c>
    </row>
    <row r="84" spans="1:5" x14ac:dyDescent="0.2">
      <c r="A84" s="174">
        <f t="shared" si="10"/>
        <v>2027</v>
      </c>
      <c r="B84" s="245">
        <f t="shared" si="8"/>
        <v>3050.0957528083068</v>
      </c>
      <c r="C84" s="266">
        <f t="shared" si="9"/>
        <v>492329.74861573247</v>
      </c>
      <c r="D84" s="245">
        <f t="shared" si="7"/>
        <v>489279.65286292415</v>
      </c>
      <c r="E84" s="266">
        <f t="shared" si="11"/>
        <v>-18381741.8541875</v>
      </c>
    </row>
    <row r="85" spans="1:5" x14ac:dyDescent="0.2">
      <c r="A85" s="174">
        <f t="shared" si="10"/>
        <v>2028</v>
      </c>
      <c r="B85" s="245">
        <f t="shared" si="8"/>
        <v>2850.5567783255201</v>
      </c>
      <c r="C85" s="266">
        <f t="shared" si="9"/>
        <v>526786.36805285525</v>
      </c>
      <c r="D85" s="245">
        <f t="shared" si="7"/>
        <v>523935.81127452973</v>
      </c>
      <c r="E85" s="266">
        <f t="shared" si="11"/>
        <v>-17857806.042912971</v>
      </c>
    </row>
    <row r="86" spans="1:5" x14ac:dyDescent="0.2">
      <c r="A86" s="174">
        <f t="shared" si="10"/>
        <v>2029</v>
      </c>
      <c r="B86" s="245">
        <f t="shared" si="8"/>
        <v>2664.0717554444118</v>
      </c>
      <c r="C86" s="266">
        <f t="shared" si="9"/>
        <v>493930.51501735393</v>
      </c>
      <c r="D86" s="245">
        <f t="shared" si="7"/>
        <v>491266.44326190953</v>
      </c>
      <c r="E86" s="266">
        <f t="shared" si="11"/>
        <v>-17366539.599651061</v>
      </c>
    </row>
    <row r="87" spans="1:5" x14ac:dyDescent="0.2">
      <c r="A87" s="174">
        <f t="shared" si="10"/>
        <v>2030</v>
      </c>
      <c r="B87" s="245">
        <f t="shared" si="8"/>
        <v>2489.7866873312255</v>
      </c>
      <c r="C87" s="266">
        <f t="shared" si="9"/>
        <v>545969.58524087898</v>
      </c>
      <c r="D87" s="245">
        <f t="shared" si="7"/>
        <v>543479.79855354771</v>
      </c>
      <c r="E87" s="266">
        <f t="shared" si="11"/>
        <v>-16823059.801097512</v>
      </c>
    </row>
    <row r="88" spans="1:5" x14ac:dyDescent="0.2">
      <c r="A88" s="174">
        <f t="shared" si="10"/>
        <v>2031</v>
      </c>
      <c r="B88" s="245">
        <f t="shared" si="8"/>
        <v>2326.9034461039496</v>
      </c>
      <c r="C88" s="266">
        <f t="shared" si="9"/>
        <v>411852.13182844222</v>
      </c>
      <c r="D88" s="245">
        <f t="shared" si="7"/>
        <v>409525.22838233825</v>
      </c>
      <c r="E88" s="266">
        <f t="shared" si="11"/>
        <v>-16413534.572715174</v>
      </c>
    </row>
    <row r="89" spans="1:5" x14ac:dyDescent="0.2">
      <c r="A89" s="174">
        <f t="shared" si="10"/>
        <v>2032</v>
      </c>
      <c r="B89" s="245">
        <f t="shared" si="8"/>
        <v>2899.5681571388773</v>
      </c>
      <c r="C89" s="266">
        <f t="shared" si="9"/>
        <v>406882.16756904608</v>
      </c>
      <c r="D89" s="245">
        <f t="shared" si="7"/>
        <v>403982.5994119072</v>
      </c>
      <c r="E89" s="266">
        <f t="shared" si="11"/>
        <v>-16009551.973303268</v>
      </c>
    </row>
    <row r="90" spans="1:5" x14ac:dyDescent="0.2">
      <c r="A90" s="174">
        <f t="shared" si="10"/>
        <v>2033</v>
      </c>
      <c r="B90" s="245">
        <f t="shared" si="8"/>
        <v>2709.8767823727831</v>
      </c>
      <c r="C90" s="266">
        <f t="shared" si="9"/>
        <v>426473.02651369286</v>
      </c>
      <c r="D90" s="245">
        <f t="shared" si="7"/>
        <v>423763.1497313201</v>
      </c>
      <c r="E90" s="266">
        <f t="shared" si="11"/>
        <v>-15585788.823571948</v>
      </c>
    </row>
    <row r="91" spans="1:5" x14ac:dyDescent="0.2">
      <c r="A91" s="174">
        <f t="shared" si="10"/>
        <v>2034</v>
      </c>
      <c r="B91" s="245">
        <f t="shared" si="8"/>
        <v>2532.5951237128816</v>
      </c>
      <c r="C91" s="266">
        <f t="shared" si="9"/>
        <v>421431.86118253676</v>
      </c>
      <c r="D91" s="245">
        <f t="shared" si="7"/>
        <v>418899.26605882385</v>
      </c>
      <c r="E91" s="266">
        <f t="shared" si="11"/>
        <v>-15166889.557513125</v>
      </c>
    </row>
    <row r="92" spans="1:5" x14ac:dyDescent="0.2">
      <c r="A92" s="174">
        <f t="shared" si="10"/>
        <v>2035</v>
      </c>
      <c r="B92" s="245">
        <f t="shared" si="8"/>
        <v>2366.911330572786</v>
      </c>
      <c r="C92" s="266">
        <f t="shared" si="9"/>
        <v>395072.93998268206</v>
      </c>
      <c r="D92" s="245">
        <f t="shared" si="7"/>
        <v>392706.02865210926</v>
      </c>
      <c r="E92" s="266">
        <f t="shared" si="11"/>
        <v>-14774183.528861016</v>
      </c>
    </row>
    <row r="93" spans="1:5" x14ac:dyDescent="0.2">
      <c r="A93" s="174">
        <f t="shared" si="10"/>
        <v>2036</v>
      </c>
      <c r="B93" s="245">
        <f t="shared" si="8"/>
        <v>2212.0666640867157</v>
      </c>
      <c r="C93" s="266">
        <f t="shared" si="9"/>
        <v>370383.19538432121</v>
      </c>
      <c r="D93" s="245">
        <f t="shared" si="7"/>
        <v>368171.1287202345</v>
      </c>
      <c r="E93" s="266">
        <f t="shared" si="11"/>
        <v>-14406012.400140781</v>
      </c>
    </row>
    <row r="94" spans="1:5" x14ac:dyDescent="0.2">
      <c r="A94" s="174">
        <f t="shared" si="10"/>
        <v>2037</v>
      </c>
      <c r="B94" s="245">
        <f t="shared" si="8"/>
        <v>2067.3520225109496</v>
      </c>
      <c r="C94" s="266">
        <f t="shared" si="9"/>
        <v>298439.37768423138</v>
      </c>
      <c r="D94" s="245">
        <f t="shared" si="7"/>
        <v>296372.02566172043</v>
      </c>
      <c r="E94" s="266">
        <f t="shared" si="11"/>
        <v>-14109640.374479061</v>
      </c>
    </row>
    <row r="95" spans="1:5" x14ac:dyDescent="0.2">
      <c r="A95" s="174">
        <f t="shared" si="10"/>
        <v>2038</v>
      </c>
      <c r="B95" s="245">
        <f t="shared" si="8"/>
        <v>1932.1046939354669</v>
      </c>
      <c r="C95" s="266">
        <f t="shared" si="9"/>
        <v>294360.24643268524</v>
      </c>
      <c r="D95" s="245">
        <f t="shared" si="7"/>
        <v>292428.14173874975</v>
      </c>
      <c r="E95" s="266">
        <f t="shared" si="11"/>
        <v>-13817212.232740311</v>
      </c>
    </row>
    <row r="96" spans="1:5" x14ac:dyDescent="0.2">
      <c r="A96" s="174">
        <f t="shared" si="10"/>
        <v>2039</v>
      </c>
      <c r="B96" s="245">
        <f t="shared" si="8"/>
        <v>1805.7053214350158</v>
      </c>
      <c r="C96" s="266">
        <f t="shared" si="9"/>
        <v>306984.55140574026</v>
      </c>
      <c r="D96" s="245">
        <f t="shared" si="7"/>
        <v>305178.84608430526</v>
      </c>
      <c r="E96" s="266">
        <f t="shared" si="11"/>
        <v>-13512033.386656005</v>
      </c>
    </row>
    <row r="97" spans="1:5" x14ac:dyDescent="0.2">
      <c r="A97" s="174">
        <f t="shared" si="10"/>
        <v>2040</v>
      </c>
      <c r="B97" s="245">
        <f t="shared" si="8"/>
        <v>1687.5750667616969</v>
      </c>
      <c r="C97" s="266">
        <f t="shared" si="9"/>
        <v>5476000.243611142</v>
      </c>
      <c r="D97" s="245">
        <f t="shared" si="7"/>
        <v>5474312.66854438</v>
      </c>
      <c r="E97" s="266">
        <f t="shared" si="11"/>
        <v>-8037720.7181116249</v>
      </c>
    </row>
    <row r="98" spans="1:5" ht="13.5" thickBot="1" x14ac:dyDescent="0.25">
      <c r="A98" s="224">
        <f t="shared" si="10"/>
        <v>2041</v>
      </c>
      <c r="B98" s="246">
        <f>E68</f>
        <v>-4075414.9275815184</v>
      </c>
      <c r="C98" s="267">
        <f>G38</f>
        <v>5233675.958906915</v>
      </c>
      <c r="D98" s="246">
        <f t="shared" ref="D98" si="12">C98-B98</f>
        <v>9309090.8864884339</v>
      </c>
      <c r="E98" s="267">
        <f t="shared" si="11"/>
        <v>1271370.168376809</v>
      </c>
    </row>
    <row r="99" spans="1:5" ht="17.25" thickTop="1" x14ac:dyDescent="0.3">
      <c r="A99" s="286" t="s">
        <v>0</v>
      </c>
      <c r="B99" s="244">
        <f>SUM(B74:B98)</f>
        <v>17942379.892269772</v>
      </c>
      <c r="C99" s="287">
        <f t="shared" ref="C99:D99" si="13">SUM(C74:C98)</f>
        <v>19213750.060646594</v>
      </c>
      <c r="D99" s="244">
        <f t="shared" si="13"/>
        <v>1271370.168376809</v>
      </c>
      <c r="E99" s="287"/>
    </row>
  </sheetData>
  <mergeCells count="11">
    <mergeCell ref="B4:D4"/>
    <mergeCell ref="A72:E72"/>
    <mergeCell ref="F12:F13"/>
    <mergeCell ref="G12:G13"/>
    <mergeCell ref="B12:C12"/>
    <mergeCell ref="B5:C5"/>
    <mergeCell ref="B6:C6"/>
    <mergeCell ref="B7:C7"/>
    <mergeCell ref="B8:C8"/>
    <mergeCell ref="A42:E42"/>
    <mergeCell ref="A11:G11"/>
  </mergeCells>
  <pageMargins left="0.25" right="0.25" top="0.75" bottom="0.75" header="0.3" footer="0.3"/>
  <pageSetup scale="76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C27"/>
  <sheetViews>
    <sheetView zoomScaleNormal="100" workbookViewId="0">
      <selection activeCell="C3" sqref="C3"/>
    </sheetView>
  </sheetViews>
  <sheetFormatPr defaultRowHeight="12.75" x14ac:dyDescent="0.2"/>
  <cols>
    <col min="5" max="5" width="9.5703125" bestFit="1" customWidth="1"/>
  </cols>
  <sheetData>
    <row r="2" spans="1:3" ht="13.5" thickBot="1" x14ac:dyDescent="0.25">
      <c r="A2" s="301" t="s">
        <v>6</v>
      </c>
      <c r="B2" s="302"/>
      <c r="C2" s="303"/>
    </row>
    <row r="3" spans="1:3" ht="13.5" thickTop="1" x14ac:dyDescent="0.2">
      <c r="A3" s="174">
        <v>1</v>
      </c>
      <c r="B3" s="174">
        <v>2018</v>
      </c>
      <c r="C3" s="137">
        <f t="shared" ref="C3:C26" si="0">1/(1+$C$27)^A3</f>
        <v>0.93457943925233644</v>
      </c>
    </row>
    <row r="4" spans="1:3" x14ac:dyDescent="0.2">
      <c r="A4" s="174">
        <v>2</v>
      </c>
      <c r="B4" s="174">
        <f>B3+1</f>
        <v>2019</v>
      </c>
      <c r="C4" s="138">
        <f t="shared" si="0"/>
        <v>0.87343872827321156</v>
      </c>
    </row>
    <row r="5" spans="1:3" x14ac:dyDescent="0.2">
      <c r="A5" s="174">
        <v>3</v>
      </c>
      <c r="B5" s="174">
        <f t="shared" ref="B5:B26" si="1">B4+1</f>
        <v>2020</v>
      </c>
      <c r="C5" s="138">
        <f t="shared" si="0"/>
        <v>0.81629787689085187</v>
      </c>
    </row>
    <row r="6" spans="1:3" x14ac:dyDescent="0.2">
      <c r="A6" s="174">
        <v>4</v>
      </c>
      <c r="B6" s="174">
        <f t="shared" si="1"/>
        <v>2021</v>
      </c>
      <c r="C6" s="138">
        <f t="shared" si="0"/>
        <v>0.7628952120475252</v>
      </c>
    </row>
    <row r="7" spans="1:3" x14ac:dyDescent="0.2">
      <c r="A7" s="174">
        <v>5</v>
      </c>
      <c r="B7" s="174">
        <f t="shared" si="1"/>
        <v>2022</v>
      </c>
      <c r="C7" s="138">
        <f t="shared" si="0"/>
        <v>0.71298617948366838</v>
      </c>
    </row>
    <row r="8" spans="1:3" x14ac:dyDescent="0.2">
      <c r="A8" s="174">
        <v>6</v>
      </c>
      <c r="B8" s="174">
        <f t="shared" si="1"/>
        <v>2023</v>
      </c>
      <c r="C8" s="138">
        <f t="shared" si="0"/>
        <v>0.66634222381651254</v>
      </c>
    </row>
    <row r="9" spans="1:3" x14ac:dyDescent="0.2">
      <c r="A9" s="174">
        <v>7</v>
      </c>
      <c r="B9" s="174">
        <f t="shared" si="1"/>
        <v>2024</v>
      </c>
      <c r="C9" s="138">
        <f t="shared" si="0"/>
        <v>0.62274974188459109</v>
      </c>
    </row>
    <row r="10" spans="1:3" x14ac:dyDescent="0.2">
      <c r="A10" s="174">
        <v>8</v>
      </c>
      <c r="B10" s="174">
        <f t="shared" si="1"/>
        <v>2025</v>
      </c>
      <c r="C10" s="138">
        <f t="shared" si="0"/>
        <v>0.5820091045650384</v>
      </c>
    </row>
    <row r="11" spans="1:3" x14ac:dyDescent="0.2">
      <c r="A11" s="174">
        <v>9</v>
      </c>
      <c r="B11" s="174">
        <f t="shared" si="1"/>
        <v>2026</v>
      </c>
      <c r="C11" s="138">
        <f t="shared" si="0"/>
        <v>0.54393374258414806</v>
      </c>
    </row>
    <row r="12" spans="1:3" x14ac:dyDescent="0.2">
      <c r="A12" s="174">
        <v>10</v>
      </c>
      <c r="B12" s="174">
        <f t="shared" si="1"/>
        <v>2027</v>
      </c>
      <c r="C12" s="138">
        <f t="shared" si="0"/>
        <v>0.5083492921347178</v>
      </c>
    </row>
    <row r="13" spans="1:3" x14ac:dyDescent="0.2">
      <c r="A13" s="174">
        <v>11</v>
      </c>
      <c r="B13" s="174">
        <f t="shared" si="1"/>
        <v>2028</v>
      </c>
      <c r="C13" s="138">
        <f t="shared" si="0"/>
        <v>0.47509279638758667</v>
      </c>
    </row>
    <row r="14" spans="1:3" x14ac:dyDescent="0.2">
      <c r="A14" s="174">
        <v>12</v>
      </c>
      <c r="B14" s="174">
        <f t="shared" si="1"/>
        <v>2029</v>
      </c>
      <c r="C14" s="138">
        <f t="shared" si="0"/>
        <v>0.44401195924073528</v>
      </c>
    </row>
    <row r="15" spans="1:3" x14ac:dyDescent="0.2">
      <c r="A15" s="174">
        <v>13</v>
      </c>
      <c r="B15" s="174">
        <f t="shared" si="1"/>
        <v>2030</v>
      </c>
      <c r="C15" s="138">
        <f t="shared" si="0"/>
        <v>0.41496444788853759</v>
      </c>
    </row>
    <row r="16" spans="1:3" x14ac:dyDescent="0.2">
      <c r="A16" s="174">
        <v>14</v>
      </c>
      <c r="B16" s="174">
        <f t="shared" si="1"/>
        <v>2031</v>
      </c>
      <c r="C16" s="138">
        <f t="shared" si="0"/>
        <v>0.3878172410173249</v>
      </c>
    </row>
    <row r="17" spans="1:3" x14ac:dyDescent="0.2">
      <c r="A17" s="174">
        <v>15</v>
      </c>
      <c r="B17" s="174">
        <f t="shared" si="1"/>
        <v>2032</v>
      </c>
      <c r="C17" s="138">
        <f t="shared" si="0"/>
        <v>0.36244601964235967</v>
      </c>
    </row>
    <row r="18" spans="1:3" x14ac:dyDescent="0.2">
      <c r="A18" s="174">
        <v>16</v>
      </c>
      <c r="B18" s="174">
        <f t="shared" si="1"/>
        <v>2033</v>
      </c>
      <c r="C18" s="138">
        <f t="shared" si="0"/>
        <v>0.33873459779659787</v>
      </c>
    </row>
    <row r="19" spans="1:3" x14ac:dyDescent="0.2">
      <c r="A19" s="174">
        <v>17</v>
      </c>
      <c r="B19" s="174">
        <f t="shared" si="1"/>
        <v>2034</v>
      </c>
      <c r="C19" s="138">
        <f t="shared" si="0"/>
        <v>0.31657439046411018</v>
      </c>
    </row>
    <row r="20" spans="1:3" x14ac:dyDescent="0.2">
      <c r="A20" s="174">
        <v>18</v>
      </c>
      <c r="B20" s="174">
        <f t="shared" si="1"/>
        <v>2035</v>
      </c>
      <c r="C20" s="138">
        <f t="shared" si="0"/>
        <v>0.29586391632159825</v>
      </c>
    </row>
    <row r="21" spans="1:3" x14ac:dyDescent="0.2">
      <c r="A21" s="174">
        <v>19</v>
      </c>
      <c r="B21" s="174">
        <f t="shared" si="1"/>
        <v>2036</v>
      </c>
      <c r="C21" s="138">
        <f t="shared" si="0"/>
        <v>0.27650833301083949</v>
      </c>
    </row>
    <row r="22" spans="1:3" x14ac:dyDescent="0.2">
      <c r="A22" s="174">
        <v>20</v>
      </c>
      <c r="B22" s="174">
        <f t="shared" si="1"/>
        <v>2037</v>
      </c>
      <c r="C22" s="138">
        <f t="shared" si="0"/>
        <v>0.2584190028138687</v>
      </c>
    </row>
    <row r="23" spans="1:3" x14ac:dyDescent="0.2">
      <c r="A23" s="174">
        <v>21</v>
      </c>
      <c r="B23" s="174">
        <f t="shared" si="1"/>
        <v>2038</v>
      </c>
      <c r="C23" s="138">
        <f t="shared" si="0"/>
        <v>0.24151308674193336</v>
      </c>
    </row>
    <row r="24" spans="1:3" x14ac:dyDescent="0.2">
      <c r="A24" s="174">
        <v>22</v>
      </c>
      <c r="B24" s="174">
        <f t="shared" si="1"/>
        <v>2039</v>
      </c>
      <c r="C24" s="138">
        <f t="shared" si="0"/>
        <v>0.22571316517937698</v>
      </c>
    </row>
    <row r="25" spans="1:3" x14ac:dyDescent="0.2">
      <c r="A25" s="174">
        <v>23</v>
      </c>
      <c r="B25" s="174">
        <f t="shared" si="1"/>
        <v>2040</v>
      </c>
      <c r="C25" s="138">
        <f t="shared" si="0"/>
        <v>0.21094688334521211</v>
      </c>
    </row>
    <row r="26" spans="1:3" x14ac:dyDescent="0.2">
      <c r="A26" s="251">
        <v>24</v>
      </c>
      <c r="B26" s="251">
        <f t="shared" si="1"/>
        <v>2041</v>
      </c>
      <c r="C26" s="138">
        <f t="shared" si="0"/>
        <v>0.19714661994879637</v>
      </c>
    </row>
    <row r="27" spans="1:3" ht="13.15" customHeight="1" x14ac:dyDescent="0.2">
      <c r="A27" s="304" t="s">
        <v>7</v>
      </c>
      <c r="B27" s="305"/>
      <c r="C27" s="139">
        <f>0.07</f>
        <v>7.0000000000000007E-2</v>
      </c>
    </row>
  </sheetData>
  <mergeCells count="2">
    <mergeCell ref="A2:C2"/>
    <mergeCell ref="A27:B27"/>
  </mergeCells>
  <pageMargins left="0.25" right="0.25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2:L29"/>
  <sheetViews>
    <sheetView zoomScale="90" zoomScaleNormal="90" workbookViewId="0">
      <selection activeCell="B7" sqref="B7"/>
    </sheetView>
  </sheetViews>
  <sheetFormatPr defaultRowHeight="12.75" x14ac:dyDescent="0.2"/>
  <cols>
    <col min="1" max="1" width="16.28515625" customWidth="1"/>
    <col min="2" max="2" width="5.7109375" customWidth="1"/>
    <col min="3" max="3" width="11.28515625" customWidth="1"/>
    <col min="4" max="4" width="1.28515625" customWidth="1"/>
    <col min="5" max="5" width="7.5703125" customWidth="1"/>
    <col min="6" max="6" width="12.7109375" customWidth="1"/>
    <col min="7" max="7" width="11.7109375" customWidth="1"/>
    <col min="8" max="8" width="9.28515625" customWidth="1"/>
    <col min="9" max="9" width="10.5703125" customWidth="1"/>
  </cols>
  <sheetData>
    <row r="2" spans="1:12" x14ac:dyDescent="0.2">
      <c r="A2" s="306" t="s">
        <v>160</v>
      </c>
      <c r="B2" s="306"/>
      <c r="C2" s="140">
        <v>28200000</v>
      </c>
      <c r="E2" s="307" t="s">
        <v>173</v>
      </c>
      <c r="F2" s="308"/>
      <c r="G2" s="308"/>
      <c r="H2" s="308"/>
      <c r="I2" s="309"/>
    </row>
    <row r="3" spans="1:12" ht="26.25" thickBot="1" x14ac:dyDescent="0.25">
      <c r="A3" s="306" t="s">
        <v>177</v>
      </c>
      <c r="B3" s="306"/>
      <c r="C3" s="140">
        <f>((C4-20)/C4)*C2</f>
        <v>20680000</v>
      </c>
      <c r="E3" s="142" t="s">
        <v>1</v>
      </c>
      <c r="F3" s="143" t="s">
        <v>98</v>
      </c>
      <c r="G3" s="143" t="s">
        <v>97</v>
      </c>
      <c r="H3" s="143" t="s">
        <v>140</v>
      </c>
      <c r="I3" s="143" t="s">
        <v>163</v>
      </c>
      <c r="L3" s="102"/>
    </row>
    <row r="4" spans="1:12" ht="13.5" thickTop="1" x14ac:dyDescent="0.2">
      <c r="A4" s="306" t="s">
        <v>151</v>
      </c>
      <c r="B4" s="306"/>
      <c r="C4" s="141">
        <v>75</v>
      </c>
      <c r="E4" s="174">
        <v>2017</v>
      </c>
      <c r="F4" s="147"/>
      <c r="G4" s="144">
        <f>F4*$C$2</f>
        <v>0</v>
      </c>
      <c r="H4" s="148">
        <v>0</v>
      </c>
      <c r="I4" s="145">
        <f>ROUND((G4+H4)*NPV!C2,0)</f>
        <v>0</v>
      </c>
    </row>
    <row r="5" spans="1:12" x14ac:dyDescent="0.2">
      <c r="E5" s="174">
        <v>2018</v>
      </c>
      <c r="F5" s="147"/>
      <c r="G5" s="144">
        <f t="shared" ref="G5:G27" si="0">F5*$C$2</f>
        <v>0</v>
      </c>
      <c r="H5" s="148">
        <v>0</v>
      </c>
      <c r="I5" s="145">
        <f>ROUND((G5+H5)*NPV!C3,0)</f>
        <v>0</v>
      </c>
    </row>
    <row r="6" spans="1:12" x14ac:dyDescent="0.2">
      <c r="A6" s="15"/>
      <c r="E6" s="174">
        <v>2019</v>
      </c>
      <c r="F6" s="147"/>
      <c r="G6" s="144">
        <f t="shared" si="0"/>
        <v>0</v>
      </c>
      <c r="H6" s="148">
        <v>0</v>
      </c>
      <c r="I6" s="145">
        <f>ROUND((G6+H6)*NPV!C4,0)</f>
        <v>0</v>
      </c>
    </row>
    <row r="7" spans="1:12" x14ac:dyDescent="0.2">
      <c r="A7" s="15"/>
      <c r="E7" s="175">
        <f>E6+1</f>
        <v>2020</v>
      </c>
      <c r="F7" s="147">
        <v>0.3</v>
      </c>
      <c r="G7" s="144">
        <f>F7*$C$2</f>
        <v>8460000</v>
      </c>
      <c r="H7" s="148">
        <v>0</v>
      </c>
      <c r="I7" s="145">
        <f>ROUND((G7+H7)*NPV!C5,0)</f>
        <v>6905880</v>
      </c>
    </row>
    <row r="8" spans="1:12" x14ac:dyDescent="0.2">
      <c r="A8" s="15"/>
      <c r="E8" s="175">
        <f t="shared" ref="E8:E28" si="1">E7+1</f>
        <v>2021</v>
      </c>
      <c r="F8" s="147">
        <v>0.7</v>
      </c>
      <c r="G8" s="144">
        <f>F8*$C$2</f>
        <v>19740000</v>
      </c>
      <c r="H8" s="148">
        <v>0</v>
      </c>
      <c r="I8" s="145">
        <f>ROUND((G8+H8)*NPV!C6,0)</f>
        <v>15059551</v>
      </c>
    </row>
    <row r="9" spans="1:12" x14ac:dyDescent="0.2">
      <c r="A9" s="15"/>
      <c r="E9" s="175">
        <f t="shared" si="1"/>
        <v>2022</v>
      </c>
      <c r="F9" s="147"/>
      <c r="G9" s="144">
        <f t="shared" si="0"/>
        <v>0</v>
      </c>
      <c r="H9" s="148">
        <v>6000</v>
      </c>
      <c r="I9" s="145">
        <f>ROUND((G9+H9)*NPV!C7,0)</f>
        <v>4278</v>
      </c>
    </row>
    <row r="10" spans="1:12" x14ac:dyDescent="0.2">
      <c r="A10" s="15"/>
      <c r="E10" s="175">
        <f t="shared" si="1"/>
        <v>2023</v>
      </c>
      <c r="F10" s="149"/>
      <c r="G10" s="144">
        <f t="shared" si="0"/>
        <v>0</v>
      </c>
      <c r="H10" s="148">
        <v>6000</v>
      </c>
      <c r="I10" s="145">
        <f>ROUND((G10+H10)*NPV!C8,0)</f>
        <v>3998</v>
      </c>
    </row>
    <row r="11" spans="1:12" x14ac:dyDescent="0.2">
      <c r="E11" s="175">
        <f t="shared" si="1"/>
        <v>2024</v>
      </c>
      <c r="F11" s="149"/>
      <c r="G11" s="144">
        <f t="shared" si="0"/>
        <v>0</v>
      </c>
      <c r="H11" s="148">
        <v>6000</v>
      </c>
      <c r="I11" s="145">
        <f>ROUND((G11+H11)*NPV!C9,0)</f>
        <v>3736</v>
      </c>
    </row>
    <row r="12" spans="1:12" x14ac:dyDescent="0.2">
      <c r="E12" s="175">
        <f t="shared" si="1"/>
        <v>2025</v>
      </c>
      <c r="F12" s="149"/>
      <c r="G12" s="144">
        <f t="shared" si="0"/>
        <v>0</v>
      </c>
      <c r="H12" s="148">
        <v>6000</v>
      </c>
      <c r="I12" s="145">
        <f>ROUND((G12+H12)*NPV!C10,0)</f>
        <v>3492</v>
      </c>
    </row>
    <row r="13" spans="1:12" x14ac:dyDescent="0.2">
      <c r="E13" s="175">
        <f t="shared" si="1"/>
        <v>2026</v>
      </c>
      <c r="F13" s="149"/>
      <c r="G13" s="144">
        <f t="shared" si="0"/>
        <v>0</v>
      </c>
      <c r="H13" s="148">
        <v>6000</v>
      </c>
      <c r="I13" s="145">
        <f>ROUND((G13+H13)*NPV!C11,0)</f>
        <v>3264</v>
      </c>
    </row>
    <row r="14" spans="1:12" x14ac:dyDescent="0.2">
      <c r="E14" s="175">
        <f t="shared" si="1"/>
        <v>2027</v>
      </c>
      <c r="F14" s="149"/>
      <c r="G14" s="144">
        <f t="shared" si="0"/>
        <v>0</v>
      </c>
      <c r="H14" s="148">
        <v>6000</v>
      </c>
      <c r="I14" s="145">
        <f>ROUND((G14+H14)*NPV!C12,0)</f>
        <v>3050</v>
      </c>
    </row>
    <row r="15" spans="1:12" x14ac:dyDescent="0.2">
      <c r="E15" s="175">
        <f t="shared" si="1"/>
        <v>2028</v>
      </c>
      <c r="F15" s="149"/>
      <c r="G15" s="144">
        <f t="shared" si="0"/>
        <v>0</v>
      </c>
      <c r="H15" s="148">
        <v>6000</v>
      </c>
      <c r="I15" s="145">
        <f>ROUND((G15+H15)*NPV!C13,0)</f>
        <v>2851</v>
      </c>
    </row>
    <row r="16" spans="1:12" x14ac:dyDescent="0.2">
      <c r="E16" s="175">
        <f t="shared" si="1"/>
        <v>2029</v>
      </c>
      <c r="F16" s="149"/>
      <c r="G16" s="144">
        <f t="shared" si="0"/>
        <v>0</v>
      </c>
      <c r="H16" s="148">
        <v>6000</v>
      </c>
      <c r="I16" s="145">
        <f>ROUND((G16+H16)*NPV!C14,0)</f>
        <v>2664</v>
      </c>
    </row>
    <row r="17" spans="5:9" x14ac:dyDescent="0.2">
      <c r="E17" s="175">
        <f t="shared" si="1"/>
        <v>2030</v>
      </c>
      <c r="F17" s="149"/>
      <c r="G17" s="144">
        <f t="shared" si="0"/>
        <v>0</v>
      </c>
      <c r="H17" s="148">
        <v>6000</v>
      </c>
      <c r="I17" s="145">
        <f>ROUND((G17+H17)*NPV!C15,0)</f>
        <v>2490</v>
      </c>
    </row>
    <row r="18" spans="5:9" x14ac:dyDescent="0.2">
      <c r="E18" s="175">
        <f t="shared" si="1"/>
        <v>2031</v>
      </c>
      <c r="F18" s="149"/>
      <c r="G18" s="144">
        <f t="shared" si="0"/>
        <v>0</v>
      </c>
      <c r="H18" s="148">
        <v>6000</v>
      </c>
      <c r="I18" s="145">
        <f>ROUND((G18+H18)*NPV!C16,0)</f>
        <v>2327</v>
      </c>
    </row>
    <row r="19" spans="5:9" x14ac:dyDescent="0.2">
      <c r="E19" s="175">
        <f t="shared" si="1"/>
        <v>2032</v>
      </c>
      <c r="F19" s="149"/>
      <c r="G19" s="144">
        <f t="shared" si="0"/>
        <v>0</v>
      </c>
      <c r="H19" s="148">
        <v>8000</v>
      </c>
      <c r="I19" s="145">
        <f>ROUND((G19+H19)*NPV!C17,0)</f>
        <v>2900</v>
      </c>
    </row>
    <row r="20" spans="5:9" x14ac:dyDescent="0.2">
      <c r="E20" s="175">
        <f t="shared" si="1"/>
        <v>2033</v>
      </c>
      <c r="F20" s="149"/>
      <c r="G20" s="144">
        <f t="shared" si="0"/>
        <v>0</v>
      </c>
      <c r="H20" s="148">
        <v>8000</v>
      </c>
      <c r="I20" s="145">
        <f>ROUND((G20+H20)*NPV!C18,0)</f>
        <v>2710</v>
      </c>
    </row>
    <row r="21" spans="5:9" x14ac:dyDescent="0.2">
      <c r="E21" s="175">
        <f t="shared" si="1"/>
        <v>2034</v>
      </c>
      <c r="F21" s="149"/>
      <c r="G21" s="144">
        <f t="shared" si="0"/>
        <v>0</v>
      </c>
      <c r="H21" s="148">
        <v>8000</v>
      </c>
      <c r="I21" s="145">
        <f>ROUND((G21+H21)*NPV!C19,0)</f>
        <v>2533</v>
      </c>
    </row>
    <row r="22" spans="5:9" x14ac:dyDescent="0.2">
      <c r="E22" s="175">
        <f t="shared" si="1"/>
        <v>2035</v>
      </c>
      <c r="F22" s="149"/>
      <c r="G22" s="144">
        <f t="shared" si="0"/>
        <v>0</v>
      </c>
      <c r="H22" s="148">
        <v>8000</v>
      </c>
      <c r="I22" s="145">
        <f>ROUND((G22+H22)*NPV!C20,0)</f>
        <v>2367</v>
      </c>
    </row>
    <row r="23" spans="5:9" x14ac:dyDescent="0.2">
      <c r="E23" s="175">
        <f t="shared" si="1"/>
        <v>2036</v>
      </c>
      <c r="F23" s="149"/>
      <c r="G23" s="144">
        <f t="shared" si="0"/>
        <v>0</v>
      </c>
      <c r="H23" s="148">
        <v>8000</v>
      </c>
      <c r="I23" s="145">
        <f>ROUND((G23+H23)*NPV!C21,0)</f>
        <v>2212</v>
      </c>
    </row>
    <row r="24" spans="5:9" x14ac:dyDescent="0.2">
      <c r="E24" s="175">
        <f t="shared" si="1"/>
        <v>2037</v>
      </c>
      <c r="F24" s="149"/>
      <c r="G24" s="144">
        <f t="shared" si="0"/>
        <v>0</v>
      </c>
      <c r="H24" s="148">
        <v>8000</v>
      </c>
      <c r="I24" s="145">
        <f>ROUND((G24+H24)*NPV!C22,0)</f>
        <v>2067</v>
      </c>
    </row>
    <row r="25" spans="5:9" x14ac:dyDescent="0.2">
      <c r="E25" s="175">
        <f t="shared" si="1"/>
        <v>2038</v>
      </c>
      <c r="F25" s="149"/>
      <c r="G25" s="144">
        <f t="shared" si="0"/>
        <v>0</v>
      </c>
      <c r="H25" s="148">
        <v>8000</v>
      </c>
      <c r="I25" s="145">
        <f>ROUND((G25+H25)*NPV!C23,0)</f>
        <v>1932</v>
      </c>
    </row>
    <row r="26" spans="5:9" x14ac:dyDescent="0.2">
      <c r="E26" s="175">
        <f t="shared" si="1"/>
        <v>2039</v>
      </c>
      <c r="F26" s="149"/>
      <c r="G26" s="144">
        <f t="shared" si="0"/>
        <v>0</v>
      </c>
      <c r="H26" s="148">
        <v>8000</v>
      </c>
      <c r="I26" s="145">
        <f>ROUND((G26+H26)*NPV!C24,0)</f>
        <v>1806</v>
      </c>
    </row>
    <row r="27" spans="5:9" x14ac:dyDescent="0.2">
      <c r="E27" s="175">
        <f t="shared" si="1"/>
        <v>2040</v>
      </c>
      <c r="F27" s="149"/>
      <c r="G27" s="144">
        <f t="shared" si="0"/>
        <v>0</v>
      </c>
      <c r="H27" s="148">
        <v>8000</v>
      </c>
      <c r="I27" s="145">
        <f>ROUND((G27+H27)*NPV!C25,0)</f>
        <v>1688</v>
      </c>
    </row>
    <row r="28" spans="5:9" ht="13.5" thickBot="1" x14ac:dyDescent="0.25">
      <c r="E28" s="223">
        <f t="shared" si="1"/>
        <v>2041</v>
      </c>
      <c r="F28" s="252"/>
      <c r="G28" s="253">
        <f>-C3</f>
        <v>-20680000</v>
      </c>
      <c r="H28" s="254">
        <v>8000</v>
      </c>
      <c r="I28" s="253">
        <f>ROUND((G28+H28)*NPV!C26,0)</f>
        <v>-4075415</v>
      </c>
    </row>
    <row r="29" spans="5:9" ht="13.5" thickTop="1" x14ac:dyDescent="0.2">
      <c r="E29" s="190" t="s">
        <v>0</v>
      </c>
      <c r="F29" s="151">
        <f>SUM(F4:F28)</f>
        <v>1</v>
      </c>
      <c r="G29" s="152">
        <f>SUM(G4:G28)</f>
        <v>7520000</v>
      </c>
      <c r="H29" s="153">
        <f>SUM(H4:H28)</f>
        <v>140000</v>
      </c>
      <c r="I29" s="152">
        <f>SUM(I4:I28)</f>
        <v>17942381</v>
      </c>
    </row>
  </sheetData>
  <mergeCells count="4">
    <mergeCell ref="A2:B2"/>
    <mergeCell ref="A4:B4"/>
    <mergeCell ref="A3:B3"/>
    <mergeCell ref="E2:I2"/>
  </mergeCells>
  <pageMargins left="0.25" right="0.25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Z110"/>
  <sheetViews>
    <sheetView topLeftCell="A85" zoomScale="90" zoomScaleNormal="90" workbookViewId="0">
      <selection activeCell="K7" sqref="K7"/>
    </sheetView>
  </sheetViews>
  <sheetFormatPr defaultColWidth="8.85546875" defaultRowHeight="12.75" x14ac:dyDescent="0.2"/>
  <cols>
    <col min="1" max="1" width="16.5703125" style="51" customWidth="1"/>
    <col min="2" max="2" width="9.140625" style="51" customWidth="1"/>
    <col min="3" max="3" width="10.5703125" style="51" bestFit="1" customWidth="1"/>
    <col min="4" max="4" width="11.28515625" style="51" customWidth="1"/>
    <col min="5" max="5" width="8.7109375" style="51" bestFit="1" customWidth="1"/>
    <col min="6" max="6" width="10.28515625" style="51" bestFit="1" customWidth="1"/>
    <col min="7" max="7" width="10.5703125" style="51" customWidth="1"/>
    <col min="8" max="8" width="9.7109375" style="51" bestFit="1" customWidth="1"/>
    <col min="9" max="9" width="8.7109375" style="51" bestFit="1" customWidth="1"/>
    <col min="10" max="10" width="11.42578125" style="51" bestFit="1" customWidth="1"/>
    <col min="11" max="11" width="8.7109375" style="51" bestFit="1" customWidth="1"/>
    <col min="12" max="12" width="12.42578125" style="51" bestFit="1" customWidth="1"/>
    <col min="13" max="13" width="12.42578125" style="57" bestFit="1" customWidth="1"/>
    <col min="14" max="14" width="9.140625" style="51" bestFit="1" customWidth="1"/>
    <col min="15" max="15" width="10.7109375" style="51" customWidth="1"/>
    <col min="16" max="16" width="10.28515625" style="51" customWidth="1"/>
    <col min="17" max="17" width="9.7109375" style="51" bestFit="1" customWidth="1"/>
    <col min="18" max="18" width="10.28515625" style="51" customWidth="1"/>
    <col min="19" max="19" width="8.28515625" style="51" customWidth="1"/>
    <col min="20" max="21" width="11.140625" style="51" customWidth="1"/>
    <col min="22" max="23" width="11.7109375" style="51" customWidth="1"/>
    <col min="24" max="25" width="18.140625" style="51" bestFit="1" customWidth="1"/>
    <col min="26" max="26" width="12.42578125" style="51" customWidth="1"/>
    <col min="27" max="27" width="10.7109375" style="51" customWidth="1"/>
    <col min="28" max="28" width="16.140625" style="51" customWidth="1"/>
    <col min="29" max="31" width="15.7109375" style="51" customWidth="1"/>
    <col min="32" max="16384" width="8.85546875" style="51"/>
  </cols>
  <sheetData>
    <row r="1" spans="1:24" ht="16.5" x14ac:dyDescent="0.3">
      <c r="A1" s="94" t="s">
        <v>169</v>
      </c>
      <c r="B1" s="48"/>
      <c r="C1" s="48"/>
      <c r="D1" s="48"/>
      <c r="E1" s="48"/>
      <c r="F1" s="48"/>
      <c r="G1" s="48"/>
      <c r="H1" s="48"/>
      <c r="I1" s="48"/>
      <c r="K1" s="49"/>
      <c r="L1" s="49"/>
      <c r="M1" s="49"/>
      <c r="N1" s="49"/>
      <c r="O1" s="49"/>
      <c r="P1" s="49"/>
      <c r="Q1" s="48"/>
      <c r="R1" s="48"/>
      <c r="S1" s="48"/>
      <c r="T1" s="48"/>
      <c r="U1" s="50"/>
      <c r="V1" s="50"/>
      <c r="W1" s="50"/>
    </row>
    <row r="2" spans="1:24" ht="27.6" customHeight="1" x14ac:dyDescent="0.2">
      <c r="A2" s="48"/>
      <c r="B2" s="86"/>
      <c r="C2" s="49"/>
      <c r="D2" s="49"/>
      <c r="E2" s="49"/>
      <c r="F2" s="48"/>
      <c r="I2" s="49"/>
      <c r="J2" s="313" t="s">
        <v>179</v>
      </c>
      <c r="K2" s="314"/>
      <c r="L2" s="314"/>
      <c r="M2" s="314"/>
      <c r="N2" s="314"/>
      <c r="O2" s="314"/>
      <c r="P2" s="315"/>
      <c r="Q2" s="49"/>
      <c r="R2" s="49"/>
      <c r="S2" s="49"/>
      <c r="T2" s="49"/>
      <c r="U2" s="50"/>
      <c r="V2" s="50"/>
      <c r="W2" s="50"/>
    </row>
    <row r="3" spans="1:24" x14ac:dyDescent="0.2">
      <c r="A3" s="104" t="s">
        <v>175</v>
      </c>
      <c r="B3" s="112">
        <v>2600</v>
      </c>
      <c r="C3" s="54"/>
      <c r="D3" s="105" t="s">
        <v>1</v>
      </c>
      <c r="E3" s="105" t="s">
        <v>156</v>
      </c>
      <c r="F3" s="105" t="s">
        <v>59</v>
      </c>
      <c r="I3" s="49"/>
      <c r="J3" s="106"/>
      <c r="K3" s="107" t="s">
        <v>180</v>
      </c>
      <c r="L3" s="107" t="s">
        <v>115</v>
      </c>
      <c r="M3" s="107" t="s">
        <v>136</v>
      </c>
      <c r="N3" s="107" t="s">
        <v>145</v>
      </c>
      <c r="O3" s="107" t="s">
        <v>188</v>
      </c>
      <c r="P3" s="107" t="s">
        <v>189</v>
      </c>
      <c r="Q3" s="49" t="s">
        <v>57</v>
      </c>
      <c r="R3" s="49"/>
      <c r="S3" s="49"/>
      <c r="T3" s="49"/>
      <c r="U3" s="50"/>
      <c r="V3" s="50"/>
      <c r="W3" s="50"/>
    </row>
    <row r="4" spans="1:24" x14ac:dyDescent="0.2">
      <c r="A4" s="104" t="s">
        <v>176</v>
      </c>
      <c r="B4" s="112">
        <v>4297</v>
      </c>
      <c r="C4" s="54"/>
      <c r="D4" s="109">
        <v>2017</v>
      </c>
      <c r="E4" s="117">
        <f>B3</f>
        <v>2600</v>
      </c>
      <c r="F4" s="116"/>
      <c r="I4" s="49"/>
      <c r="J4" s="108" t="s">
        <v>187</v>
      </c>
      <c r="K4" s="130">
        <v>2.2999999999999998</v>
      </c>
      <c r="L4" s="131">
        <v>35</v>
      </c>
      <c r="M4" s="118">
        <f>(60*K4)/L4</f>
        <v>3.9428571428571431</v>
      </c>
      <c r="N4" s="259">
        <f>B3</f>
        <v>2600</v>
      </c>
      <c r="O4" s="260">
        <f>ROUND((M4/60)*N4*365,2)</f>
        <v>62362.86</v>
      </c>
      <c r="P4" s="119">
        <f>K4*N4*365</f>
        <v>2182699.9999999995</v>
      </c>
      <c r="Q4" s="49"/>
      <c r="R4" s="49"/>
      <c r="S4" s="49"/>
      <c r="T4" s="52"/>
      <c r="U4" s="50"/>
      <c r="V4" s="50"/>
      <c r="W4" s="50"/>
    </row>
    <row r="5" spans="1:24" x14ac:dyDescent="0.2">
      <c r="A5" s="104" t="s">
        <v>155</v>
      </c>
      <c r="B5" s="115">
        <f>F5</f>
        <v>2.1154213249346677E-2</v>
      </c>
      <c r="C5" s="54"/>
      <c r="D5" s="109">
        <v>2041</v>
      </c>
      <c r="E5" s="117">
        <f>B4</f>
        <v>4297</v>
      </c>
      <c r="F5" s="114">
        <f>RATE(D5-D4,,-E4,E5)</f>
        <v>2.1154213249346677E-2</v>
      </c>
      <c r="I5" s="49"/>
      <c r="J5" s="108" t="s">
        <v>182</v>
      </c>
      <c r="K5" s="130">
        <v>2.2999999999999998</v>
      </c>
      <c r="L5" s="131">
        <v>35</v>
      </c>
      <c r="M5" s="118">
        <f t="shared" ref="M5:M9" si="0">(60*K5)/L5</f>
        <v>3.9428571428571431</v>
      </c>
      <c r="N5" s="259">
        <f>B37</f>
        <v>4121</v>
      </c>
      <c r="O5" s="260">
        <f t="shared" ref="O5:O9" si="1">ROUND((M5/60)*N5*365,2)</f>
        <v>98845.13</v>
      </c>
      <c r="P5" s="119">
        <f t="shared" ref="P5:P7" si="2">K5*N5*365</f>
        <v>3459579.4999999995</v>
      </c>
      <c r="Q5" s="120">
        <f>RATE((2039-2017),0,-O4,O5)</f>
        <v>2.115634163897925E-2</v>
      </c>
      <c r="R5" s="49"/>
      <c r="S5" s="49"/>
      <c r="T5" s="49"/>
      <c r="U5" s="50"/>
      <c r="V5" s="50"/>
      <c r="W5" s="50"/>
    </row>
    <row r="6" spans="1:24" x14ac:dyDescent="0.2">
      <c r="A6" s="104" t="s">
        <v>114</v>
      </c>
      <c r="B6" s="113">
        <v>0.1</v>
      </c>
      <c r="C6" s="54"/>
      <c r="D6" s="49"/>
      <c r="E6" s="83"/>
      <c r="F6" s="83"/>
      <c r="G6" s="49"/>
      <c r="H6" s="49"/>
      <c r="I6" s="49"/>
      <c r="J6" s="108" t="s">
        <v>183</v>
      </c>
      <c r="K6" s="130">
        <f>25.8-1</f>
        <v>24.8</v>
      </c>
      <c r="L6" s="131">
        <v>40</v>
      </c>
      <c r="M6" s="118">
        <f>(60*K6)/L6</f>
        <v>37.200000000000003</v>
      </c>
      <c r="N6" s="259">
        <f>ROUND(B38*0.8,0)</f>
        <v>3366</v>
      </c>
      <c r="O6" s="260">
        <f t="shared" si="1"/>
        <v>761725.8</v>
      </c>
      <c r="P6" s="119">
        <f>K6*N6*365</f>
        <v>30469032</v>
      </c>
      <c r="Q6" s="55" t="s">
        <v>190</v>
      </c>
      <c r="R6" s="49"/>
      <c r="S6" s="49"/>
      <c r="T6" s="49"/>
      <c r="U6" s="50"/>
      <c r="V6" s="50"/>
      <c r="W6" s="50"/>
    </row>
    <row r="7" spans="1:24" x14ac:dyDescent="0.2">
      <c r="A7" s="310" t="s">
        <v>20</v>
      </c>
      <c r="B7" s="312"/>
      <c r="C7" s="54"/>
      <c r="D7" s="49"/>
      <c r="E7" s="49"/>
      <c r="F7" s="49"/>
      <c r="G7" s="49"/>
      <c r="H7" s="49"/>
      <c r="I7" s="49"/>
      <c r="J7" s="108" t="s">
        <v>184</v>
      </c>
      <c r="K7" s="130">
        <f>25.8-1</f>
        <v>24.8</v>
      </c>
      <c r="L7" s="131">
        <v>40</v>
      </c>
      <c r="M7" s="118">
        <f t="shared" si="0"/>
        <v>37.200000000000003</v>
      </c>
      <c r="N7" s="259">
        <f>ROUND(B4*0.8,0)</f>
        <v>3438</v>
      </c>
      <c r="O7" s="260">
        <f>ROUND((M7/60)*N7*365,2)</f>
        <v>778019.4</v>
      </c>
      <c r="P7" s="119">
        <f t="shared" si="2"/>
        <v>31120776.000000004</v>
      </c>
      <c r="Q7" s="55" t="s">
        <v>190</v>
      </c>
      <c r="R7" s="49"/>
      <c r="S7" s="49"/>
      <c r="T7" s="49"/>
      <c r="U7" s="50"/>
      <c r="V7" s="50"/>
      <c r="W7" s="50"/>
    </row>
    <row r="8" spans="1:24" ht="13.9" customHeight="1" x14ac:dyDescent="0.2">
      <c r="A8" s="48"/>
      <c r="B8" s="56"/>
      <c r="C8" s="49"/>
      <c r="D8" s="49"/>
      <c r="E8" s="49"/>
      <c r="F8" s="49"/>
      <c r="G8" s="49"/>
      <c r="H8" s="49"/>
      <c r="I8" s="49"/>
      <c r="J8" s="108" t="s">
        <v>185</v>
      </c>
      <c r="K8" s="130">
        <v>2.2999999999999998</v>
      </c>
      <c r="L8" s="131">
        <v>45</v>
      </c>
      <c r="M8" s="118">
        <f t="shared" si="0"/>
        <v>3.0666666666666669</v>
      </c>
      <c r="N8" s="259">
        <f>B20</f>
        <v>2887</v>
      </c>
      <c r="O8" s="260">
        <f t="shared" si="1"/>
        <v>53858.59</v>
      </c>
      <c r="P8" s="119">
        <f>K8*N8*365</f>
        <v>2423636.5</v>
      </c>
      <c r="Q8" s="120"/>
      <c r="R8" s="49"/>
      <c r="S8" s="49"/>
      <c r="T8" s="49"/>
      <c r="U8" s="49"/>
      <c r="V8" s="50"/>
      <c r="W8" s="50"/>
      <c r="X8" s="50"/>
    </row>
    <row r="9" spans="1:24" ht="13.9" customHeight="1" x14ac:dyDescent="0.2">
      <c r="A9" s="48"/>
      <c r="B9" s="56"/>
      <c r="C9" s="49"/>
      <c r="D9" s="49"/>
      <c r="E9" s="49"/>
      <c r="F9" s="49"/>
      <c r="G9" s="49"/>
      <c r="H9" s="49"/>
      <c r="I9" s="49"/>
      <c r="J9" s="108" t="s">
        <v>137</v>
      </c>
      <c r="K9" s="130">
        <v>2.2999999999999998</v>
      </c>
      <c r="L9" s="131">
        <v>45</v>
      </c>
      <c r="M9" s="118">
        <f t="shared" si="0"/>
        <v>3.0666666666666669</v>
      </c>
      <c r="N9" s="259">
        <f>B4</f>
        <v>4297</v>
      </c>
      <c r="O9" s="260">
        <f t="shared" si="1"/>
        <v>80162.92</v>
      </c>
      <c r="P9" s="119">
        <f>K9*N9*365</f>
        <v>3607331.4999999995</v>
      </c>
      <c r="Q9" s="120">
        <f>RATE((2041-2022),0,-P8,P9)</f>
        <v>2.1152138165247338E-2</v>
      </c>
      <c r="R9" s="49"/>
      <c r="S9" s="49"/>
      <c r="T9" s="49"/>
      <c r="U9" s="49"/>
      <c r="V9" s="50"/>
      <c r="W9" s="50"/>
      <c r="X9" s="50"/>
    </row>
    <row r="10" spans="1:24" ht="13.9" customHeight="1" x14ac:dyDescent="0.2">
      <c r="A10" s="48"/>
      <c r="B10" s="56"/>
      <c r="C10" s="49"/>
      <c r="D10" s="49"/>
      <c r="E10" s="49"/>
      <c r="F10" s="49"/>
      <c r="G10" s="49"/>
      <c r="H10" s="49"/>
      <c r="I10" s="49"/>
      <c r="J10" s="310" t="s">
        <v>186</v>
      </c>
      <c r="K10" s="311"/>
      <c r="L10" s="312"/>
      <c r="M10" s="49"/>
      <c r="N10" s="49"/>
      <c r="O10" s="49"/>
      <c r="P10" s="49"/>
      <c r="Q10" s="49"/>
      <c r="R10" s="49"/>
      <c r="S10" s="49"/>
      <c r="T10" s="49"/>
      <c r="U10" s="50"/>
      <c r="V10" s="50"/>
      <c r="W10" s="50"/>
    </row>
    <row r="11" spans="1:24" ht="13.9" customHeight="1" x14ac:dyDescent="0.2">
      <c r="A11" s="48"/>
      <c r="B11" s="56"/>
      <c r="C11" s="49"/>
      <c r="D11" s="49"/>
      <c r="E11" s="49"/>
      <c r="F11" s="49"/>
      <c r="G11" s="49"/>
      <c r="H11" s="49"/>
      <c r="I11" s="49"/>
      <c r="J11" s="103"/>
      <c r="K11" s="103"/>
      <c r="L11" s="103"/>
      <c r="M11" s="49"/>
      <c r="N11" s="49"/>
      <c r="O11" s="49"/>
      <c r="P11" s="49"/>
      <c r="Q11" s="49"/>
      <c r="R11" s="49"/>
      <c r="S11" s="49"/>
      <c r="T11" s="49"/>
      <c r="U11" s="50"/>
      <c r="V11" s="50"/>
      <c r="W11" s="50"/>
    </row>
    <row r="12" spans="1:24" x14ac:dyDescent="0.2">
      <c r="A12" s="48"/>
      <c r="B12" s="48"/>
      <c r="C12" s="49"/>
      <c r="D12" s="49"/>
      <c r="E12" s="49"/>
      <c r="F12" s="49"/>
      <c r="Q12" s="49"/>
      <c r="R12" s="49"/>
      <c r="S12" s="49"/>
      <c r="T12" s="49"/>
      <c r="U12" s="50"/>
      <c r="V12" s="50"/>
      <c r="W12" s="50"/>
    </row>
    <row r="13" spans="1:24" x14ac:dyDescent="0.2">
      <c r="A13" s="110"/>
      <c r="B13" s="322" t="s">
        <v>156</v>
      </c>
      <c r="C13" s="322"/>
      <c r="D13" s="322"/>
      <c r="E13" s="322"/>
      <c r="F13" s="322" t="s">
        <v>181</v>
      </c>
      <c r="G13" s="322"/>
      <c r="H13" s="322" t="s">
        <v>36</v>
      </c>
      <c r="I13" s="322"/>
      <c r="J13" s="322" t="s">
        <v>50</v>
      </c>
      <c r="K13" s="322"/>
      <c r="L13" s="322" t="s">
        <v>118</v>
      </c>
      <c r="M13" s="322"/>
      <c r="N13" s="322" t="s">
        <v>36</v>
      </c>
      <c r="O13" s="322"/>
      <c r="P13" s="322" t="s">
        <v>50</v>
      </c>
      <c r="Q13" s="322"/>
      <c r="R13" s="53"/>
      <c r="S13" s="53"/>
      <c r="T13" s="53"/>
      <c r="U13" s="58"/>
      <c r="V13" s="58"/>
      <c r="W13" s="58"/>
    </row>
    <row r="14" spans="1:24" x14ac:dyDescent="0.2">
      <c r="A14" s="110" t="s">
        <v>1</v>
      </c>
      <c r="B14" s="110" t="s">
        <v>156</v>
      </c>
      <c r="C14" s="107" t="s">
        <v>157</v>
      </c>
      <c r="D14" s="107" t="s">
        <v>113</v>
      </c>
      <c r="E14" s="107" t="s">
        <v>112</v>
      </c>
      <c r="F14" s="107" t="s">
        <v>36</v>
      </c>
      <c r="G14" s="110" t="s">
        <v>50</v>
      </c>
      <c r="H14" s="107" t="s">
        <v>153</v>
      </c>
      <c r="I14" s="107" t="s">
        <v>154</v>
      </c>
      <c r="J14" s="107" t="s">
        <v>153</v>
      </c>
      <c r="K14" s="107" t="s">
        <v>154</v>
      </c>
      <c r="L14" s="107" t="s">
        <v>36</v>
      </c>
      <c r="M14" s="110" t="s">
        <v>50</v>
      </c>
      <c r="N14" s="107" t="s">
        <v>158</v>
      </c>
      <c r="O14" s="107" t="s">
        <v>159</v>
      </c>
      <c r="P14" s="107" t="s">
        <v>158</v>
      </c>
      <c r="Q14" s="107" t="s">
        <v>159</v>
      </c>
      <c r="R14" s="53"/>
      <c r="S14" s="53"/>
      <c r="T14" s="53"/>
      <c r="U14" s="58"/>
      <c r="V14" s="58"/>
      <c r="W14" s="58"/>
    </row>
    <row r="15" spans="1:24" x14ac:dyDescent="0.2">
      <c r="A15" s="111">
        <v>2017</v>
      </c>
      <c r="B15" s="62">
        <f>B3</f>
        <v>2600</v>
      </c>
      <c r="C15" s="61">
        <f>$B$6</f>
        <v>0.1</v>
      </c>
      <c r="D15" s="59">
        <f>ROUND(B15*C15,0)</f>
        <v>260</v>
      </c>
      <c r="E15" s="60">
        <f>B15-D15</f>
        <v>2340</v>
      </c>
      <c r="F15" s="62">
        <f>O4</f>
        <v>62362.86</v>
      </c>
      <c r="G15" s="60"/>
      <c r="H15" s="62">
        <f>$F15*($D15/$B15)</f>
        <v>6236.2860000000001</v>
      </c>
      <c r="I15" s="60">
        <f>$F15*($E15/$B15)</f>
        <v>56126.574000000001</v>
      </c>
      <c r="J15" s="62"/>
      <c r="K15" s="60"/>
      <c r="L15" s="62">
        <f>P4</f>
        <v>2182699.9999999995</v>
      </c>
      <c r="M15" s="60"/>
      <c r="N15" s="62">
        <f>$L15*($D15/$B15)</f>
        <v>218269.99999999997</v>
      </c>
      <c r="O15" s="60">
        <f>$L15*($E15/$B15)</f>
        <v>1964429.9999999995</v>
      </c>
      <c r="P15" s="62"/>
      <c r="Q15" s="60"/>
      <c r="R15" s="53"/>
      <c r="S15" s="53"/>
      <c r="T15" s="53"/>
      <c r="U15" s="58"/>
      <c r="V15" s="58"/>
      <c r="W15" s="58"/>
    </row>
    <row r="16" spans="1:24" x14ac:dyDescent="0.2">
      <c r="A16" s="111">
        <f>A15+1</f>
        <v>2018</v>
      </c>
      <c r="B16" s="62">
        <f t="shared" ref="B16:B38" si="3">ROUND($B$15*(1+$B$5)^(A16-$A$15),0)</f>
        <v>2655</v>
      </c>
      <c r="C16" s="61">
        <f>$B$6</f>
        <v>0.1</v>
      </c>
      <c r="D16" s="59">
        <f>ROUND(B16*C16,0)</f>
        <v>266</v>
      </c>
      <c r="E16" s="60">
        <f>B16-D16</f>
        <v>2389</v>
      </c>
      <c r="F16" s="62">
        <f>ROUND($F$15*(1+$Q$5)^(A16-$A$15),0)</f>
        <v>63682</v>
      </c>
      <c r="G16" s="60"/>
      <c r="H16" s="62">
        <f>$F16*($D16/$B16)</f>
        <v>6380.1928436911485</v>
      </c>
      <c r="I16" s="60">
        <f>$F16*($E16/$B16)</f>
        <v>57301.807156308852</v>
      </c>
      <c r="J16" s="62"/>
      <c r="K16" s="60"/>
      <c r="L16" s="62">
        <f>ROUND($L$15*(1+$Q$5)^($A16-$A$15),0)</f>
        <v>2228878</v>
      </c>
      <c r="M16" s="60"/>
      <c r="N16" s="62">
        <f>$L16*($D16/$B16)</f>
        <v>223307.55103578154</v>
      </c>
      <c r="O16" s="60">
        <f>$L16*($E16/$B16)</f>
        <v>2005570.4489642184</v>
      </c>
      <c r="P16" s="62"/>
      <c r="Q16" s="60"/>
      <c r="R16" s="52"/>
      <c r="S16" s="53"/>
      <c r="T16" s="53"/>
      <c r="U16" s="58"/>
      <c r="V16" s="58"/>
      <c r="W16" s="58"/>
    </row>
    <row r="17" spans="1:26" x14ac:dyDescent="0.2">
      <c r="A17" s="111">
        <f t="shared" ref="A17:A39" si="4">A16+1</f>
        <v>2019</v>
      </c>
      <c r="B17" s="62">
        <f t="shared" si="3"/>
        <v>2711</v>
      </c>
      <c r="C17" s="61">
        <f t="shared" ref="C17:C38" si="5">$B$6</f>
        <v>0.1</v>
      </c>
      <c r="D17" s="59">
        <f t="shared" ref="D17:D38" si="6">ROUND(B17*C17,0)</f>
        <v>271</v>
      </c>
      <c r="E17" s="60">
        <f t="shared" ref="E17:E38" si="7">B17-D17</f>
        <v>2440</v>
      </c>
      <c r="F17" s="62">
        <f t="shared" ref="F17:F36" si="8">ROUND($F$15*(1+$Q$5)^(A17-$A$15),0)</f>
        <v>65030</v>
      </c>
      <c r="G17" s="60"/>
      <c r="H17" s="62">
        <f>$F17*($D17/$B17)</f>
        <v>6500.6012541497603</v>
      </c>
      <c r="I17" s="60">
        <f>$F17*($E17/$B17)</f>
        <v>58529.398745850245</v>
      </c>
      <c r="J17" s="62"/>
      <c r="K17" s="60"/>
      <c r="L17" s="62">
        <f t="shared" ref="L17:L36" si="9">ROUND($L$15*(1+$Q$5)^($A17-$A$15),0)</f>
        <v>2276033</v>
      </c>
      <c r="M17" s="60"/>
      <c r="N17" s="62">
        <f t="shared" ref="N17:N38" si="10">$L17*($D17/$B17)</f>
        <v>227519.34452231647</v>
      </c>
      <c r="O17" s="60">
        <f t="shared" ref="O17:O38" si="11">$L17*($E17/$B17)</f>
        <v>2048513.6554776835</v>
      </c>
      <c r="P17" s="62"/>
      <c r="Q17" s="60"/>
      <c r="R17" s="52"/>
      <c r="S17" s="53"/>
      <c r="T17" s="53"/>
      <c r="U17" s="63"/>
      <c r="V17" s="63"/>
      <c r="W17" s="63"/>
    </row>
    <row r="18" spans="1:26" x14ac:dyDescent="0.2">
      <c r="A18" s="111">
        <f t="shared" si="4"/>
        <v>2020</v>
      </c>
      <c r="B18" s="62">
        <f t="shared" si="3"/>
        <v>2769</v>
      </c>
      <c r="C18" s="61">
        <f t="shared" si="5"/>
        <v>0.1</v>
      </c>
      <c r="D18" s="59">
        <f t="shared" si="6"/>
        <v>277</v>
      </c>
      <c r="E18" s="60">
        <f t="shared" si="7"/>
        <v>2492</v>
      </c>
      <c r="F18" s="62">
        <f t="shared" si="8"/>
        <v>66405</v>
      </c>
      <c r="G18" s="60"/>
      <c r="H18" s="62">
        <f t="shared" ref="H18:H38" si="12">$F18*($D18/$B18)</f>
        <v>6642.898158179848</v>
      </c>
      <c r="I18" s="60">
        <f>$F18*($E18/$B18)</f>
        <v>59762.101841820149</v>
      </c>
      <c r="J18" s="62"/>
      <c r="K18" s="60"/>
      <c r="L18" s="62">
        <f t="shared" si="9"/>
        <v>2324185</v>
      </c>
      <c r="M18" s="60"/>
      <c r="N18" s="62">
        <f t="shared" si="10"/>
        <v>232502.43589743591</v>
      </c>
      <c r="O18" s="60">
        <f t="shared" si="11"/>
        <v>2091682.564102564</v>
      </c>
      <c r="P18" s="62"/>
      <c r="Q18" s="60"/>
      <c r="R18" s="52"/>
      <c r="S18" s="53"/>
      <c r="T18" s="53"/>
      <c r="U18" s="64"/>
      <c r="V18" s="64"/>
      <c r="W18" s="64"/>
    </row>
    <row r="19" spans="1:26" x14ac:dyDescent="0.2">
      <c r="A19" s="111">
        <f t="shared" si="4"/>
        <v>2021</v>
      </c>
      <c r="B19" s="62">
        <f t="shared" si="3"/>
        <v>2827</v>
      </c>
      <c r="C19" s="61">
        <f t="shared" si="5"/>
        <v>0.1</v>
      </c>
      <c r="D19" s="59">
        <f t="shared" si="6"/>
        <v>283</v>
      </c>
      <c r="E19" s="60">
        <f t="shared" si="7"/>
        <v>2544</v>
      </c>
      <c r="F19" s="62">
        <f t="shared" si="8"/>
        <v>67810</v>
      </c>
      <c r="G19" s="60"/>
      <c r="H19" s="62">
        <f t="shared" si="12"/>
        <v>6788.1959674566679</v>
      </c>
      <c r="I19" s="60">
        <f t="shared" ref="I19:I38" si="13">$F19*($E19/$B19)</f>
        <v>61021.804032543332</v>
      </c>
      <c r="J19" s="62"/>
      <c r="K19" s="60"/>
      <c r="L19" s="62">
        <f t="shared" si="9"/>
        <v>2373357</v>
      </c>
      <c r="M19" s="60"/>
      <c r="N19" s="62">
        <f t="shared" si="10"/>
        <v>237587.55960382032</v>
      </c>
      <c r="O19" s="60">
        <f t="shared" si="11"/>
        <v>2135769.4403961794</v>
      </c>
      <c r="P19" s="62"/>
      <c r="Q19" s="60"/>
      <c r="R19" s="52"/>
      <c r="S19" s="53"/>
      <c r="T19" s="53"/>
      <c r="U19" s="63"/>
      <c r="V19" s="63"/>
      <c r="W19" s="63"/>
    </row>
    <row r="20" spans="1:26" x14ac:dyDescent="0.2">
      <c r="A20" s="111">
        <f t="shared" si="4"/>
        <v>2022</v>
      </c>
      <c r="B20" s="62">
        <f t="shared" si="3"/>
        <v>2887</v>
      </c>
      <c r="C20" s="61">
        <f t="shared" si="5"/>
        <v>0.1</v>
      </c>
      <c r="D20" s="59">
        <f t="shared" si="6"/>
        <v>289</v>
      </c>
      <c r="E20" s="60">
        <f t="shared" si="7"/>
        <v>2598</v>
      </c>
      <c r="F20" s="62">
        <f t="shared" si="8"/>
        <v>69245</v>
      </c>
      <c r="G20" s="60">
        <f>O8</f>
        <v>53858.59</v>
      </c>
      <c r="H20" s="62">
        <f>$F20*($D20/$B20)</f>
        <v>6931.6955316938001</v>
      </c>
      <c r="I20" s="60">
        <f t="shared" si="13"/>
        <v>62313.304468306196</v>
      </c>
      <c r="J20" s="62">
        <f t="shared" ref="J20:J38" si="14">$G20*($D20/$B20)</f>
        <v>5391.4556667821271</v>
      </c>
      <c r="K20" s="60">
        <f t="shared" ref="K20:K38" si="15">$G20*($E20/$B20)</f>
        <v>48467.134333217866</v>
      </c>
      <c r="L20" s="62">
        <f>ROUND($L$15*(1+$Q$5)^($A20-$A$15),0)</f>
        <v>2423568</v>
      </c>
      <c r="M20" s="60">
        <f>P8</f>
        <v>2423636.5</v>
      </c>
      <c r="N20" s="62">
        <f t="shared" si="10"/>
        <v>242608.64288188433</v>
      </c>
      <c r="O20" s="60">
        <f t="shared" si="11"/>
        <v>2180959.3571181158</v>
      </c>
      <c r="P20" s="62">
        <f>$M20*($D20/$B20)</f>
        <v>242615.5</v>
      </c>
      <c r="Q20" s="60">
        <f>$M20*($E20/$B20)</f>
        <v>2181021</v>
      </c>
      <c r="R20" s="65"/>
      <c r="S20" s="65"/>
      <c r="T20" s="65"/>
      <c r="U20" s="64"/>
      <c r="V20" s="64"/>
      <c r="W20" s="64"/>
    </row>
    <row r="21" spans="1:26" x14ac:dyDescent="0.2">
      <c r="A21" s="111">
        <f t="shared" si="4"/>
        <v>2023</v>
      </c>
      <c r="B21" s="62">
        <f t="shared" si="3"/>
        <v>2948</v>
      </c>
      <c r="C21" s="61">
        <f t="shared" si="5"/>
        <v>0.1</v>
      </c>
      <c r="D21" s="59">
        <f t="shared" si="6"/>
        <v>295</v>
      </c>
      <c r="E21" s="60">
        <f t="shared" si="7"/>
        <v>2653</v>
      </c>
      <c r="F21" s="62">
        <f t="shared" si="8"/>
        <v>70710</v>
      </c>
      <c r="G21" s="60">
        <f>ROUND($G$20*(1+$Q$9)^(A21-$A$20),0)</f>
        <v>54998</v>
      </c>
      <c r="H21" s="62">
        <f t="shared" si="12"/>
        <v>7075.7971506105832</v>
      </c>
      <c r="I21" s="60">
        <f t="shared" si="13"/>
        <v>63634.202849389418</v>
      </c>
      <c r="J21" s="62">
        <f t="shared" si="14"/>
        <v>5503.531207598372</v>
      </c>
      <c r="K21" s="60">
        <f t="shared" si="15"/>
        <v>49494.468792401633</v>
      </c>
      <c r="L21" s="62">
        <f t="shared" si="9"/>
        <v>2474842</v>
      </c>
      <c r="M21" s="60">
        <f>ROUND($M$20*(1+$Q$9)^($A21-$A$15),0)</f>
        <v>2747959</v>
      </c>
      <c r="N21" s="62">
        <f t="shared" si="10"/>
        <v>247652.09972862958</v>
      </c>
      <c r="O21" s="60">
        <f t="shared" si="11"/>
        <v>2227189.9002713705</v>
      </c>
      <c r="P21" s="62">
        <f t="shared" ref="P21:P38" si="16">$M21*($D21/$B21)</f>
        <v>274982.328697422</v>
      </c>
      <c r="Q21" s="60">
        <f t="shared" ref="Q21:Q37" si="17">$M21*($E21/$B21)</f>
        <v>2472976.6713025779</v>
      </c>
      <c r="R21" s="48"/>
      <c r="S21" s="48"/>
      <c r="T21" s="48"/>
      <c r="U21" s="48"/>
      <c r="V21" s="48"/>
      <c r="W21" s="48"/>
      <c r="X21" s="66"/>
      <c r="Y21" s="66"/>
      <c r="Z21" s="66"/>
    </row>
    <row r="22" spans="1:26" x14ac:dyDescent="0.2">
      <c r="A22" s="111">
        <f t="shared" si="4"/>
        <v>2024</v>
      </c>
      <c r="B22" s="62">
        <f t="shared" si="3"/>
        <v>3010</v>
      </c>
      <c r="C22" s="61">
        <f t="shared" si="5"/>
        <v>0.1</v>
      </c>
      <c r="D22" s="59">
        <f t="shared" si="6"/>
        <v>301</v>
      </c>
      <c r="E22" s="60">
        <f t="shared" si="7"/>
        <v>2709</v>
      </c>
      <c r="F22" s="62">
        <f t="shared" si="8"/>
        <v>72206</v>
      </c>
      <c r="G22" s="60">
        <f t="shared" ref="G22:G38" si="18">ROUND($G$20*(1+$Q$9)^(A22-$A$20),0)</f>
        <v>56161</v>
      </c>
      <c r="H22" s="62">
        <f t="shared" si="12"/>
        <v>7220.6</v>
      </c>
      <c r="I22" s="60">
        <f t="shared" si="13"/>
        <v>64985.4</v>
      </c>
      <c r="J22" s="62">
        <f t="shared" si="14"/>
        <v>5616.1</v>
      </c>
      <c r="K22" s="60">
        <f t="shared" si="15"/>
        <v>50544.9</v>
      </c>
      <c r="L22" s="62">
        <f t="shared" si="9"/>
        <v>2527201</v>
      </c>
      <c r="M22" s="60">
        <f t="shared" ref="M22:M38" si="19">ROUND($M$20*(1+$Q$9)^($A22-$A$15),0)</f>
        <v>2806084</v>
      </c>
      <c r="N22" s="62">
        <f t="shared" si="10"/>
        <v>252720.1</v>
      </c>
      <c r="O22" s="60">
        <f t="shared" si="11"/>
        <v>2274480.9</v>
      </c>
      <c r="P22" s="62">
        <f t="shared" si="16"/>
        <v>280608.40000000002</v>
      </c>
      <c r="Q22" s="60">
        <f t="shared" si="17"/>
        <v>2525475.6</v>
      </c>
    </row>
    <row r="23" spans="1:26" x14ac:dyDescent="0.2">
      <c r="A23" s="111">
        <f t="shared" si="4"/>
        <v>2025</v>
      </c>
      <c r="B23" s="62">
        <f t="shared" si="3"/>
        <v>3074</v>
      </c>
      <c r="C23" s="61">
        <f t="shared" si="5"/>
        <v>0.1</v>
      </c>
      <c r="D23" s="59">
        <f t="shared" si="6"/>
        <v>307</v>
      </c>
      <c r="E23" s="60">
        <f t="shared" si="7"/>
        <v>2767</v>
      </c>
      <c r="F23" s="62">
        <f t="shared" si="8"/>
        <v>73733</v>
      </c>
      <c r="G23" s="60">
        <f t="shared" si="18"/>
        <v>57349</v>
      </c>
      <c r="H23" s="62">
        <f t="shared" si="12"/>
        <v>7363.7055953155495</v>
      </c>
      <c r="I23" s="60">
        <f t="shared" si="13"/>
        <v>66369.29440468445</v>
      </c>
      <c r="J23" s="62">
        <f t="shared" si="14"/>
        <v>5727.4375406636309</v>
      </c>
      <c r="K23" s="60">
        <f t="shared" si="15"/>
        <v>51621.562459336375</v>
      </c>
      <c r="L23" s="62">
        <f t="shared" si="9"/>
        <v>2580667</v>
      </c>
      <c r="M23" s="60">
        <f t="shared" si="19"/>
        <v>2865439</v>
      </c>
      <c r="N23" s="62">
        <f t="shared" si="10"/>
        <v>257730.89427456082</v>
      </c>
      <c r="O23" s="60">
        <f t="shared" si="11"/>
        <v>2322936.1057254393</v>
      </c>
      <c r="P23" s="62">
        <f t="shared" si="16"/>
        <v>286171.0387117762</v>
      </c>
      <c r="Q23" s="60">
        <f t="shared" si="17"/>
        <v>2579267.961288224</v>
      </c>
      <c r="U23" s="67"/>
      <c r="V23" s="67"/>
      <c r="W23" s="67"/>
    </row>
    <row r="24" spans="1:26" x14ac:dyDescent="0.2">
      <c r="A24" s="111">
        <f t="shared" si="4"/>
        <v>2026</v>
      </c>
      <c r="B24" s="62">
        <f t="shared" si="3"/>
        <v>3139</v>
      </c>
      <c r="C24" s="61">
        <f t="shared" si="5"/>
        <v>0.1</v>
      </c>
      <c r="D24" s="59">
        <f t="shared" si="6"/>
        <v>314</v>
      </c>
      <c r="E24" s="60">
        <f t="shared" si="7"/>
        <v>2825</v>
      </c>
      <c r="F24" s="62">
        <f t="shared" si="8"/>
        <v>75293</v>
      </c>
      <c r="G24" s="60">
        <f t="shared" si="18"/>
        <v>58562</v>
      </c>
      <c r="H24" s="62">
        <f t="shared" si="12"/>
        <v>7531.6986301369861</v>
      </c>
      <c r="I24" s="60">
        <f t="shared" si="13"/>
        <v>67761.301369863009</v>
      </c>
      <c r="J24" s="62">
        <f t="shared" si="14"/>
        <v>5858.0656259955394</v>
      </c>
      <c r="K24" s="60">
        <f t="shared" si="15"/>
        <v>52703.934374004457</v>
      </c>
      <c r="L24" s="62">
        <f t="shared" si="9"/>
        <v>2635264</v>
      </c>
      <c r="M24" s="60">
        <f t="shared" si="19"/>
        <v>2926049</v>
      </c>
      <c r="N24" s="62">
        <f t="shared" si="10"/>
        <v>263610.35234151001</v>
      </c>
      <c r="O24" s="60">
        <f t="shared" si="11"/>
        <v>2371653.6476584901</v>
      </c>
      <c r="P24" s="62">
        <f t="shared" si="16"/>
        <v>292698.11596049694</v>
      </c>
      <c r="Q24" s="60">
        <f t="shared" si="17"/>
        <v>2633350.8840395031</v>
      </c>
    </row>
    <row r="25" spans="1:26" x14ac:dyDescent="0.2">
      <c r="A25" s="111">
        <f t="shared" si="4"/>
        <v>2027</v>
      </c>
      <c r="B25" s="62">
        <f t="shared" si="3"/>
        <v>3205</v>
      </c>
      <c r="C25" s="61">
        <f t="shared" si="5"/>
        <v>0.1</v>
      </c>
      <c r="D25" s="59">
        <f t="shared" si="6"/>
        <v>321</v>
      </c>
      <c r="E25" s="60">
        <f t="shared" si="7"/>
        <v>2884</v>
      </c>
      <c r="F25" s="62">
        <f t="shared" si="8"/>
        <v>76886</v>
      </c>
      <c r="G25" s="60">
        <f t="shared" si="18"/>
        <v>59801</v>
      </c>
      <c r="H25" s="62">
        <f t="shared" si="12"/>
        <v>7700.5946957878314</v>
      </c>
      <c r="I25" s="60">
        <f t="shared" si="13"/>
        <v>69185.405304212167</v>
      </c>
      <c r="J25" s="62">
        <f t="shared" si="14"/>
        <v>5989.4293291731665</v>
      </c>
      <c r="K25" s="60">
        <f t="shared" si="15"/>
        <v>53811.570670826834</v>
      </c>
      <c r="L25" s="62">
        <f t="shared" si="9"/>
        <v>2691017</v>
      </c>
      <c r="M25" s="60">
        <f t="shared" si="19"/>
        <v>2987941</v>
      </c>
      <c r="N25" s="62">
        <f t="shared" si="10"/>
        <v>269521.51544461778</v>
      </c>
      <c r="O25" s="60">
        <f t="shared" si="11"/>
        <v>2421495.4845553823</v>
      </c>
      <c r="P25" s="62">
        <f t="shared" si="16"/>
        <v>299260.23744149762</v>
      </c>
      <c r="Q25" s="60">
        <f t="shared" si="17"/>
        <v>2688680.7625585026</v>
      </c>
    </row>
    <row r="26" spans="1:26" x14ac:dyDescent="0.2">
      <c r="A26" s="111">
        <f t="shared" si="4"/>
        <v>2028</v>
      </c>
      <c r="B26" s="62">
        <f t="shared" si="3"/>
        <v>3273</v>
      </c>
      <c r="C26" s="61">
        <f t="shared" si="5"/>
        <v>0.1</v>
      </c>
      <c r="D26" s="59">
        <f t="shared" si="6"/>
        <v>327</v>
      </c>
      <c r="E26" s="60">
        <f t="shared" si="7"/>
        <v>2946</v>
      </c>
      <c r="F26" s="62">
        <f t="shared" si="8"/>
        <v>78513</v>
      </c>
      <c r="G26" s="60">
        <f t="shared" si="18"/>
        <v>61066</v>
      </c>
      <c r="H26" s="62">
        <f t="shared" si="12"/>
        <v>7844.1035747021078</v>
      </c>
      <c r="I26" s="60">
        <f t="shared" si="13"/>
        <v>70668.896425297891</v>
      </c>
      <c r="J26" s="62">
        <f t="shared" si="14"/>
        <v>6101.0027497708525</v>
      </c>
      <c r="K26" s="60">
        <f t="shared" si="15"/>
        <v>54964.997250229142</v>
      </c>
      <c r="L26" s="62">
        <f t="shared" si="9"/>
        <v>2747949</v>
      </c>
      <c r="M26" s="60">
        <f t="shared" si="19"/>
        <v>3051142</v>
      </c>
      <c r="N26" s="62">
        <f t="shared" si="10"/>
        <v>274543.02566452796</v>
      </c>
      <c r="O26" s="60">
        <f t="shared" si="11"/>
        <v>2473405.9743354721</v>
      </c>
      <c r="P26" s="62">
        <f t="shared" si="16"/>
        <v>304834.53528872592</v>
      </c>
      <c r="Q26" s="60">
        <f t="shared" si="17"/>
        <v>2746307.464711274</v>
      </c>
    </row>
    <row r="27" spans="1:26" x14ac:dyDescent="0.2">
      <c r="A27" s="111">
        <f t="shared" si="4"/>
        <v>2029</v>
      </c>
      <c r="B27" s="62">
        <f t="shared" si="3"/>
        <v>3342</v>
      </c>
      <c r="C27" s="61">
        <f t="shared" si="5"/>
        <v>0.1</v>
      </c>
      <c r="D27" s="59">
        <f t="shared" si="6"/>
        <v>334</v>
      </c>
      <c r="E27" s="60">
        <f t="shared" si="7"/>
        <v>3008</v>
      </c>
      <c r="F27" s="62">
        <f t="shared" si="8"/>
        <v>80174</v>
      </c>
      <c r="G27" s="60">
        <f t="shared" si="18"/>
        <v>62357</v>
      </c>
      <c r="H27" s="62">
        <f t="shared" si="12"/>
        <v>8012.6020347097547</v>
      </c>
      <c r="I27" s="60">
        <f t="shared" si="13"/>
        <v>72161.397965290249</v>
      </c>
      <c r="J27" s="62">
        <f t="shared" si="14"/>
        <v>6231.9682824655902</v>
      </c>
      <c r="K27" s="60">
        <f t="shared" si="15"/>
        <v>56125.031717534417</v>
      </c>
      <c r="L27" s="62">
        <f t="shared" si="9"/>
        <v>2806086</v>
      </c>
      <c r="M27" s="60">
        <f t="shared" si="19"/>
        <v>3115680</v>
      </c>
      <c r="N27" s="62">
        <f t="shared" si="10"/>
        <v>280440.67145421903</v>
      </c>
      <c r="O27" s="60">
        <f t="shared" si="11"/>
        <v>2525645.3285457813</v>
      </c>
      <c r="P27" s="62">
        <f t="shared" si="16"/>
        <v>311381.54398563737</v>
      </c>
      <c r="Q27" s="60">
        <f t="shared" si="17"/>
        <v>2804298.4560143626</v>
      </c>
    </row>
    <row r="28" spans="1:26" x14ac:dyDescent="0.2">
      <c r="A28" s="111">
        <f t="shared" si="4"/>
        <v>2030</v>
      </c>
      <c r="B28" s="62">
        <f t="shared" si="3"/>
        <v>3413</v>
      </c>
      <c r="C28" s="61">
        <f t="shared" si="5"/>
        <v>0.1</v>
      </c>
      <c r="D28" s="59">
        <f t="shared" si="6"/>
        <v>341</v>
      </c>
      <c r="E28" s="60">
        <f t="shared" si="7"/>
        <v>3072</v>
      </c>
      <c r="F28" s="62">
        <f t="shared" si="8"/>
        <v>81870</v>
      </c>
      <c r="G28" s="60">
        <f t="shared" si="18"/>
        <v>63676</v>
      </c>
      <c r="H28" s="62">
        <f t="shared" si="12"/>
        <v>8179.8036917667741</v>
      </c>
      <c r="I28" s="60">
        <f t="shared" si="13"/>
        <v>73690.196308233222</v>
      </c>
      <c r="J28" s="62">
        <f t="shared" si="14"/>
        <v>6362.0029299736298</v>
      </c>
      <c r="K28" s="60">
        <f t="shared" si="15"/>
        <v>57313.997070026366</v>
      </c>
      <c r="L28" s="62">
        <f t="shared" si="9"/>
        <v>2865452</v>
      </c>
      <c r="M28" s="60">
        <f t="shared" si="19"/>
        <v>3181584</v>
      </c>
      <c r="N28" s="62">
        <f t="shared" si="10"/>
        <v>286293.32903603866</v>
      </c>
      <c r="O28" s="60">
        <f t="shared" si="11"/>
        <v>2579158.6709639612</v>
      </c>
      <c r="P28" s="62">
        <f t="shared" si="16"/>
        <v>317878.74128332845</v>
      </c>
      <c r="Q28" s="60">
        <f t="shared" si="17"/>
        <v>2863705.2587166713</v>
      </c>
    </row>
    <row r="29" spans="1:26" x14ac:dyDescent="0.2">
      <c r="A29" s="111">
        <f t="shared" si="4"/>
        <v>2031</v>
      </c>
      <c r="B29" s="62">
        <f t="shared" si="3"/>
        <v>3485</v>
      </c>
      <c r="C29" s="61">
        <f t="shared" si="5"/>
        <v>0.1</v>
      </c>
      <c r="D29" s="59">
        <f t="shared" si="6"/>
        <v>349</v>
      </c>
      <c r="E29" s="60">
        <f t="shared" si="7"/>
        <v>3136</v>
      </c>
      <c r="F29" s="62">
        <f t="shared" si="8"/>
        <v>83602</v>
      </c>
      <c r="G29" s="60">
        <f t="shared" si="18"/>
        <v>65023</v>
      </c>
      <c r="H29" s="62">
        <f t="shared" si="12"/>
        <v>8372.1945480631275</v>
      </c>
      <c r="I29" s="60">
        <f t="shared" si="13"/>
        <v>75229.805451936874</v>
      </c>
      <c r="J29" s="62">
        <f t="shared" si="14"/>
        <v>6511.6289813486374</v>
      </c>
      <c r="K29" s="60">
        <f t="shared" si="15"/>
        <v>58511.371018651364</v>
      </c>
      <c r="L29" s="62">
        <f t="shared" si="9"/>
        <v>2926075</v>
      </c>
      <c r="M29" s="60">
        <f t="shared" si="19"/>
        <v>3248881</v>
      </c>
      <c r="N29" s="62">
        <f t="shared" si="10"/>
        <v>293027.30989956961</v>
      </c>
      <c r="O29" s="60">
        <f t="shared" si="11"/>
        <v>2633047.6901004305</v>
      </c>
      <c r="P29" s="62">
        <f t="shared" si="16"/>
        <v>325354.22352941177</v>
      </c>
      <c r="Q29" s="60">
        <f t="shared" si="17"/>
        <v>2923526.7764705885</v>
      </c>
    </row>
    <row r="30" spans="1:26" x14ac:dyDescent="0.2">
      <c r="A30" s="111">
        <f t="shared" si="4"/>
        <v>2032</v>
      </c>
      <c r="B30" s="62">
        <f t="shared" si="3"/>
        <v>3559</v>
      </c>
      <c r="C30" s="61">
        <f t="shared" si="5"/>
        <v>0.1</v>
      </c>
      <c r="D30" s="59">
        <f t="shared" si="6"/>
        <v>356</v>
      </c>
      <c r="E30" s="60">
        <f t="shared" si="7"/>
        <v>3203</v>
      </c>
      <c r="F30" s="62">
        <f t="shared" si="8"/>
        <v>85371</v>
      </c>
      <c r="G30" s="60">
        <f t="shared" si="18"/>
        <v>66399</v>
      </c>
      <c r="H30" s="62">
        <f t="shared" si="12"/>
        <v>8539.4987355998874</v>
      </c>
      <c r="I30" s="60">
        <f t="shared" si="13"/>
        <v>76831.501264400111</v>
      </c>
      <c r="J30" s="62">
        <f t="shared" si="14"/>
        <v>6641.7656645125035</v>
      </c>
      <c r="K30" s="60">
        <f t="shared" si="15"/>
        <v>59757.234335487497</v>
      </c>
      <c r="L30" s="62">
        <f t="shared" si="9"/>
        <v>2987980</v>
      </c>
      <c r="M30" s="60">
        <f t="shared" si="19"/>
        <v>3317602</v>
      </c>
      <c r="N30" s="62">
        <f t="shared" si="10"/>
        <v>298881.95560550713</v>
      </c>
      <c r="O30" s="60">
        <f t="shared" si="11"/>
        <v>2689098.0443944931</v>
      </c>
      <c r="P30" s="62">
        <f t="shared" si="16"/>
        <v>331853.41725203709</v>
      </c>
      <c r="Q30" s="60">
        <f t="shared" si="17"/>
        <v>2985748.5827479628</v>
      </c>
    </row>
    <row r="31" spans="1:26" x14ac:dyDescent="0.2">
      <c r="A31" s="111">
        <f t="shared" si="4"/>
        <v>2033</v>
      </c>
      <c r="B31" s="62">
        <f t="shared" si="3"/>
        <v>3634</v>
      </c>
      <c r="C31" s="61">
        <f t="shared" si="5"/>
        <v>0.1</v>
      </c>
      <c r="D31" s="59">
        <f t="shared" si="6"/>
        <v>363</v>
      </c>
      <c r="E31" s="60">
        <f t="shared" si="7"/>
        <v>3271</v>
      </c>
      <c r="F31" s="62">
        <f t="shared" si="8"/>
        <v>87177</v>
      </c>
      <c r="G31" s="60">
        <f t="shared" si="18"/>
        <v>67803</v>
      </c>
      <c r="H31" s="62">
        <f t="shared" si="12"/>
        <v>8708.1042927903145</v>
      </c>
      <c r="I31" s="60">
        <f t="shared" si="13"/>
        <v>78468.895707209682</v>
      </c>
      <c r="J31" s="62">
        <f t="shared" si="14"/>
        <v>6772.8368189323064</v>
      </c>
      <c r="K31" s="60">
        <f t="shared" si="15"/>
        <v>61030.163181067692</v>
      </c>
      <c r="L31" s="62">
        <f t="shared" si="9"/>
        <v>3051194</v>
      </c>
      <c r="M31" s="60">
        <f t="shared" si="19"/>
        <v>3387776</v>
      </c>
      <c r="N31" s="62">
        <f t="shared" si="10"/>
        <v>304783.55035773251</v>
      </c>
      <c r="O31" s="60">
        <f t="shared" si="11"/>
        <v>2746410.4496422675</v>
      </c>
      <c r="P31" s="62">
        <f t="shared" si="16"/>
        <v>338404.70225646673</v>
      </c>
      <c r="Q31" s="60">
        <f t="shared" si="17"/>
        <v>3049371.2977435333</v>
      </c>
    </row>
    <row r="32" spans="1:26" x14ac:dyDescent="0.2">
      <c r="A32" s="111">
        <f t="shared" si="4"/>
        <v>2034</v>
      </c>
      <c r="B32" s="62">
        <f t="shared" si="3"/>
        <v>3711</v>
      </c>
      <c r="C32" s="61">
        <f t="shared" si="5"/>
        <v>0.1</v>
      </c>
      <c r="D32" s="59">
        <f t="shared" si="6"/>
        <v>371</v>
      </c>
      <c r="E32" s="60">
        <f t="shared" si="7"/>
        <v>3340</v>
      </c>
      <c r="F32" s="62">
        <f t="shared" si="8"/>
        <v>89021</v>
      </c>
      <c r="G32" s="60">
        <f t="shared" si="18"/>
        <v>69237</v>
      </c>
      <c r="H32" s="62">
        <f t="shared" si="12"/>
        <v>8899.7011587173274</v>
      </c>
      <c r="I32" s="60">
        <f t="shared" si="13"/>
        <v>80121.298841282682</v>
      </c>
      <c r="J32" s="62">
        <f t="shared" si="14"/>
        <v>6921.8342764753434</v>
      </c>
      <c r="K32" s="60">
        <f t="shared" si="15"/>
        <v>62315.16572352466</v>
      </c>
      <c r="L32" s="62">
        <f t="shared" si="9"/>
        <v>3115746</v>
      </c>
      <c r="M32" s="60">
        <f t="shared" si="19"/>
        <v>3459435</v>
      </c>
      <c r="N32" s="62">
        <f t="shared" si="10"/>
        <v>311490.6402586904</v>
      </c>
      <c r="O32" s="60">
        <f t="shared" si="11"/>
        <v>2804255.3597413097</v>
      </c>
      <c r="P32" s="62">
        <f t="shared" si="16"/>
        <v>345850.27890056587</v>
      </c>
      <c r="Q32" s="60">
        <f t="shared" si="17"/>
        <v>3113584.721099434</v>
      </c>
    </row>
    <row r="33" spans="1:17" x14ac:dyDescent="0.2">
      <c r="A33" s="111">
        <f t="shared" si="4"/>
        <v>2035</v>
      </c>
      <c r="B33" s="62">
        <f t="shared" si="3"/>
        <v>3790</v>
      </c>
      <c r="C33" s="61">
        <f t="shared" si="5"/>
        <v>0.1</v>
      </c>
      <c r="D33" s="59">
        <f t="shared" si="6"/>
        <v>379</v>
      </c>
      <c r="E33" s="60">
        <f t="shared" si="7"/>
        <v>3411</v>
      </c>
      <c r="F33" s="62">
        <f t="shared" si="8"/>
        <v>90905</v>
      </c>
      <c r="G33" s="60">
        <f t="shared" si="18"/>
        <v>70702</v>
      </c>
      <c r="H33" s="62">
        <f t="shared" si="12"/>
        <v>9090.5</v>
      </c>
      <c r="I33" s="60">
        <f t="shared" si="13"/>
        <v>81814.5</v>
      </c>
      <c r="J33" s="62">
        <f t="shared" si="14"/>
        <v>7070.2000000000007</v>
      </c>
      <c r="K33" s="60">
        <f t="shared" si="15"/>
        <v>63631.8</v>
      </c>
      <c r="L33" s="62">
        <f t="shared" si="9"/>
        <v>3181664</v>
      </c>
      <c r="M33" s="60">
        <f t="shared" si="19"/>
        <v>3532609</v>
      </c>
      <c r="N33" s="62">
        <f t="shared" si="10"/>
        <v>318166.40000000002</v>
      </c>
      <c r="O33" s="60">
        <f t="shared" si="11"/>
        <v>2863497.6</v>
      </c>
      <c r="P33" s="62">
        <f t="shared" si="16"/>
        <v>353260.9</v>
      </c>
      <c r="Q33" s="60">
        <f t="shared" si="17"/>
        <v>3179348.1</v>
      </c>
    </row>
    <row r="34" spans="1:17" x14ac:dyDescent="0.2">
      <c r="A34" s="111">
        <f t="shared" si="4"/>
        <v>2036</v>
      </c>
      <c r="B34" s="62">
        <f t="shared" si="3"/>
        <v>3870</v>
      </c>
      <c r="C34" s="61">
        <f t="shared" si="5"/>
        <v>0.1</v>
      </c>
      <c r="D34" s="59">
        <f t="shared" si="6"/>
        <v>387</v>
      </c>
      <c r="E34" s="60">
        <f t="shared" si="7"/>
        <v>3483</v>
      </c>
      <c r="F34" s="62">
        <f t="shared" si="8"/>
        <v>92828</v>
      </c>
      <c r="G34" s="60">
        <f t="shared" si="18"/>
        <v>72197</v>
      </c>
      <c r="H34" s="62">
        <f t="shared" si="12"/>
        <v>9282.8000000000011</v>
      </c>
      <c r="I34" s="60">
        <f t="shared" si="13"/>
        <v>83545.2</v>
      </c>
      <c r="J34" s="62">
        <f t="shared" si="14"/>
        <v>7219.7000000000007</v>
      </c>
      <c r="K34" s="60">
        <f t="shared" si="15"/>
        <v>64977.3</v>
      </c>
      <c r="L34" s="62">
        <f t="shared" si="9"/>
        <v>3248977</v>
      </c>
      <c r="M34" s="60">
        <f t="shared" si="19"/>
        <v>3607332</v>
      </c>
      <c r="N34" s="62">
        <f t="shared" si="10"/>
        <v>324897.7</v>
      </c>
      <c r="O34" s="60">
        <f t="shared" si="11"/>
        <v>2924079.3000000003</v>
      </c>
      <c r="P34" s="62">
        <f t="shared" si="16"/>
        <v>360733.2</v>
      </c>
      <c r="Q34" s="60">
        <f t="shared" si="17"/>
        <v>3246598.8000000003</v>
      </c>
    </row>
    <row r="35" spans="1:17" x14ac:dyDescent="0.2">
      <c r="A35" s="111">
        <f t="shared" si="4"/>
        <v>2037</v>
      </c>
      <c r="B35" s="62">
        <f t="shared" si="3"/>
        <v>3952</v>
      </c>
      <c r="C35" s="61">
        <f t="shared" si="5"/>
        <v>0.1</v>
      </c>
      <c r="D35" s="59">
        <f t="shared" si="6"/>
        <v>395</v>
      </c>
      <c r="E35" s="60">
        <f t="shared" si="7"/>
        <v>3557</v>
      </c>
      <c r="F35" s="62">
        <f t="shared" si="8"/>
        <v>94792</v>
      </c>
      <c r="G35" s="60">
        <f t="shared" si="18"/>
        <v>73724</v>
      </c>
      <c r="H35" s="62">
        <f t="shared" si="12"/>
        <v>9474.4028340080986</v>
      </c>
      <c r="I35" s="60">
        <f t="shared" si="13"/>
        <v>85317.597165991901</v>
      </c>
      <c r="J35" s="62">
        <f t="shared" si="14"/>
        <v>7368.6690283400812</v>
      </c>
      <c r="K35" s="60">
        <f t="shared" si="15"/>
        <v>66355.330971659918</v>
      </c>
      <c r="L35" s="62">
        <f t="shared" si="9"/>
        <v>3317713</v>
      </c>
      <c r="M35" s="60">
        <f t="shared" si="19"/>
        <v>3683634</v>
      </c>
      <c r="N35" s="62">
        <f t="shared" si="10"/>
        <v>331603.39954453445</v>
      </c>
      <c r="O35" s="60">
        <f t="shared" si="11"/>
        <v>2986109.6004554653</v>
      </c>
      <c r="P35" s="62">
        <f t="shared" si="16"/>
        <v>368176.98127530364</v>
      </c>
      <c r="Q35" s="60">
        <f t="shared" si="17"/>
        <v>3315457.0187246962</v>
      </c>
    </row>
    <row r="36" spans="1:17" x14ac:dyDescent="0.2">
      <c r="A36" s="111">
        <f t="shared" si="4"/>
        <v>2038</v>
      </c>
      <c r="B36" s="62">
        <f t="shared" si="3"/>
        <v>4035</v>
      </c>
      <c r="C36" s="61">
        <f t="shared" si="5"/>
        <v>0.1</v>
      </c>
      <c r="D36" s="59">
        <f t="shared" si="6"/>
        <v>404</v>
      </c>
      <c r="E36" s="60">
        <f t="shared" si="7"/>
        <v>3631</v>
      </c>
      <c r="F36" s="62">
        <f t="shared" si="8"/>
        <v>96797</v>
      </c>
      <c r="G36" s="60">
        <f t="shared" si="18"/>
        <v>75284</v>
      </c>
      <c r="H36" s="62">
        <f t="shared" si="12"/>
        <v>9691.694671623296</v>
      </c>
      <c r="I36" s="60">
        <f t="shared" si="13"/>
        <v>87105.305328376708</v>
      </c>
      <c r="J36" s="62">
        <f t="shared" si="14"/>
        <v>7537.7288723667907</v>
      </c>
      <c r="K36" s="60">
        <f t="shared" si="15"/>
        <v>67746.271127633212</v>
      </c>
      <c r="L36" s="62">
        <f t="shared" si="9"/>
        <v>3387904</v>
      </c>
      <c r="M36" s="60">
        <f t="shared" si="19"/>
        <v>3761551</v>
      </c>
      <c r="N36" s="62">
        <f t="shared" si="10"/>
        <v>339210.21462205698</v>
      </c>
      <c r="O36" s="60">
        <f t="shared" si="11"/>
        <v>3048693.785377943</v>
      </c>
      <c r="P36" s="62">
        <f t="shared" si="16"/>
        <v>376621.21536555141</v>
      </c>
      <c r="Q36" s="60">
        <f t="shared" si="17"/>
        <v>3384929.7846344486</v>
      </c>
    </row>
    <row r="37" spans="1:17" x14ac:dyDescent="0.2">
      <c r="A37" s="111">
        <f t="shared" si="4"/>
        <v>2039</v>
      </c>
      <c r="B37" s="62">
        <f t="shared" si="3"/>
        <v>4121</v>
      </c>
      <c r="C37" s="61">
        <f t="shared" si="5"/>
        <v>0.1</v>
      </c>
      <c r="D37" s="59">
        <f t="shared" si="6"/>
        <v>412</v>
      </c>
      <c r="E37" s="60">
        <f t="shared" si="7"/>
        <v>3709</v>
      </c>
      <c r="F37" s="62">
        <f>O5</f>
        <v>98845.13</v>
      </c>
      <c r="G37" s="60">
        <f t="shared" si="18"/>
        <v>76876</v>
      </c>
      <c r="H37" s="62">
        <f t="shared" si="12"/>
        <v>9882.1144285367627</v>
      </c>
      <c r="I37" s="60">
        <f t="shared" si="13"/>
        <v>88963.015571463242</v>
      </c>
      <c r="J37" s="62">
        <f t="shared" si="14"/>
        <v>7685.734530453773</v>
      </c>
      <c r="K37" s="60">
        <f t="shared" si="15"/>
        <v>69190.265469546226</v>
      </c>
      <c r="L37" s="62">
        <f>P5</f>
        <v>3459579.4999999995</v>
      </c>
      <c r="M37" s="60">
        <f t="shared" si="19"/>
        <v>3841116</v>
      </c>
      <c r="N37" s="62">
        <f t="shared" si="10"/>
        <v>345873.99999999994</v>
      </c>
      <c r="O37" s="60">
        <f t="shared" si="11"/>
        <v>3113705.4999999995</v>
      </c>
      <c r="P37" s="62">
        <f t="shared" si="16"/>
        <v>384018.39165251149</v>
      </c>
      <c r="Q37" s="60">
        <f t="shared" si="17"/>
        <v>3457097.6083474886</v>
      </c>
    </row>
    <row r="38" spans="1:17" x14ac:dyDescent="0.2">
      <c r="A38" s="111">
        <f t="shared" si="4"/>
        <v>2040</v>
      </c>
      <c r="B38" s="62">
        <f t="shared" si="3"/>
        <v>4208</v>
      </c>
      <c r="C38" s="61">
        <f t="shared" si="5"/>
        <v>0.1</v>
      </c>
      <c r="D38" s="59">
        <f t="shared" si="6"/>
        <v>421</v>
      </c>
      <c r="E38" s="60">
        <f t="shared" si="7"/>
        <v>3787</v>
      </c>
      <c r="F38" s="62">
        <f>O6</f>
        <v>761725.8</v>
      </c>
      <c r="G38" s="60">
        <f t="shared" si="18"/>
        <v>78502</v>
      </c>
      <c r="H38" s="62">
        <f t="shared" si="12"/>
        <v>76208.783697718638</v>
      </c>
      <c r="I38" s="60">
        <f t="shared" si="13"/>
        <v>685517.01630228141</v>
      </c>
      <c r="J38" s="62">
        <f t="shared" si="14"/>
        <v>7853.93108365019</v>
      </c>
      <c r="K38" s="60">
        <f t="shared" si="15"/>
        <v>70648.068916349803</v>
      </c>
      <c r="L38" s="62">
        <f>P6</f>
        <v>30469032</v>
      </c>
      <c r="M38" s="60">
        <f t="shared" si="19"/>
        <v>3922364</v>
      </c>
      <c r="N38" s="62">
        <f t="shared" si="10"/>
        <v>3048351.3479087455</v>
      </c>
      <c r="O38" s="60">
        <f t="shared" si="11"/>
        <v>27420680.652091254</v>
      </c>
      <c r="P38" s="62">
        <f t="shared" si="16"/>
        <v>392422.82414448669</v>
      </c>
      <c r="Q38" s="60">
        <f>$M38*($E38/$B38)</f>
        <v>3529941.1758555132</v>
      </c>
    </row>
    <row r="39" spans="1:17" x14ac:dyDescent="0.2">
      <c r="A39" s="111">
        <f t="shared" si="4"/>
        <v>2041</v>
      </c>
      <c r="B39" s="62">
        <f>B4</f>
        <v>4297</v>
      </c>
      <c r="C39" s="61">
        <f>$B$6</f>
        <v>0.1</v>
      </c>
      <c r="D39" s="59">
        <f>ROUND(B39*C39,0)</f>
        <v>430</v>
      </c>
      <c r="E39" s="60">
        <f>B39-D39</f>
        <v>3867</v>
      </c>
      <c r="F39" s="62">
        <f>O7</f>
        <v>778019.4</v>
      </c>
      <c r="G39" s="68">
        <f>O9</f>
        <v>80162.92</v>
      </c>
      <c r="H39" s="62">
        <f>$F39*($D39/$B39)</f>
        <v>77856.258319757981</v>
      </c>
      <c r="I39" s="60">
        <f>$F39*($E39/$B39)</f>
        <v>700163.14168024203</v>
      </c>
      <c r="J39" s="62">
        <f>$G39*($D39/$B39)</f>
        <v>8021.8886665115197</v>
      </c>
      <c r="K39" s="60">
        <f>$G39*($E39/$B39)</f>
        <v>72141.03133348847</v>
      </c>
      <c r="L39" s="62">
        <f>P7</f>
        <v>31120776.000000004</v>
      </c>
      <c r="M39" s="60">
        <f>P9</f>
        <v>3607331.4999999995</v>
      </c>
      <c r="N39" s="62">
        <f>$L39*($D39/$B39)</f>
        <v>3114250.3327903193</v>
      </c>
      <c r="O39" s="60">
        <f>$L39*($E39/$B39)</f>
        <v>28006525.667209685</v>
      </c>
      <c r="P39" s="62">
        <f>$M39*($D39/$B39)</f>
        <v>360984.99999999994</v>
      </c>
      <c r="Q39" s="60">
        <f>$M39*($E39/$B39)</f>
        <v>3246346.4999999995</v>
      </c>
    </row>
    <row r="40" spans="1:17" x14ac:dyDescent="0.2">
      <c r="A40" s="58"/>
      <c r="B40" s="58"/>
      <c r="C40" s="69"/>
      <c r="D40" s="53"/>
      <c r="E40" s="53"/>
      <c r="F40" s="58"/>
      <c r="G40" s="70"/>
      <c r="H40" s="58"/>
      <c r="I40" s="58"/>
      <c r="J40" s="58"/>
      <c r="K40" s="58"/>
      <c r="L40" s="84"/>
      <c r="M40" s="85"/>
      <c r="N40" s="84"/>
      <c r="O40" s="85"/>
      <c r="P40" s="84"/>
      <c r="Q40" s="85"/>
    </row>
    <row r="41" spans="1:17" x14ac:dyDescent="0.2">
      <c r="A41" s="71">
        <v>28.6</v>
      </c>
      <c r="B41" s="48" t="s">
        <v>164</v>
      </c>
      <c r="C41" s="72"/>
      <c r="D41" s="73"/>
      <c r="E41" s="58"/>
      <c r="F41" s="58"/>
      <c r="G41" s="70"/>
      <c r="H41" s="58"/>
      <c r="I41" s="58"/>
      <c r="J41" s="58"/>
      <c r="K41" s="58"/>
      <c r="L41" s="84"/>
      <c r="M41" s="85"/>
      <c r="N41" s="84"/>
      <c r="O41" s="85"/>
      <c r="P41" s="84"/>
      <c r="Q41" s="85"/>
    </row>
    <row r="42" spans="1:17" x14ac:dyDescent="0.2">
      <c r="A42" s="71">
        <v>16.100000000000001</v>
      </c>
      <c r="B42" s="48" t="s">
        <v>165</v>
      </c>
      <c r="C42" s="72"/>
      <c r="D42" s="72"/>
      <c r="E42" s="58"/>
      <c r="F42" s="58"/>
      <c r="G42" s="70"/>
      <c r="H42" s="58"/>
      <c r="I42" s="58"/>
      <c r="J42" s="58"/>
      <c r="K42" s="58"/>
      <c r="L42" s="84"/>
      <c r="M42" s="85"/>
      <c r="N42" s="84"/>
      <c r="O42" s="85"/>
      <c r="P42" s="84"/>
      <c r="Q42" s="85"/>
    </row>
    <row r="43" spans="1:17" x14ac:dyDescent="0.2">
      <c r="A43" s="74"/>
      <c r="B43" s="74"/>
      <c r="C43" s="74"/>
      <c r="D43" s="70"/>
      <c r="E43" s="58"/>
      <c r="F43" s="58"/>
      <c r="G43" s="70"/>
      <c r="H43" s="58"/>
      <c r="I43" s="58"/>
      <c r="J43" s="58"/>
      <c r="K43" s="58"/>
      <c r="L43" s="84"/>
      <c r="M43" s="85"/>
      <c r="N43" s="84"/>
      <c r="O43" s="85"/>
      <c r="P43" s="84"/>
      <c r="Q43" s="85"/>
    </row>
    <row r="44" spans="1:17" ht="13.15" customHeight="1" x14ac:dyDescent="0.2">
      <c r="A44" s="71">
        <v>0.9</v>
      </c>
      <c r="B44" s="48" t="s">
        <v>166</v>
      </c>
      <c r="C44" s="72"/>
      <c r="D44" s="72"/>
      <c r="E44" s="58"/>
      <c r="F44" s="58"/>
      <c r="G44" s="70"/>
      <c r="H44" s="58"/>
      <c r="I44" s="58"/>
      <c r="J44" s="58"/>
      <c r="K44" s="58"/>
      <c r="L44" s="74"/>
    </row>
    <row r="45" spans="1:17" ht="13.15" customHeight="1" x14ac:dyDescent="0.2">
      <c r="A45" s="71">
        <v>0.39</v>
      </c>
      <c r="B45" s="48" t="s">
        <v>167</v>
      </c>
      <c r="C45" s="72"/>
      <c r="D45" s="72"/>
      <c r="E45" s="52"/>
      <c r="F45" s="53"/>
      <c r="G45" s="70"/>
      <c r="H45" s="52"/>
      <c r="I45" s="53"/>
      <c r="J45" s="75"/>
      <c r="K45" s="75"/>
      <c r="L45" s="74"/>
    </row>
    <row r="46" spans="1:17" x14ac:dyDescent="0.2">
      <c r="A46" s="75"/>
      <c r="B46" s="75"/>
      <c r="C46" s="75"/>
      <c r="D46" s="75"/>
      <c r="E46" s="58"/>
      <c r="F46" s="58"/>
      <c r="G46" s="75"/>
      <c r="H46" s="58"/>
      <c r="I46" s="58"/>
      <c r="J46" s="58"/>
      <c r="K46" s="58"/>
    </row>
    <row r="47" spans="1:17" ht="18" x14ac:dyDescent="0.25">
      <c r="A47" s="79" t="s">
        <v>122</v>
      </c>
      <c r="M47" s="51"/>
    </row>
    <row r="48" spans="1:17" x14ac:dyDescent="0.2">
      <c r="A48" s="57"/>
      <c r="M48" s="51"/>
    </row>
    <row r="49" spans="1:14" ht="13.15" customHeight="1" x14ac:dyDescent="0.2">
      <c r="A49" s="324" t="s">
        <v>1</v>
      </c>
      <c r="B49" s="325" t="s">
        <v>116</v>
      </c>
      <c r="C49" s="326"/>
      <c r="D49" s="326"/>
      <c r="E49" s="327"/>
      <c r="F49" s="325" t="s">
        <v>50</v>
      </c>
      <c r="G49" s="326"/>
      <c r="H49" s="326"/>
      <c r="I49" s="327"/>
      <c r="J49" s="318" t="s">
        <v>120</v>
      </c>
      <c r="K49" s="319"/>
      <c r="L49" s="316" t="s">
        <v>121</v>
      </c>
      <c r="M49" s="316" t="s">
        <v>123</v>
      </c>
    </row>
    <row r="50" spans="1:14" ht="26.45" customHeight="1" x14ac:dyDescent="0.2">
      <c r="A50" s="324"/>
      <c r="B50" s="313" t="s">
        <v>60</v>
      </c>
      <c r="C50" s="315"/>
      <c r="D50" s="313" t="s">
        <v>117</v>
      </c>
      <c r="E50" s="315"/>
      <c r="F50" s="313" t="s">
        <v>60</v>
      </c>
      <c r="G50" s="315"/>
      <c r="H50" s="313" t="s">
        <v>117</v>
      </c>
      <c r="I50" s="315"/>
      <c r="J50" s="320"/>
      <c r="K50" s="321"/>
      <c r="L50" s="317"/>
      <c r="M50" s="317"/>
    </row>
    <row r="51" spans="1:14" ht="25.5" x14ac:dyDescent="0.2">
      <c r="A51" s="324"/>
      <c r="B51" s="105" t="s">
        <v>42</v>
      </c>
      <c r="C51" s="105" t="s">
        <v>43</v>
      </c>
      <c r="D51" s="105" t="s">
        <v>42</v>
      </c>
      <c r="E51" s="105" t="s">
        <v>43</v>
      </c>
      <c r="F51" s="105" t="s">
        <v>42</v>
      </c>
      <c r="G51" s="107" t="s">
        <v>43</v>
      </c>
      <c r="H51" s="105" t="s">
        <v>42</v>
      </c>
      <c r="I51" s="105" t="s">
        <v>43</v>
      </c>
      <c r="J51" s="123" t="s">
        <v>42</v>
      </c>
      <c r="K51" s="123" t="s">
        <v>43</v>
      </c>
      <c r="L51" s="317"/>
      <c r="M51" s="317"/>
    </row>
    <row r="52" spans="1:14" x14ac:dyDescent="0.2">
      <c r="A52" s="111">
        <v>2017</v>
      </c>
      <c r="B52" s="62">
        <f t="shared" ref="B52:B76" si="20">E15</f>
        <v>2340</v>
      </c>
      <c r="C52" s="60">
        <f t="shared" ref="C52:C76" si="21">D15</f>
        <v>260</v>
      </c>
      <c r="D52" s="62">
        <f>I15</f>
        <v>56126.574000000001</v>
      </c>
      <c r="E52" s="60">
        <f t="shared" ref="E52:E76" si="22">H15</f>
        <v>6236.2860000000001</v>
      </c>
      <c r="F52" s="62"/>
      <c r="G52" s="60"/>
      <c r="H52" s="62"/>
      <c r="I52" s="60"/>
      <c r="J52" s="62"/>
      <c r="K52" s="60"/>
      <c r="L52" s="124"/>
      <c r="M52" s="125"/>
    </row>
    <row r="53" spans="1:14" x14ac:dyDescent="0.2">
      <c r="A53" s="111">
        <f>A52+1</f>
        <v>2018</v>
      </c>
      <c r="B53" s="62">
        <f t="shared" si="20"/>
        <v>2389</v>
      </c>
      <c r="C53" s="60">
        <f t="shared" si="21"/>
        <v>266</v>
      </c>
      <c r="D53" s="62">
        <f t="shared" ref="D53:D76" si="23">I16</f>
        <v>57301.807156308852</v>
      </c>
      <c r="E53" s="60">
        <f t="shared" si="22"/>
        <v>6380.1928436911485</v>
      </c>
      <c r="F53" s="62"/>
      <c r="G53" s="60"/>
      <c r="H53" s="62"/>
      <c r="I53" s="60"/>
      <c r="J53" s="62"/>
      <c r="K53" s="60"/>
      <c r="L53" s="124"/>
      <c r="M53" s="125"/>
    </row>
    <row r="54" spans="1:14" x14ac:dyDescent="0.2">
      <c r="A54" s="111">
        <f t="shared" ref="A54:A74" si="24">A53+1</f>
        <v>2019</v>
      </c>
      <c r="B54" s="62">
        <f t="shared" si="20"/>
        <v>2440</v>
      </c>
      <c r="C54" s="60">
        <f t="shared" si="21"/>
        <v>271</v>
      </c>
      <c r="D54" s="62">
        <f t="shared" si="23"/>
        <v>58529.398745850245</v>
      </c>
      <c r="E54" s="60">
        <f t="shared" si="22"/>
        <v>6500.6012541497603</v>
      </c>
      <c r="F54" s="62"/>
      <c r="G54" s="60"/>
      <c r="H54" s="62"/>
      <c r="I54" s="60"/>
      <c r="J54" s="62"/>
      <c r="K54" s="60"/>
      <c r="L54" s="124"/>
      <c r="M54" s="125"/>
    </row>
    <row r="55" spans="1:14" x14ac:dyDescent="0.2">
      <c r="A55" s="111">
        <f t="shared" si="24"/>
        <v>2020</v>
      </c>
      <c r="B55" s="62">
        <f t="shared" si="20"/>
        <v>2492</v>
      </c>
      <c r="C55" s="60">
        <f t="shared" si="21"/>
        <v>277</v>
      </c>
      <c r="D55" s="62">
        <f t="shared" si="23"/>
        <v>59762.101841820149</v>
      </c>
      <c r="E55" s="60">
        <f t="shared" si="22"/>
        <v>6642.898158179848</v>
      </c>
      <c r="F55" s="62"/>
      <c r="G55" s="60"/>
      <c r="H55" s="62"/>
      <c r="I55" s="60"/>
      <c r="J55" s="62"/>
      <c r="K55" s="60"/>
      <c r="L55" s="124"/>
      <c r="M55" s="125"/>
      <c r="N55" s="80"/>
    </row>
    <row r="56" spans="1:14" x14ac:dyDescent="0.2">
      <c r="A56" s="111">
        <f t="shared" si="24"/>
        <v>2021</v>
      </c>
      <c r="B56" s="62">
        <f t="shared" si="20"/>
        <v>2544</v>
      </c>
      <c r="C56" s="60">
        <f t="shared" si="21"/>
        <v>283</v>
      </c>
      <c r="D56" s="62">
        <f t="shared" si="23"/>
        <v>61021.804032543332</v>
      </c>
      <c r="E56" s="60">
        <f t="shared" si="22"/>
        <v>6788.1959674566679</v>
      </c>
      <c r="F56" s="62"/>
      <c r="G56" s="60"/>
      <c r="H56" s="62"/>
      <c r="I56" s="60"/>
      <c r="J56" s="62"/>
      <c r="K56" s="60"/>
      <c r="L56" s="124"/>
      <c r="M56" s="125"/>
      <c r="N56" s="80"/>
    </row>
    <row r="57" spans="1:14" x14ac:dyDescent="0.2">
      <c r="A57" s="111">
        <f t="shared" si="24"/>
        <v>2022</v>
      </c>
      <c r="B57" s="62">
        <f t="shared" si="20"/>
        <v>2598</v>
      </c>
      <c r="C57" s="60">
        <f t="shared" si="21"/>
        <v>289</v>
      </c>
      <c r="D57" s="62">
        <f t="shared" si="23"/>
        <v>62313.304468306196</v>
      </c>
      <c r="E57" s="60">
        <f t="shared" si="22"/>
        <v>6931.6955316938001</v>
      </c>
      <c r="F57" s="62">
        <f t="shared" ref="F57:G72" si="25">B57</f>
        <v>2598</v>
      </c>
      <c r="G57" s="60">
        <f t="shared" si="25"/>
        <v>289</v>
      </c>
      <c r="H57" s="62">
        <f t="shared" ref="H57:H76" si="26">K20</f>
        <v>48467.134333217866</v>
      </c>
      <c r="I57" s="60">
        <f t="shared" ref="I57:I76" si="27">J20</f>
        <v>5391.4556667821271</v>
      </c>
      <c r="J57" s="62">
        <f>D57-H57</f>
        <v>13846.17013508833</v>
      </c>
      <c r="K57" s="60">
        <f t="shared" ref="J57:K71" si="28">E57-I57</f>
        <v>1540.2398649116731</v>
      </c>
      <c r="L57" s="124">
        <f t="shared" ref="L57:L58" si="29">J57*$A$42+K57*$A$41</f>
        <v>266974.19931139599</v>
      </c>
      <c r="M57" s="126">
        <f>L57*NPV!C6</f>
        <v>203673.33839488571</v>
      </c>
      <c r="N57" s="80"/>
    </row>
    <row r="58" spans="1:14" x14ac:dyDescent="0.2">
      <c r="A58" s="111">
        <f t="shared" si="24"/>
        <v>2023</v>
      </c>
      <c r="B58" s="62">
        <f t="shared" si="20"/>
        <v>2653</v>
      </c>
      <c r="C58" s="60">
        <f t="shared" si="21"/>
        <v>295</v>
      </c>
      <c r="D58" s="62">
        <f t="shared" si="23"/>
        <v>63634.202849389418</v>
      </c>
      <c r="E58" s="60">
        <f t="shared" si="22"/>
        <v>7075.7971506105832</v>
      </c>
      <c r="F58" s="62">
        <f t="shared" si="25"/>
        <v>2653</v>
      </c>
      <c r="G58" s="60">
        <f t="shared" si="25"/>
        <v>295</v>
      </c>
      <c r="H58" s="62">
        <f t="shared" si="26"/>
        <v>49494.468792401633</v>
      </c>
      <c r="I58" s="60">
        <f t="shared" si="27"/>
        <v>5503.531207598372</v>
      </c>
      <c r="J58" s="62">
        <f t="shared" si="28"/>
        <v>14139.734056987785</v>
      </c>
      <c r="K58" s="60">
        <f t="shared" si="28"/>
        <v>1572.2659430122112</v>
      </c>
      <c r="L58" s="124">
        <f t="shared" si="29"/>
        <v>272616.52428765263</v>
      </c>
      <c r="M58" s="126">
        <f>L58*NPV!C7</f>
        <v>194371.81411597013</v>
      </c>
      <c r="N58" s="80"/>
    </row>
    <row r="59" spans="1:14" x14ac:dyDescent="0.2">
      <c r="A59" s="111">
        <f t="shared" si="24"/>
        <v>2024</v>
      </c>
      <c r="B59" s="62">
        <f t="shared" si="20"/>
        <v>2709</v>
      </c>
      <c r="C59" s="60">
        <f t="shared" si="21"/>
        <v>301</v>
      </c>
      <c r="D59" s="62">
        <f t="shared" si="23"/>
        <v>64985.4</v>
      </c>
      <c r="E59" s="60">
        <f t="shared" si="22"/>
        <v>7220.6</v>
      </c>
      <c r="F59" s="62">
        <f t="shared" si="25"/>
        <v>2709</v>
      </c>
      <c r="G59" s="60">
        <f t="shared" si="25"/>
        <v>301</v>
      </c>
      <c r="H59" s="62">
        <f t="shared" si="26"/>
        <v>50544.9</v>
      </c>
      <c r="I59" s="60">
        <f t="shared" si="27"/>
        <v>5616.1</v>
      </c>
      <c r="J59" s="62">
        <f t="shared" si="28"/>
        <v>14440.5</v>
      </c>
      <c r="K59" s="60">
        <f t="shared" si="28"/>
        <v>1604.5</v>
      </c>
      <c r="L59" s="124">
        <f t="shared" ref="L59:L72" si="30">J59*$A$42+K59*$A$41</f>
        <v>278380.75</v>
      </c>
      <c r="M59" s="126">
        <f>L59*NPV!C8</f>
        <v>185496.84802270861</v>
      </c>
      <c r="N59" s="80"/>
    </row>
    <row r="60" spans="1:14" x14ac:dyDescent="0.2">
      <c r="A60" s="111">
        <f t="shared" si="24"/>
        <v>2025</v>
      </c>
      <c r="B60" s="62">
        <f t="shared" si="20"/>
        <v>2767</v>
      </c>
      <c r="C60" s="60">
        <f t="shared" si="21"/>
        <v>307</v>
      </c>
      <c r="D60" s="62">
        <f t="shared" si="23"/>
        <v>66369.29440468445</v>
      </c>
      <c r="E60" s="60">
        <f t="shared" si="22"/>
        <v>7363.7055953155495</v>
      </c>
      <c r="F60" s="62">
        <f t="shared" si="25"/>
        <v>2767</v>
      </c>
      <c r="G60" s="60">
        <f t="shared" si="25"/>
        <v>307</v>
      </c>
      <c r="H60" s="62">
        <f t="shared" si="26"/>
        <v>51621.562459336375</v>
      </c>
      <c r="I60" s="60">
        <f t="shared" si="27"/>
        <v>5727.4375406636309</v>
      </c>
      <c r="J60" s="62">
        <f t="shared" si="28"/>
        <v>14747.731945348074</v>
      </c>
      <c r="K60" s="60">
        <f t="shared" si="28"/>
        <v>1636.2680546519186</v>
      </c>
      <c r="L60" s="124">
        <f t="shared" si="30"/>
        <v>284235.75068314886</v>
      </c>
      <c r="M60" s="126">
        <f>L60*NPV!C9</f>
        <v>177007.74037230393</v>
      </c>
      <c r="N60" s="80"/>
    </row>
    <row r="61" spans="1:14" x14ac:dyDescent="0.2">
      <c r="A61" s="111">
        <f t="shared" si="24"/>
        <v>2026</v>
      </c>
      <c r="B61" s="62">
        <f t="shared" si="20"/>
        <v>2825</v>
      </c>
      <c r="C61" s="60">
        <f t="shared" si="21"/>
        <v>314</v>
      </c>
      <c r="D61" s="62">
        <f t="shared" si="23"/>
        <v>67761.301369863009</v>
      </c>
      <c r="E61" s="60">
        <f t="shared" si="22"/>
        <v>7531.6986301369861</v>
      </c>
      <c r="F61" s="62">
        <f t="shared" si="25"/>
        <v>2825</v>
      </c>
      <c r="G61" s="60">
        <f t="shared" si="25"/>
        <v>314</v>
      </c>
      <c r="H61" s="62">
        <f t="shared" si="26"/>
        <v>52703.934374004457</v>
      </c>
      <c r="I61" s="60">
        <f t="shared" si="27"/>
        <v>5858.0656259955394</v>
      </c>
      <c r="J61" s="62">
        <f t="shared" si="28"/>
        <v>15057.366995858552</v>
      </c>
      <c r="K61" s="60">
        <f t="shared" si="28"/>
        <v>1673.6330041414467</v>
      </c>
      <c r="L61" s="124">
        <f t="shared" si="30"/>
        <v>290289.5125517681</v>
      </c>
      <c r="M61" s="126">
        <f>L61*NPV!C10</f>
        <v>168951.13926487602</v>
      </c>
      <c r="N61" s="80"/>
    </row>
    <row r="62" spans="1:14" x14ac:dyDescent="0.2">
      <c r="A62" s="111">
        <f t="shared" si="24"/>
        <v>2027</v>
      </c>
      <c r="B62" s="62">
        <f t="shared" si="20"/>
        <v>2884</v>
      </c>
      <c r="C62" s="60">
        <f t="shared" si="21"/>
        <v>321</v>
      </c>
      <c r="D62" s="62">
        <f t="shared" si="23"/>
        <v>69185.405304212167</v>
      </c>
      <c r="E62" s="60">
        <f t="shared" si="22"/>
        <v>7700.5946957878314</v>
      </c>
      <c r="F62" s="62">
        <f t="shared" si="25"/>
        <v>2884</v>
      </c>
      <c r="G62" s="60">
        <f t="shared" si="25"/>
        <v>321</v>
      </c>
      <c r="H62" s="62">
        <f t="shared" si="26"/>
        <v>53811.570670826834</v>
      </c>
      <c r="I62" s="60">
        <f t="shared" si="27"/>
        <v>5989.4293291731665</v>
      </c>
      <c r="J62" s="62">
        <f t="shared" si="28"/>
        <v>15373.834633385333</v>
      </c>
      <c r="K62" s="60">
        <f t="shared" si="28"/>
        <v>1711.1653666146649</v>
      </c>
      <c r="L62" s="124">
        <f t="shared" si="30"/>
        <v>296458.06708268332</v>
      </c>
      <c r="M62" s="126">
        <f>L62*NPV!C11</f>
        <v>161253.54594754637</v>
      </c>
      <c r="N62" s="80"/>
    </row>
    <row r="63" spans="1:14" x14ac:dyDescent="0.2">
      <c r="A63" s="111">
        <f t="shared" si="24"/>
        <v>2028</v>
      </c>
      <c r="B63" s="62">
        <f t="shared" si="20"/>
        <v>2946</v>
      </c>
      <c r="C63" s="60">
        <f t="shared" si="21"/>
        <v>327</v>
      </c>
      <c r="D63" s="62">
        <f t="shared" si="23"/>
        <v>70668.896425297891</v>
      </c>
      <c r="E63" s="60">
        <f t="shared" si="22"/>
        <v>7844.1035747021078</v>
      </c>
      <c r="F63" s="62">
        <f t="shared" si="25"/>
        <v>2946</v>
      </c>
      <c r="G63" s="60">
        <f t="shared" si="25"/>
        <v>327</v>
      </c>
      <c r="H63" s="62">
        <f t="shared" si="26"/>
        <v>54964.997250229142</v>
      </c>
      <c r="I63" s="60">
        <f t="shared" si="27"/>
        <v>6101.0027497708525</v>
      </c>
      <c r="J63" s="62">
        <f t="shared" si="28"/>
        <v>15703.899175068749</v>
      </c>
      <c r="K63" s="60">
        <f t="shared" si="28"/>
        <v>1743.1008249312554</v>
      </c>
      <c r="L63" s="124">
        <f t="shared" si="30"/>
        <v>302685.46031164081</v>
      </c>
      <c r="M63" s="126">
        <f>L63*NPV!C12</f>
        <v>153869.93948889381</v>
      </c>
      <c r="N63" s="80"/>
    </row>
    <row r="64" spans="1:14" x14ac:dyDescent="0.2">
      <c r="A64" s="111">
        <f t="shared" si="24"/>
        <v>2029</v>
      </c>
      <c r="B64" s="62">
        <f t="shared" si="20"/>
        <v>3008</v>
      </c>
      <c r="C64" s="60">
        <f t="shared" si="21"/>
        <v>334</v>
      </c>
      <c r="D64" s="62">
        <f t="shared" si="23"/>
        <v>72161.397965290249</v>
      </c>
      <c r="E64" s="60">
        <f t="shared" si="22"/>
        <v>8012.6020347097547</v>
      </c>
      <c r="F64" s="62">
        <f t="shared" si="25"/>
        <v>3008</v>
      </c>
      <c r="G64" s="60">
        <f t="shared" si="25"/>
        <v>334</v>
      </c>
      <c r="H64" s="62">
        <f t="shared" si="26"/>
        <v>56125.031717534417</v>
      </c>
      <c r="I64" s="60">
        <f t="shared" si="27"/>
        <v>6231.9682824655902</v>
      </c>
      <c r="J64" s="62">
        <f t="shared" si="28"/>
        <v>16036.366247755832</v>
      </c>
      <c r="K64" s="60">
        <f t="shared" si="28"/>
        <v>1780.6337522441645</v>
      </c>
      <c r="L64" s="124">
        <f t="shared" si="30"/>
        <v>309111.62190305203</v>
      </c>
      <c r="M64" s="126">
        <f>L64*NPV!C13</f>
        <v>146856.70484582338</v>
      </c>
      <c r="N64" s="80"/>
    </row>
    <row r="65" spans="1:14" x14ac:dyDescent="0.2">
      <c r="A65" s="111">
        <f t="shared" si="24"/>
        <v>2030</v>
      </c>
      <c r="B65" s="62">
        <f t="shared" si="20"/>
        <v>3072</v>
      </c>
      <c r="C65" s="60">
        <f t="shared" si="21"/>
        <v>341</v>
      </c>
      <c r="D65" s="62">
        <f t="shared" si="23"/>
        <v>73690.196308233222</v>
      </c>
      <c r="E65" s="60">
        <f t="shared" si="22"/>
        <v>8179.8036917667741</v>
      </c>
      <c r="F65" s="62">
        <f t="shared" si="25"/>
        <v>3072</v>
      </c>
      <c r="G65" s="60">
        <f t="shared" si="25"/>
        <v>341</v>
      </c>
      <c r="H65" s="62">
        <f t="shared" si="26"/>
        <v>57313.997070026366</v>
      </c>
      <c r="I65" s="60">
        <f t="shared" si="27"/>
        <v>6362.0029299736298</v>
      </c>
      <c r="J65" s="62">
        <f t="shared" si="28"/>
        <v>16376.199238206857</v>
      </c>
      <c r="K65" s="60">
        <f t="shared" si="28"/>
        <v>1817.8007617931444</v>
      </c>
      <c r="L65" s="124">
        <f t="shared" si="30"/>
        <v>315645.90952241432</v>
      </c>
      <c r="M65" s="126">
        <f>L65*NPV!C14</f>
        <v>140150.55871337105</v>
      </c>
      <c r="N65" s="80"/>
    </row>
    <row r="66" spans="1:14" x14ac:dyDescent="0.2">
      <c r="A66" s="111">
        <f t="shared" si="24"/>
        <v>2031</v>
      </c>
      <c r="B66" s="62">
        <f t="shared" si="20"/>
        <v>3136</v>
      </c>
      <c r="C66" s="60">
        <f t="shared" si="21"/>
        <v>349</v>
      </c>
      <c r="D66" s="62">
        <f t="shared" si="23"/>
        <v>75229.805451936874</v>
      </c>
      <c r="E66" s="60">
        <f t="shared" si="22"/>
        <v>8372.1945480631275</v>
      </c>
      <c r="F66" s="62">
        <f t="shared" si="25"/>
        <v>3136</v>
      </c>
      <c r="G66" s="60">
        <f t="shared" si="25"/>
        <v>349</v>
      </c>
      <c r="H66" s="62">
        <f t="shared" si="26"/>
        <v>58511.371018651364</v>
      </c>
      <c r="I66" s="60">
        <f t="shared" si="27"/>
        <v>6511.6289813486374</v>
      </c>
      <c r="J66" s="62">
        <f t="shared" si="28"/>
        <v>16718.434433285511</v>
      </c>
      <c r="K66" s="60">
        <f t="shared" si="28"/>
        <v>1860.5655667144902</v>
      </c>
      <c r="L66" s="124">
        <f t="shared" si="30"/>
        <v>322378.96958393115</v>
      </c>
      <c r="M66" s="126">
        <f>L66*NPV!C15</f>
        <v>133775.81112427165</v>
      </c>
      <c r="N66" s="80"/>
    </row>
    <row r="67" spans="1:14" x14ac:dyDescent="0.2">
      <c r="A67" s="111">
        <f t="shared" si="24"/>
        <v>2032</v>
      </c>
      <c r="B67" s="62">
        <f t="shared" si="20"/>
        <v>3203</v>
      </c>
      <c r="C67" s="60">
        <f t="shared" si="21"/>
        <v>356</v>
      </c>
      <c r="D67" s="62">
        <f t="shared" si="23"/>
        <v>76831.501264400111</v>
      </c>
      <c r="E67" s="60">
        <f t="shared" si="22"/>
        <v>8539.4987355998874</v>
      </c>
      <c r="F67" s="62">
        <f t="shared" si="25"/>
        <v>3203</v>
      </c>
      <c r="G67" s="60">
        <f t="shared" si="25"/>
        <v>356</v>
      </c>
      <c r="H67" s="62">
        <f t="shared" si="26"/>
        <v>59757.234335487497</v>
      </c>
      <c r="I67" s="60">
        <f t="shared" si="27"/>
        <v>6641.7656645125035</v>
      </c>
      <c r="J67" s="62">
        <f t="shared" si="28"/>
        <v>17074.266928912613</v>
      </c>
      <c r="K67" s="60">
        <f t="shared" si="28"/>
        <v>1897.7330710873839</v>
      </c>
      <c r="L67" s="124">
        <f t="shared" si="30"/>
        <v>329170.86338859226</v>
      </c>
      <c r="M67" s="126">
        <f>L67*NPV!C16</f>
        <v>127658.13606265461</v>
      </c>
      <c r="N67" s="80"/>
    </row>
    <row r="68" spans="1:14" x14ac:dyDescent="0.2">
      <c r="A68" s="111">
        <f t="shared" si="24"/>
        <v>2033</v>
      </c>
      <c r="B68" s="62">
        <f t="shared" si="20"/>
        <v>3271</v>
      </c>
      <c r="C68" s="60">
        <f t="shared" si="21"/>
        <v>363</v>
      </c>
      <c r="D68" s="62">
        <f t="shared" si="23"/>
        <v>78468.895707209682</v>
      </c>
      <c r="E68" s="60">
        <f t="shared" si="22"/>
        <v>8708.1042927903145</v>
      </c>
      <c r="F68" s="62">
        <f t="shared" si="25"/>
        <v>3271</v>
      </c>
      <c r="G68" s="60">
        <f t="shared" si="25"/>
        <v>363</v>
      </c>
      <c r="H68" s="62">
        <f t="shared" si="26"/>
        <v>61030.163181067692</v>
      </c>
      <c r="I68" s="60">
        <f t="shared" si="27"/>
        <v>6772.8368189323064</v>
      </c>
      <c r="J68" s="62">
        <f t="shared" si="28"/>
        <v>17438.73252614199</v>
      </c>
      <c r="K68" s="60">
        <f t="shared" si="28"/>
        <v>1935.2674738580081</v>
      </c>
      <c r="L68" s="124">
        <f t="shared" si="30"/>
        <v>336112.24342322513</v>
      </c>
      <c r="M68" s="126">
        <f>L68*NPV!C17</f>
        <v>121822.54478181183</v>
      </c>
      <c r="N68" s="80"/>
    </row>
    <row r="69" spans="1:14" x14ac:dyDescent="0.2">
      <c r="A69" s="111">
        <f t="shared" si="24"/>
        <v>2034</v>
      </c>
      <c r="B69" s="62">
        <f t="shared" si="20"/>
        <v>3340</v>
      </c>
      <c r="C69" s="60">
        <f t="shared" si="21"/>
        <v>371</v>
      </c>
      <c r="D69" s="62">
        <f t="shared" si="23"/>
        <v>80121.298841282682</v>
      </c>
      <c r="E69" s="60">
        <f t="shared" si="22"/>
        <v>8899.7011587173274</v>
      </c>
      <c r="F69" s="62">
        <f t="shared" si="25"/>
        <v>3340</v>
      </c>
      <c r="G69" s="60">
        <f t="shared" si="25"/>
        <v>371</v>
      </c>
      <c r="H69" s="62">
        <f t="shared" si="26"/>
        <v>62315.16572352466</v>
      </c>
      <c r="I69" s="60">
        <f t="shared" si="27"/>
        <v>6921.8342764753434</v>
      </c>
      <c r="J69" s="62">
        <f t="shared" si="28"/>
        <v>17806.133117758021</v>
      </c>
      <c r="K69" s="60">
        <f t="shared" si="28"/>
        <v>1977.8668822419841</v>
      </c>
      <c r="L69" s="124">
        <f t="shared" si="30"/>
        <v>343245.73602802493</v>
      </c>
      <c r="M69" s="126">
        <f>L69*NPV!C18</f>
        <v>116269.20633885023</v>
      </c>
      <c r="N69" s="80"/>
    </row>
    <row r="70" spans="1:14" x14ac:dyDescent="0.2">
      <c r="A70" s="111">
        <f t="shared" si="24"/>
        <v>2035</v>
      </c>
      <c r="B70" s="62">
        <f t="shared" si="20"/>
        <v>3411</v>
      </c>
      <c r="C70" s="60">
        <f t="shared" si="21"/>
        <v>379</v>
      </c>
      <c r="D70" s="62">
        <f t="shared" si="23"/>
        <v>81814.5</v>
      </c>
      <c r="E70" s="60">
        <f t="shared" si="22"/>
        <v>9090.5</v>
      </c>
      <c r="F70" s="62">
        <f t="shared" si="25"/>
        <v>3411</v>
      </c>
      <c r="G70" s="60">
        <f t="shared" si="25"/>
        <v>379</v>
      </c>
      <c r="H70" s="62">
        <f t="shared" si="26"/>
        <v>63631.8</v>
      </c>
      <c r="I70" s="60">
        <f t="shared" si="27"/>
        <v>7070.2000000000007</v>
      </c>
      <c r="J70" s="62">
        <f t="shared" si="28"/>
        <v>18182.699999999997</v>
      </c>
      <c r="K70" s="60">
        <f t="shared" si="28"/>
        <v>2020.2999999999993</v>
      </c>
      <c r="L70" s="124">
        <f t="shared" si="30"/>
        <v>350522.04999999993</v>
      </c>
      <c r="M70" s="126">
        <f>L70*NPV!C19</f>
        <v>110966.30432298033</v>
      </c>
      <c r="N70" s="80"/>
    </row>
    <row r="71" spans="1:14" x14ac:dyDescent="0.2">
      <c r="A71" s="111">
        <f t="shared" si="24"/>
        <v>2036</v>
      </c>
      <c r="B71" s="62">
        <f t="shared" si="20"/>
        <v>3483</v>
      </c>
      <c r="C71" s="60">
        <f t="shared" si="21"/>
        <v>387</v>
      </c>
      <c r="D71" s="62">
        <f t="shared" si="23"/>
        <v>83545.2</v>
      </c>
      <c r="E71" s="60">
        <f t="shared" si="22"/>
        <v>9282.8000000000011</v>
      </c>
      <c r="F71" s="62">
        <f t="shared" si="25"/>
        <v>3483</v>
      </c>
      <c r="G71" s="60">
        <f t="shared" si="25"/>
        <v>387</v>
      </c>
      <c r="H71" s="62">
        <f t="shared" si="26"/>
        <v>64977.3</v>
      </c>
      <c r="I71" s="60">
        <f t="shared" si="27"/>
        <v>7219.7000000000007</v>
      </c>
      <c r="J71" s="62">
        <f t="shared" si="28"/>
        <v>18567.899999999994</v>
      </c>
      <c r="K71" s="60">
        <f t="shared" si="28"/>
        <v>2063.1000000000004</v>
      </c>
      <c r="L71" s="124">
        <f t="shared" si="30"/>
        <v>357947.85</v>
      </c>
      <c r="M71" s="126">
        <f>L71*NPV!C20</f>
        <v>105903.852739896</v>
      </c>
      <c r="N71" s="80"/>
    </row>
    <row r="72" spans="1:14" x14ac:dyDescent="0.2">
      <c r="A72" s="111">
        <f t="shared" si="24"/>
        <v>2037</v>
      </c>
      <c r="B72" s="62">
        <f t="shared" si="20"/>
        <v>3557</v>
      </c>
      <c r="C72" s="60">
        <f t="shared" si="21"/>
        <v>395</v>
      </c>
      <c r="D72" s="62">
        <f t="shared" si="23"/>
        <v>85317.597165991901</v>
      </c>
      <c r="E72" s="60">
        <f t="shared" si="22"/>
        <v>9474.4028340080986</v>
      </c>
      <c r="F72" s="62">
        <f t="shared" si="25"/>
        <v>3557</v>
      </c>
      <c r="G72" s="60">
        <f t="shared" si="25"/>
        <v>395</v>
      </c>
      <c r="H72" s="62">
        <f t="shared" si="26"/>
        <v>66355.330971659918</v>
      </c>
      <c r="I72" s="60">
        <f t="shared" si="27"/>
        <v>7368.6690283400812</v>
      </c>
      <c r="J72" s="62">
        <f>D72-H72</f>
        <v>18962.266194331984</v>
      </c>
      <c r="K72" s="60">
        <f t="shared" ref="K72" si="31">E72-I72</f>
        <v>2105.7338056680173</v>
      </c>
      <c r="L72" s="124">
        <f t="shared" si="30"/>
        <v>365516.47257085022</v>
      </c>
      <c r="M72" s="126">
        <f>L72*NPV!C21</f>
        <v>101068.35051856803</v>
      </c>
      <c r="N72" s="80"/>
    </row>
    <row r="73" spans="1:14" x14ac:dyDescent="0.2">
      <c r="A73" s="111">
        <f t="shared" si="24"/>
        <v>2038</v>
      </c>
      <c r="B73" s="62">
        <f t="shared" si="20"/>
        <v>3631</v>
      </c>
      <c r="C73" s="60">
        <f t="shared" si="21"/>
        <v>404</v>
      </c>
      <c r="D73" s="62">
        <f t="shared" si="23"/>
        <v>87105.305328376708</v>
      </c>
      <c r="E73" s="60">
        <f t="shared" si="22"/>
        <v>9691.694671623296</v>
      </c>
      <c r="F73" s="62">
        <f t="shared" ref="F73:F75" si="32">B73</f>
        <v>3631</v>
      </c>
      <c r="G73" s="60">
        <f t="shared" ref="G73:G75" si="33">C73</f>
        <v>404</v>
      </c>
      <c r="H73" s="62">
        <f t="shared" si="26"/>
        <v>67746.271127633212</v>
      </c>
      <c r="I73" s="60">
        <f t="shared" si="27"/>
        <v>7537.7288723667907</v>
      </c>
      <c r="J73" s="62">
        <f t="shared" ref="J73:J75" si="34">D73-H73</f>
        <v>19359.034200743496</v>
      </c>
      <c r="K73" s="60">
        <f t="shared" ref="K73:K74" si="35">E73-I73</f>
        <v>2153.9657992565053</v>
      </c>
      <c r="L73" s="124">
        <f t="shared" ref="L73:L75" si="36">J73*$A$42+K73*$A$41</f>
        <v>373283.87249070639</v>
      </c>
      <c r="M73" s="126">
        <f>L73*NPV!C22</f>
        <v>96463.646095547665</v>
      </c>
      <c r="N73" s="80"/>
    </row>
    <row r="74" spans="1:14" x14ac:dyDescent="0.2">
      <c r="A74" s="111">
        <f t="shared" si="24"/>
        <v>2039</v>
      </c>
      <c r="B74" s="62">
        <f t="shared" si="20"/>
        <v>3709</v>
      </c>
      <c r="C74" s="60">
        <f t="shared" si="21"/>
        <v>412</v>
      </c>
      <c r="D74" s="62">
        <f t="shared" si="23"/>
        <v>88963.015571463242</v>
      </c>
      <c r="E74" s="60">
        <f t="shared" si="22"/>
        <v>9882.1144285367627</v>
      </c>
      <c r="F74" s="62">
        <f t="shared" si="32"/>
        <v>3709</v>
      </c>
      <c r="G74" s="60">
        <f t="shared" si="33"/>
        <v>412</v>
      </c>
      <c r="H74" s="62">
        <f t="shared" si="26"/>
        <v>69190.265469546226</v>
      </c>
      <c r="I74" s="60">
        <f t="shared" si="27"/>
        <v>7685.734530453773</v>
      </c>
      <c r="J74" s="62">
        <f t="shared" si="34"/>
        <v>19772.750101917016</v>
      </c>
      <c r="K74" s="60">
        <f t="shared" si="35"/>
        <v>2196.3798980829897</v>
      </c>
      <c r="L74" s="124">
        <f t="shared" si="36"/>
        <v>381157.74172603746</v>
      </c>
      <c r="M74" s="126">
        <f>L74*NPV!C23</f>
        <v>92054.582739839927</v>
      </c>
      <c r="N74" s="80"/>
    </row>
    <row r="75" spans="1:14" x14ac:dyDescent="0.2">
      <c r="A75" s="111">
        <f>A74+1</f>
        <v>2040</v>
      </c>
      <c r="B75" s="62">
        <f t="shared" si="20"/>
        <v>3787</v>
      </c>
      <c r="C75" s="60">
        <f t="shared" si="21"/>
        <v>421</v>
      </c>
      <c r="D75" s="62">
        <f t="shared" si="23"/>
        <v>685517.01630228141</v>
      </c>
      <c r="E75" s="60">
        <f t="shared" si="22"/>
        <v>76208.783697718638</v>
      </c>
      <c r="F75" s="62">
        <f t="shared" si="32"/>
        <v>3787</v>
      </c>
      <c r="G75" s="60">
        <f t="shared" si="33"/>
        <v>421</v>
      </c>
      <c r="H75" s="62">
        <f t="shared" si="26"/>
        <v>70648.068916349803</v>
      </c>
      <c r="I75" s="60">
        <f t="shared" si="27"/>
        <v>7853.93108365019</v>
      </c>
      <c r="J75" s="62">
        <f t="shared" si="34"/>
        <v>614868.94738593162</v>
      </c>
      <c r="K75" s="60">
        <f>E75-I75</f>
        <v>68354.852614068455</v>
      </c>
      <c r="L75" s="124">
        <f t="shared" si="36"/>
        <v>11854338.837675858</v>
      </c>
      <c r="M75" s="126">
        <f>L75*NPV!C24</f>
        <v>2675680.3401606348</v>
      </c>
      <c r="N75" s="80"/>
    </row>
    <row r="76" spans="1:14" ht="13.5" thickBot="1" x14ac:dyDescent="0.25">
      <c r="A76" s="111">
        <f t="shared" ref="A76" si="37">A75+1</f>
        <v>2041</v>
      </c>
      <c r="B76" s="62">
        <f t="shared" si="20"/>
        <v>3867</v>
      </c>
      <c r="C76" s="60">
        <f t="shared" si="21"/>
        <v>430</v>
      </c>
      <c r="D76" s="62">
        <f t="shared" si="23"/>
        <v>700163.14168024203</v>
      </c>
      <c r="E76" s="60">
        <f t="shared" si="22"/>
        <v>77856.258319757981</v>
      </c>
      <c r="F76" s="62">
        <f t="shared" ref="F76" si="38">B76</f>
        <v>3867</v>
      </c>
      <c r="G76" s="60">
        <f t="shared" ref="G76" si="39">C76</f>
        <v>430</v>
      </c>
      <c r="H76" s="62">
        <f t="shared" si="26"/>
        <v>72141.03133348847</v>
      </c>
      <c r="I76" s="60">
        <f t="shared" si="27"/>
        <v>8021.8886665115197</v>
      </c>
      <c r="J76" s="62">
        <f t="shared" ref="J76" si="40">D76-H76</f>
        <v>628022.11034675362</v>
      </c>
      <c r="K76" s="60">
        <f t="shared" ref="K76" si="41">E76-I76</f>
        <v>69834.369653246467</v>
      </c>
      <c r="L76" s="128">
        <f>J76*$A$42+K76*$A$41</f>
        <v>12108418.948665584</v>
      </c>
      <c r="M76" s="129">
        <f>L76*NPV!C25</f>
        <v>2554233.2394591146</v>
      </c>
      <c r="N76" s="80"/>
    </row>
    <row r="77" spans="1:14" ht="13.5" thickTop="1" x14ac:dyDescent="0.2">
      <c r="A77" s="76"/>
      <c r="B77" s="75"/>
      <c r="C77" s="75"/>
      <c r="D77" s="75"/>
      <c r="E77" s="75"/>
      <c r="F77" s="63"/>
      <c r="G77" s="63"/>
      <c r="H77" s="63"/>
      <c r="I77" s="121"/>
      <c r="J77" s="323" t="s">
        <v>0</v>
      </c>
      <c r="K77" s="323"/>
      <c r="L77" s="122">
        <f>SUM(L52:L76)</f>
        <v>29738491.381206565</v>
      </c>
      <c r="M77" s="127">
        <f>SUM(M52:M76)</f>
        <v>7767527.6435105484</v>
      </c>
      <c r="N77" s="80"/>
    </row>
    <row r="78" spans="1:14" ht="12.75" customHeight="1" x14ac:dyDescent="0.2">
      <c r="A78" s="76"/>
      <c r="B78" s="76"/>
      <c r="C78" s="76"/>
      <c r="D78" s="76"/>
      <c r="E78" s="76"/>
      <c r="F78" s="76"/>
      <c r="G78" s="76"/>
      <c r="H78" s="76"/>
      <c r="I78" s="77"/>
      <c r="J78" s="77"/>
      <c r="K78" s="77"/>
      <c r="L78" s="78"/>
      <c r="M78" s="78"/>
      <c r="N78" s="80"/>
    </row>
    <row r="79" spans="1:14" ht="18" x14ac:dyDescent="0.25">
      <c r="A79" s="79" t="s">
        <v>191</v>
      </c>
      <c r="M79" s="51"/>
      <c r="N79" s="80"/>
    </row>
    <row r="80" spans="1:14" x14ac:dyDescent="0.2">
      <c r="A80" s="57"/>
      <c r="M80" s="51"/>
    </row>
    <row r="81" spans="1:13" ht="13.15" customHeight="1" x14ac:dyDescent="0.2">
      <c r="A81" s="324" t="s">
        <v>1</v>
      </c>
      <c r="B81" s="325" t="s">
        <v>116</v>
      </c>
      <c r="C81" s="326"/>
      <c r="D81" s="326"/>
      <c r="E81" s="327"/>
      <c r="F81" s="325" t="s">
        <v>50</v>
      </c>
      <c r="G81" s="326"/>
      <c r="H81" s="326"/>
      <c r="I81" s="327"/>
      <c r="J81" s="318" t="s">
        <v>143</v>
      </c>
      <c r="K81" s="319"/>
      <c r="L81" s="316" t="s">
        <v>121</v>
      </c>
      <c r="M81" s="316" t="s">
        <v>123</v>
      </c>
    </row>
    <row r="82" spans="1:13" ht="26.45" customHeight="1" x14ac:dyDescent="0.2">
      <c r="A82" s="324"/>
      <c r="B82" s="313" t="s">
        <v>60</v>
      </c>
      <c r="C82" s="315"/>
      <c r="D82" s="313" t="s">
        <v>119</v>
      </c>
      <c r="E82" s="315"/>
      <c r="F82" s="313" t="s">
        <v>60</v>
      </c>
      <c r="G82" s="315"/>
      <c r="H82" s="313" t="s">
        <v>119</v>
      </c>
      <c r="I82" s="315"/>
      <c r="J82" s="320"/>
      <c r="K82" s="321"/>
      <c r="L82" s="317"/>
      <c r="M82" s="317"/>
    </row>
    <row r="83" spans="1:13" ht="25.5" x14ac:dyDescent="0.2">
      <c r="A83" s="324"/>
      <c r="B83" s="105" t="s">
        <v>42</v>
      </c>
      <c r="C83" s="105" t="s">
        <v>43</v>
      </c>
      <c r="D83" s="105" t="s">
        <v>42</v>
      </c>
      <c r="E83" s="105" t="s">
        <v>43</v>
      </c>
      <c r="F83" s="105" t="s">
        <v>42</v>
      </c>
      <c r="G83" s="107" t="s">
        <v>43</v>
      </c>
      <c r="H83" s="105" t="s">
        <v>42</v>
      </c>
      <c r="I83" s="105" t="s">
        <v>43</v>
      </c>
      <c r="J83" s="123" t="s">
        <v>42</v>
      </c>
      <c r="K83" s="123" t="s">
        <v>43</v>
      </c>
      <c r="L83" s="317"/>
      <c r="M83" s="317"/>
    </row>
    <row r="84" spans="1:13" x14ac:dyDescent="0.2">
      <c r="A84" s="111">
        <f>A52</f>
        <v>2017</v>
      </c>
      <c r="B84" s="62">
        <f>B52</f>
        <v>2340</v>
      </c>
      <c r="C84" s="60">
        <f>C52</f>
        <v>260</v>
      </c>
      <c r="D84" s="62">
        <f t="shared" ref="D84:D108" si="42">O15</f>
        <v>1964429.9999999995</v>
      </c>
      <c r="E84" s="60">
        <f t="shared" ref="E84:E108" si="43">N15</f>
        <v>218269.99999999997</v>
      </c>
      <c r="F84" s="62"/>
      <c r="G84" s="60"/>
      <c r="H84" s="62"/>
      <c r="I84" s="60"/>
      <c r="J84" s="62"/>
      <c r="K84" s="60"/>
      <c r="L84" s="124"/>
      <c r="M84" s="125"/>
    </row>
    <row r="85" spans="1:13" x14ac:dyDescent="0.2">
      <c r="A85" s="111">
        <f>A84+1</f>
        <v>2018</v>
      </c>
      <c r="B85" s="62">
        <f t="shared" ref="B85:C108" si="44">B53</f>
        <v>2389</v>
      </c>
      <c r="C85" s="60">
        <f t="shared" si="44"/>
        <v>266</v>
      </c>
      <c r="D85" s="62">
        <f t="shared" si="42"/>
        <v>2005570.4489642184</v>
      </c>
      <c r="E85" s="60">
        <f t="shared" si="43"/>
        <v>223307.55103578154</v>
      </c>
      <c r="F85" s="62"/>
      <c r="G85" s="60"/>
      <c r="H85" s="62"/>
      <c r="I85" s="60"/>
      <c r="J85" s="62"/>
      <c r="K85" s="60"/>
      <c r="L85" s="124"/>
      <c r="M85" s="125"/>
    </row>
    <row r="86" spans="1:13" x14ac:dyDescent="0.2">
      <c r="A86" s="111">
        <f t="shared" ref="A86:A108" si="45">A85+1</f>
        <v>2019</v>
      </c>
      <c r="B86" s="62">
        <f t="shared" si="44"/>
        <v>2440</v>
      </c>
      <c r="C86" s="60">
        <f t="shared" si="44"/>
        <v>271</v>
      </c>
      <c r="D86" s="62">
        <f t="shared" si="42"/>
        <v>2048513.6554776835</v>
      </c>
      <c r="E86" s="60">
        <f t="shared" si="43"/>
        <v>227519.34452231647</v>
      </c>
      <c r="F86" s="62"/>
      <c r="G86" s="60"/>
      <c r="H86" s="62"/>
      <c r="I86" s="60"/>
      <c r="J86" s="62"/>
      <c r="K86" s="60"/>
      <c r="L86" s="124"/>
      <c r="M86" s="125"/>
    </row>
    <row r="87" spans="1:13" x14ac:dyDescent="0.2">
      <c r="A87" s="111">
        <f t="shared" si="45"/>
        <v>2020</v>
      </c>
      <c r="B87" s="62">
        <f t="shared" si="44"/>
        <v>2492</v>
      </c>
      <c r="C87" s="60">
        <f t="shared" si="44"/>
        <v>277</v>
      </c>
      <c r="D87" s="62">
        <f t="shared" si="42"/>
        <v>2091682.564102564</v>
      </c>
      <c r="E87" s="60">
        <f t="shared" si="43"/>
        <v>232502.43589743591</v>
      </c>
      <c r="F87" s="62"/>
      <c r="G87" s="60"/>
      <c r="H87" s="62"/>
      <c r="I87" s="60"/>
      <c r="J87" s="62"/>
      <c r="K87" s="60"/>
      <c r="L87" s="124"/>
      <c r="M87" s="125"/>
    </row>
    <row r="88" spans="1:13" x14ac:dyDescent="0.2">
      <c r="A88" s="111">
        <f t="shared" si="45"/>
        <v>2021</v>
      </c>
      <c r="B88" s="62">
        <f t="shared" si="44"/>
        <v>2544</v>
      </c>
      <c r="C88" s="60">
        <f t="shared" si="44"/>
        <v>283</v>
      </c>
      <c r="D88" s="62">
        <f t="shared" si="42"/>
        <v>2135769.4403961794</v>
      </c>
      <c r="E88" s="60">
        <f t="shared" si="43"/>
        <v>237587.55960382032</v>
      </c>
      <c r="F88" s="62"/>
      <c r="G88" s="60"/>
      <c r="H88" s="62"/>
      <c r="I88" s="60"/>
      <c r="J88" s="62"/>
      <c r="K88" s="60"/>
      <c r="L88" s="124"/>
      <c r="M88" s="125"/>
    </row>
    <row r="89" spans="1:13" x14ac:dyDescent="0.2">
      <c r="A89" s="111">
        <f t="shared" si="45"/>
        <v>2022</v>
      </c>
      <c r="B89" s="62">
        <f t="shared" si="44"/>
        <v>2598</v>
      </c>
      <c r="C89" s="60">
        <f t="shared" si="44"/>
        <v>289</v>
      </c>
      <c r="D89" s="62">
        <f t="shared" si="42"/>
        <v>2180959.3571181158</v>
      </c>
      <c r="E89" s="60">
        <f t="shared" si="43"/>
        <v>242608.64288188433</v>
      </c>
      <c r="F89" s="62">
        <f t="shared" ref="F89:F108" si="46">B89</f>
        <v>2598</v>
      </c>
      <c r="G89" s="60">
        <f t="shared" ref="G89:G108" si="47">C89</f>
        <v>289</v>
      </c>
      <c r="H89" s="62">
        <f>Q20</f>
        <v>2181021</v>
      </c>
      <c r="I89" s="60">
        <f t="shared" ref="I89:I108" si="48">P20</f>
        <v>242615.5</v>
      </c>
      <c r="J89" s="62">
        <f>D89-H89</f>
        <v>-61.642881884239614</v>
      </c>
      <c r="K89" s="60">
        <f>E89-I89</f>
        <v>-6.8571181156730745</v>
      </c>
      <c r="L89" s="124">
        <f t="shared" ref="L89:L104" si="49">J89*$A$45+K89*$A$44</f>
        <v>-30.212130238959219</v>
      </c>
      <c r="M89" s="125">
        <f>L89*NPV!C7</f>
        <v>-21.540831313138543</v>
      </c>
    </row>
    <row r="90" spans="1:13" x14ac:dyDescent="0.2">
      <c r="A90" s="111">
        <f t="shared" si="45"/>
        <v>2023</v>
      </c>
      <c r="B90" s="62">
        <f t="shared" si="44"/>
        <v>2653</v>
      </c>
      <c r="C90" s="60">
        <f t="shared" si="44"/>
        <v>295</v>
      </c>
      <c r="D90" s="62">
        <f t="shared" si="42"/>
        <v>2227189.9002713705</v>
      </c>
      <c r="E90" s="60">
        <f t="shared" si="43"/>
        <v>247652.09972862958</v>
      </c>
      <c r="F90" s="62">
        <f t="shared" si="46"/>
        <v>2653</v>
      </c>
      <c r="G90" s="60">
        <f t="shared" si="47"/>
        <v>295</v>
      </c>
      <c r="H90" s="62">
        <f t="shared" ref="H90:H108" si="50">Q21</f>
        <v>2472976.6713025779</v>
      </c>
      <c r="I90" s="60">
        <f t="shared" si="48"/>
        <v>274982.328697422</v>
      </c>
      <c r="J90" s="62">
        <f t="shared" ref="J90:K104" si="51">D90-H90</f>
        <v>-245786.77103120741</v>
      </c>
      <c r="K90" s="60">
        <f t="shared" si="51"/>
        <v>-27330.22896879242</v>
      </c>
      <c r="L90" s="124">
        <f t="shared" si="49"/>
        <v>-120454.04677408407</v>
      </c>
      <c r="M90" s="125">
        <f>L90*NPV!C8</f>
        <v>-80263.617395141395</v>
      </c>
    </row>
    <row r="91" spans="1:13" x14ac:dyDescent="0.2">
      <c r="A91" s="111">
        <f t="shared" si="45"/>
        <v>2024</v>
      </c>
      <c r="B91" s="62">
        <f t="shared" si="44"/>
        <v>2709</v>
      </c>
      <c r="C91" s="60">
        <f t="shared" si="44"/>
        <v>301</v>
      </c>
      <c r="D91" s="62">
        <f t="shared" si="42"/>
        <v>2274480.9</v>
      </c>
      <c r="E91" s="60">
        <f t="shared" si="43"/>
        <v>252720.1</v>
      </c>
      <c r="F91" s="62">
        <f t="shared" si="46"/>
        <v>2709</v>
      </c>
      <c r="G91" s="60">
        <f t="shared" si="47"/>
        <v>301</v>
      </c>
      <c r="H91" s="62">
        <f t="shared" si="50"/>
        <v>2525475.6</v>
      </c>
      <c r="I91" s="60">
        <f t="shared" si="48"/>
        <v>280608.40000000002</v>
      </c>
      <c r="J91" s="62">
        <f t="shared" si="51"/>
        <v>-250994.70000000019</v>
      </c>
      <c r="K91" s="60">
        <f t="shared" si="51"/>
        <v>-27888.300000000017</v>
      </c>
      <c r="L91" s="124">
        <f t="shared" si="49"/>
        <v>-122987.40300000009</v>
      </c>
      <c r="M91" s="125">
        <f>L91*NPV!C9</f>
        <v>-76590.373473306245</v>
      </c>
    </row>
    <row r="92" spans="1:13" x14ac:dyDescent="0.2">
      <c r="A92" s="111">
        <f t="shared" si="45"/>
        <v>2025</v>
      </c>
      <c r="B92" s="62">
        <f t="shared" si="44"/>
        <v>2767</v>
      </c>
      <c r="C92" s="60">
        <f t="shared" si="44"/>
        <v>307</v>
      </c>
      <c r="D92" s="62">
        <f t="shared" si="42"/>
        <v>2322936.1057254393</v>
      </c>
      <c r="E92" s="60">
        <f t="shared" si="43"/>
        <v>257730.89427456082</v>
      </c>
      <c r="F92" s="62">
        <f t="shared" si="46"/>
        <v>2767</v>
      </c>
      <c r="G92" s="60">
        <f t="shared" si="47"/>
        <v>307</v>
      </c>
      <c r="H92" s="62">
        <f t="shared" si="50"/>
        <v>2579267.961288224</v>
      </c>
      <c r="I92" s="60">
        <f t="shared" si="48"/>
        <v>286171.0387117762</v>
      </c>
      <c r="J92" s="62">
        <f t="shared" si="51"/>
        <v>-256331.85556278471</v>
      </c>
      <c r="K92" s="60">
        <f t="shared" si="51"/>
        <v>-28440.144437215378</v>
      </c>
      <c r="L92" s="124">
        <f t="shared" si="49"/>
        <v>-125565.55366297989</v>
      </c>
      <c r="M92" s="125">
        <f>L92*NPV!C10</f>
        <v>-73080.295451604208</v>
      </c>
    </row>
    <row r="93" spans="1:13" x14ac:dyDescent="0.2">
      <c r="A93" s="111">
        <f t="shared" si="45"/>
        <v>2026</v>
      </c>
      <c r="B93" s="62">
        <f t="shared" si="44"/>
        <v>2825</v>
      </c>
      <c r="C93" s="60">
        <f t="shared" si="44"/>
        <v>314</v>
      </c>
      <c r="D93" s="62">
        <f t="shared" si="42"/>
        <v>2371653.6476584901</v>
      </c>
      <c r="E93" s="60">
        <f t="shared" si="43"/>
        <v>263610.35234151001</v>
      </c>
      <c r="F93" s="62">
        <f t="shared" si="46"/>
        <v>2825</v>
      </c>
      <c r="G93" s="60">
        <f t="shared" si="47"/>
        <v>314</v>
      </c>
      <c r="H93" s="62">
        <f t="shared" si="50"/>
        <v>2633350.8840395031</v>
      </c>
      <c r="I93" s="60">
        <f t="shared" si="48"/>
        <v>292698.11596049694</v>
      </c>
      <c r="J93" s="62">
        <f t="shared" si="51"/>
        <v>-261697.23638101295</v>
      </c>
      <c r="K93" s="60">
        <f t="shared" si="51"/>
        <v>-29087.763618986937</v>
      </c>
      <c r="L93" s="124">
        <f t="shared" si="49"/>
        <v>-128240.9094456833</v>
      </c>
      <c r="M93" s="125">
        <f>L93*NPV!C11</f>
        <v>-69754.557827185345</v>
      </c>
    </row>
    <row r="94" spans="1:13" x14ac:dyDescent="0.2">
      <c r="A94" s="111">
        <f t="shared" si="45"/>
        <v>2027</v>
      </c>
      <c r="B94" s="62">
        <f t="shared" si="44"/>
        <v>2884</v>
      </c>
      <c r="C94" s="60">
        <f t="shared" si="44"/>
        <v>321</v>
      </c>
      <c r="D94" s="62">
        <f t="shared" si="42"/>
        <v>2421495.4845553823</v>
      </c>
      <c r="E94" s="60">
        <f t="shared" si="43"/>
        <v>269521.51544461778</v>
      </c>
      <c r="F94" s="62">
        <f t="shared" si="46"/>
        <v>2884</v>
      </c>
      <c r="G94" s="60">
        <f t="shared" si="47"/>
        <v>321</v>
      </c>
      <c r="H94" s="62">
        <f t="shared" si="50"/>
        <v>2688680.7625585026</v>
      </c>
      <c r="I94" s="60">
        <f t="shared" si="48"/>
        <v>299260.23744149762</v>
      </c>
      <c r="J94" s="62">
        <f t="shared" si="51"/>
        <v>-267185.27800312033</v>
      </c>
      <c r="K94" s="60">
        <f t="shared" si="51"/>
        <v>-29738.721996879845</v>
      </c>
      <c r="L94" s="124">
        <f t="shared" si="49"/>
        <v>-130967.1082184088</v>
      </c>
      <c r="M94" s="125">
        <f>L94*NPV!C12</f>
        <v>-66577.036755759094</v>
      </c>
    </row>
    <row r="95" spans="1:13" x14ac:dyDescent="0.2">
      <c r="A95" s="111">
        <f t="shared" si="45"/>
        <v>2028</v>
      </c>
      <c r="B95" s="62">
        <f t="shared" si="44"/>
        <v>2946</v>
      </c>
      <c r="C95" s="60">
        <f t="shared" si="44"/>
        <v>327</v>
      </c>
      <c r="D95" s="62">
        <f t="shared" si="42"/>
        <v>2473405.9743354721</v>
      </c>
      <c r="E95" s="60">
        <f t="shared" si="43"/>
        <v>274543.02566452796</v>
      </c>
      <c r="F95" s="62">
        <f t="shared" si="46"/>
        <v>2946</v>
      </c>
      <c r="G95" s="60">
        <f t="shared" si="47"/>
        <v>327</v>
      </c>
      <c r="H95" s="62">
        <f t="shared" si="50"/>
        <v>2746307.464711274</v>
      </c>
      <c r="I95" s="60">
        <f t="shared" si="48"/>
        <v>304834.53528872592</v>
      </c>
      <c r="J95" s="62">
        <f t="shared" si="51"/>
        <v>-272901.49037580192</v>
      </c>
      <c r="K95" s="60">
        <f t="shared" si="51"/>
        <v>-30291.509624197963</v>
      </c>
      <c r="L95" s="124">
        <f t="shared" si="49"/>
        <v>-133693.93990834092</v>
      </c>
      <c r="M95" s="125">
        <f>L95*NPV!C13</f>
        <v>-63517.027771127665</v>
      </c>
    </row>
    <row r="96" spans="1:13" x14ac:dyDescent="0.2">
      <c r="A96" s="111">
        <f t="shared" si="45"/>
        <v>2029</v>
      </c>
      <c r="B96" s="62">
        <f t="shared" si="44"/>
        <v>3008</v>
      </c>
      <c r="C96" s="60">
        <f t="shared" si="44"/>
        <v>334</v>
      </c>
      <c r="D96" s="62">
        <f t="shared" si="42"/>
        <v>2525645.3285457813</v>
      </c>
      <c r="E96" s="60">
        <f t="shared" si="43"/>
        <v>280440.67145421903</v>
      </c>
      <c r="F96" s="62">
        <f t="shared" si="46"/>
        <v>3008</v>
      </c>
      <c r="G96" s="60">
        <f t="shared" si="47"/>
        <v>334</v>
      </c>
      <c r="H96" s="62">
        <f t="shared" si="50"/>
        <v>2804298.4560143626</v>
      </c>
      <c r="I96" s="60">
        <f t="shared" si="48"/>
        <v>311381.54398563737</v>
      </c>
      <c r="J96" s="62">
        <f t="shared" si="51"/>
        <v>-278653.12746858131</v>
      </c>
      <c r="K96" s="60">
        <f t="shared" si="51"/>
        <v>-30940.872531418339</v>
      </c>
      <c r="L96" s="124">
        <f t="shared" si="49"/>
        <v>-136521.50499102322</v>
      </c>
      <c r="M96" s="125">
        <f>L96*NPV!C14</f>
        <v>-60617.180909558039</v>
      </c>
    </row>
    <row r="97" spans="1:13" x14ac:dyDescent="0.2">
      <c r="A97" s="111">
        <f t="shared" si="45"/>
        <v>2030</v>
      </c>
      <c r="B97" s="62">
        <f t="shared" si="44"/>
        <v>3072</v>
      </c>
      <c r="C97" s="60">
        <f t="shared" si="44"/>
        <v>341</v>
      </c>
      <c r="D97" s="62">
        <f t="shared" si="42"/>
        <v>2579158.6709639612</v>
      </c>
      <c r="E97" s="60">
        <f t="shared" si="43"/>
        <v>286293.32903603866</v>
      </c>
      <c r="F97" s="62">
        <f t="shared" si="46"/>
        <v>3072</v>
      </c>
      <c r="G97" s="60">
        <f t="shared" si="47"/>
        <v>341</v>
      </c>
      <c r="H97" s="62">
        <f t="shared" si="50"/>
        <v>2863705.2587166713</v>
      </c>
      <c r="I97" s="60">
        <f t="shared" si="48"/>
        <v>317878.74128332845</v>
      </c>
      <c r="J97" s="62">
        <f t="shared" si="51"/>
        <v>-284546.5877527101</v>
      </c>
      <c r="K97" s="60">
        <f t="shared" si="51"/>
        <v>-31585.412247289787</v>
      </c>
      <c r="L97" s="124">
        <f t="shared" si="49"/>
        <v>-139400.04024611774</v>
      </c>
      <c r="M97" s="125">
        <f>L97*NPV!C15</f>
        <v>-57846.060736370171</v>
      </c>
    </row>
    <row r="98" spans="1:13" x14ac:dyDescent="0.2">
      <c r="A98" s="111">
        <f t="shared" si="45"/>
        <v>2031</v>
      </c>
      <c r="B98" s="62">
        <f t="shared" si="44"/>
        <v>3136</v>
      </c>
      <c r="C98" s="60">
        <f t="shared" si="44"/>
        <v>349</v>
      </c>
      <c r="D98" s="62">
        <f t="shared" si="42"/>
        <v>2633047.6901004305</v>
      </c>
      <c r="E98" s="60">
        <f t="shared" si="43"/>
        <v>293027.30989956961</v>
      </c>
      <c r="F98" s="62">
        <f t="shared" si="46"/>
        <v>3136</v>
      </c>
      <c r="G98" s="60">
        <f t="shared" si="47"/>
        <v>349</v>
      </c>
      <c r="H98" s="62">
        <f t="shared" si="50"/>
        <v>2923526.7764705885</v>
      </c>
      <c r="I98" s="60">
        <f t="shared" si="48"/>
        <v>325354.22352941177</v>
      </c>
      <c r="J98" s="62">
        <f t="shared" si="51"/>
        <v>-290479.08637015801</v>
      </c>
      <c r="K98" s="60">
        <f t="shared" si="51"/>
        <v>-32326.913629842165</v>
      </c>
      <c r="L98" s="124">
        <f t="shared" si="49"/>
        <v>-142381.06595121959</v>
      </c>
      <c r="M98" s="125">
        <f>L98*NPV!C16</f>
        <v>-55217.83217030776</v>
      </c>
    </row>
    <row r="99" spans="1:13" x14ac:dyDescent="0.2">
      <c r="A99" s="111">
        <f t="shared" si="45"/>
        <v>2032</v>
      </c>
      <c r="B99" s="62">
        <f t="shared" si="44"/>
        <v>3203</v>
      </c>
      <c r="C99" s="60">
        <f t="shared" si="44"/>
        <v>356</v>
      </c>
      <c r="D99" s="62">
        <f t="shared" si="42"/>
        <v>2689098.0443944931</v>
      </c>
      <c r="E99" s="60">
        <f t="shared" si="43"/>
        <v>298881.95560550713</v>
      </c>
      <c r="F99" s="62">
        <f t="shared" si="46"/>
        <v>3203</v>
      </c>
      <c r="G99" s="60">
        <f t="shared" si="47"/>
        <v>356</v>
      </c>
      <c r="H99" s="62">
        <f t="shared" si="50"/>
        <v>2985748.5827479628</v>
      </c>
      <c r="I99" s="60">
        <f t="shared" si="48"/>
        <v>331853.41725203709</v>
      </c>
      <c r="J99" s="62">
        <f t="shared" si="51"/>
        <v>-296650.53835346969</v>
      </c>
      <c r="K99" s="60">
        <f t="shared" si="51"/>
        <v>-32971.461646529962</v>
      </c>
      <c r="L99" s="124">
        <f t="shared" si="49"/>
        <v>-145368.02543973015</v>
      </c>
      <c r="M99" s="125">
        <f>L99*NPV!C17</f>
        <v>-52688.062203899477</v>
      </c>
    </row>
    <row r="100" spans="1:13" x14ac:dyDescent="0.2">
      <c r="A100" s="111">
        <f t="shared" si="45"/>
        <v>2033</v>
      </c>
      <c r="B100" s="62">
        <f t="shared" si="44"/>
        <v>3271</v>
      </c>
      <c r="C100" s="60">
        <f t="shared" si="44"/>
        <v>363</v>
      </c>
      <c r="D100" s="62">
        <f t="shared" si="42"/>
        <v>2746410.4496422675</v>
      </c>
      <c r="E100" s="60">
        <f t="shared" si="43"/>
        <v>304783.55035773251</v>
      </c>
      <c r="F100" s="62">
        <f t="shared" si="46"/>
        <v>3271</v>
      </c>
      <c r="G100" s="60">
        <f t="shared" si="47"/>
        <v>363</v>
      </c>
      <c r="H100" s="62">
        <f t="shared" si="50"/>
        <v>3049371.2977435333</v>
      </c>
      <c r="I100" s="60">
        <f t="shared" si="48"/>
        <v>338404.70225646673</v>
      </c>
      <c r="J100" s="62">
        <f t="shared" si="51"/>
        <v>-302960.84810126573</v>
      </c>
      <c r="K100" s="60">
        <f t="shared" si="51"/>
        <v>-33621.151898734213</v>
      </c>
      <c r="L100" s="124">
        <f t="shared" si="49"/>
        <v>-148413.76746835443</v>
      </c>
      <c r="M100" s="125">
        <f>L100*NPV!C18</f>
        <v>-50272.877830870842</v>
      </c>
    </row>
    <row r="101" spans="1:13" x14ac:dyDescent="0.2">
      <c r="A101" s="111">
        <f t="shared" si="45"/>
        <v>2034</v>
      </c>
      <c r="B101" s="62">
        <f t="shared" si="44"/>
        <v>3340</v>
      </c>
      <c r="C101" s="60">
        <f t="shared" si="44"/>
        <v>371</v>
      </c>
      <c r="D101" s="62">
        <f t="shared" si="42"/>
        <v>2804255.3597413097</v>
      </c>
      <c r="E101" s="60">
        <f t="shared" si="43"/>
        <v>311490.6402586904</v>
      </c>
      <c r="F101" s="62">
        <f t="shared" si="46"/>
        <v>3340</v>
      </c>
      <c r="G101" s="60">
        <f t="shared" si="47"/>
        <v>371</v>
      </c>
      <c r="H101" s="62">
        <f t="shared" si="50"/>
        <v>3113584.721099434</v>
      </c>
      <c r="I101" s="60">
        <f t="shared" si="48"/>
        <v>345850.27890056587</v>
      </c>
      <c r="J101" s="62">
        <f t="shared" si="51"/>
        <v>-309329.3613581243</v>
      </c>
      <c r="K101" s="60">
        <f t="shared" si="51"/>
        <v>-34359.63864187547</v>
      </c>
      <c r="L101" s="124">
        <f t="shared" si="49"/>
        <v>-151562.1257073564</v>
      </c>
      <c r="M101" s="125">
        <f>L101*NPV!C19</f>
        <v>-47980.687563251195</v>
      </c>
    </row>
    <row r="102" spans="1:13" x14ac:dyDescent="0.2">
      <c r="A102" s="111">
        <f t="shared" si="45"/>
        <v>2035</v>
      </c>
      <c r="B102" s="62">
        <f t="shared" si="44"/>
        <v>3411</v>
      </c>
      <c r="C102" s="60">
        <f t="shared" si="44"/>
        <v>379</v>
      </c>
      <c r="D102" s="62">
        <f t="shared" si="42"/>
        <v>2863497.6</v>
      </c>
      <c r="E102" s="60">
        <f t="shared" si="43"/>
        <v>318166.40000000002</v>
      </c>
      <c r="F102" s="62">
        <f t="shared" si="46"/>
        <v>3411</v>
      </c>
      <c r="G102" s="60">
        <f t="shared" si="47"/>
        <v>379</v>
      </c>
      <c r="H102" s="62">
        <f t="shared" si="50"/>
        <v>3179348.1</v>
      </c>
      <c r="I102" s="60">
        <f t="shared" si="48"/>
        <v>353260.9</v>
      </c>
      <c r="J102" s="62">
        <f t="shared" si="51"/>
        <v>-315850.5</v>
      </c>
      <c r="K102" s="60">
        <f t="shared" si="51"/>
        <v>-35094.5</v>
      </c>
      <c r="L102" s="124">
        <f t="shared" si="49"/>
        <v>-154766.745</v>
      </c>
      <c r="M102" s="125">
        <f>L102*NPV!C20</f>
        <v>-45789.895292046131</v>
      </c>
    </row>
    <row r="103" spans="1:13" x14ac:dyDescent="0.2">
      <c r="A103" s="111">
        <f t="shared" si="45"/>
        <v>2036</v>
      </c>
      <c r="B103" s="62">
        <f t="shared" si="44"/>
        <v>3483</v>
      </c>
      <c r="C103" s="60">
        <f t="shared" si="44"/>
        <v>387</v>
      </c>
      <c r="D103" s="62">
        <f t="shared" si="42"/>
        <v>2924079.3000000003</v>
      </c>
      <c r="E103" s="60">
        <f t="shared" si="43"/>
        <v>324897.7</v>
      </c>
      <c r="F103" s="62">
        <f t="shared" si="46"/>
        <v>3483</v>
      </c>
      <c r="G103" s="60">
        <f t="shared" si="47"/>
        <v>387</v>
      </c>
      <c r="H103" s="62">
        <f t="shared" si="50"/>
        <v>3246598.8000000003</v>
      </c>
      <c r="I103" s="60">
        <f t="shared" si="48"/>
        <v>360733.2</v>
      </c>
      <c r="J103" s="62">
        <f t="shared" si="51"/>
        <v>-322519.5</v>
      </c>
      <c r="K103" s="60">
        <f t="shared" si="51"/>
        <v>-35835.5</v>
      </c>
      <c r="L103" s="124">
        <f t="shared" si="49"/>
        <v>-158034.55500000002</v>
      </c>
      <c r="M103" s="125">
        <f>L103*NPV!C21</f>
        <v>-43697.871361159836</v>
      </c>
    </row>
    <row r="104" spans="1:13" x14ac:dyDescent="0.2">
      <c r="A104" s="111">
        <f t="shared" si="45"/>
        <v>2037</v>
      </c>
      <c r="B104" s="62">
        <f t="shared" si="44"/>
        <v>3557</v>
      </c>
      <c r="C104" s="60">
        <f t="shared" si="44"/>
        <v>395</v>
      </c>
      <c r="D104" s="62">
        <f t="shared" si="42"/>
        <v>2986109.6004554653</v>
      </c>
      <c r="E104" s="60">
        <f t="shared" si="43"/>
        <v>331603.39954453445</v>
      </c>
      <c r="F104" s="62">
        <f t="shared" si="46"/>
        <v>3557</v>
      </c>
      <c r="G104" s="60">
        <f t="shared" si="47"/>
        <v>395</v>
      </c>
      <c r="H104" s="62">
        <f t="shared" si="50"/>
        <v>3315457.0187246962</v>
      </c>
      <c r="I104" s="60">
        <f t="shared" si="48"/>
        <v>368176.98127530364</v>
      </c>
      <c r="J104" s="62">
        <f t="shared" si="51"/>
        <v>-329347.41826923098</v>
      </c>
      <c r="K104" s="60">
        <f t="shared" si="51"/>
        <v>-36573.58173076919</v>
      </c>
      <c r="L104" s="124">
        <f t="shared" si="49"/>
        <v>-161361.71668269238</v>
      </c>
      <c r="M104" s="125">
        <f>L104*NPV!C22</f>
        <v>-41698.93391747537</v>
      </c>
    </row>
    <row r="105" spans="1:13" x14ac:dyDescent="0.2">
      <c r="A105" s="111">
        <f t="shared" si="45"/>
        <v>2038</v>
      </c>
      <c r="B105" s="62">
        <f t="shared" si="44"/>
        <v>3631</v>
      </c>
      <c r="C105" s="60">
        <f t="shared" si="44"/>
        <v>404</v>
      </c>
      <c r="D105" s="62">
        <f t="shared" si="42"/>
        <v>3048693.785377943</v>
      </c>
      <c r="E105" s="60">
        <f t="shared" si="43"/>
        <v>339210.21462205698</v>
      </c>
      <c r="F105" s="62">
        <f t="shared" si="46"/>
        <v>3631</v>
      </c>
      <c r="G105" s="60">
        <f t="shared" si="47"/>
        <v>404</v>
      </c>
      <c r="H105" s="62">
        <f t="shared" si="50"/>
        <v>3384929.7846344486</v>
      </c>
      <c r="I105" s="60">
        <f t="shared" si="48"/>
        <v>376621.21536555141</v>
      </c>
      <c r="J105" s="62">
        <f t="shared" ref="J105:J108" si="52">D105-H105</f>
        <v>-336235.99925650563</v>
      </c>
      <c r="K105" s="60">
        <f t="shared" ref="K105:K108" si="53">E105-I105</f>
        <v>-37411.000743494427</v>
      </c>
      <c r="L105" s="124">
        <f t="shared" ref="L105:L108" si="54">J105*$A$45+K105*$A$44</f>
        <v>-164801.9403791822</v>
      </c>
      <c r="M105" s="125">
        <f>L105*NPV!C23</f>
        <v>-39801.825322036362</v>
      </c>
    </row>
    <row r="106" spans="1:13" x14ac:dyDescent="0.2">
      <c r="A106" s="111">
        <f t="shared" si="45"/>
        <v>2039</v>
      </c>
      <c r="B106" s="62">
        <f t="shared" si="44"/>
        <v>3709</v>
      </c>
      <c r="C106" s="60">
        <f t="shared" si="44"/>
        <v>412</v>
      </c>
      <c r="D106" s="62">
        <f t="shared" si="42"/>
        <v>3113705.4999999995</v>
      </c>
      <c r="E106" s="60">
        <f t="shared" si="43"/>
        <v>345873.99999999994</v>
      </c>
      <c r="F106" s="62">
        <f t="shared" si="46"/>
        <v>3709</v>
      </c>
      <c r="G106" s="60">
        <f t="shared" si="47"/>
        <v>412</v>
      </c>
      <c r="H106" s="62">
        <f t="shared" si="50"/>
        <v>3457097.6083474886</v>
      </c>
      <c r="I106" s="60">
        <f t="shared" si="48"/>
        <v>384018.39165251149</v>
      </c>
      <c r="J106" s="62">
        <f t="shared" si="52"/>
        <v>-343392.10834748903</v>
      </c>
      <c r="K106" s="60">
        <f t="shared" si="53"/>
        <v>-38144.391652511549</v>
      </c>
      <c r="L106" s="124">
        <f t="shared" si="54"/>
        <v>-168252.87474278113</v>
      </c>
      <c r="M106" s="125">
        <f>L106*NPV!C24</f>
        <v>-37976.88890872238</v>
      </c>
    </row>
    <row r="107" spans="1:13" x14ac:dyDescent="0.2">
      <c r="A107" s="111">
        <f t="shared" si="45"/>
        <v>2040</v>
      </c>
      <c r="B107" s="62">
        <f t="shared" si="44"/>
        <v>3787</v>
      </c>
      <c r="C107" s="60">
        <f t="shared" si="44"/>
        <v>421</v>
      </c>
      <c r="D107" s="62">
        <f t="shared" si="42"/>
        <v>27420680.652091254</v>
      </c>
      <c r="E107" s="60">
        <f t="shared" si="43"/>
        <v>3048351.3479087455</v>
      </c>
      <c r="F107" s="62">
        <f t="shared" si="46"/>
        <v>3787</v>
      </c>
      <c r="G107" s="60">
        <f t="shared" si="47"/>
        <v>421</v>
      </c>
      <c r="H107" s="62">
        <f t="shared" si="50"/>
        <v>3529941.1758555132</v>
      </c>
      <c r="I107" s="60">
        <f t="shared" si="48"/>
        <v>392422.82414448669</v>
      </c>
      <c r="J107" s="62">
        <f t="shared" si="52"/>
        <v>23890739.47623574</v>
      </c>
      <c r="K107" s="60">
        <f t="shared" si="53"/>
        <v>2655928.5237642587</v>
      </c>
      <c r="L107" s="124">
        <f>J107*$A$45+K107*$A$44</f>
        <v>11707724.067119772</v>
      </c>
      <c r="M107" s="125">
        <f>L107*NPV!C25</f>
        <v>2469707.9030246469</v>
      </c>
    </row>
    <row r="108" spans="1:13" ht="13.5" thickBot="1" x14ac:dyDescent="0.25">
      <c r="A108" s="111">
        <f t="shared" si="45"/>
        <v>2041</v>
      </c>
      <c r="B108" s="62">
        <f t="shared" si="44"/>
        <v>3867</v>
      </c>
      <c r="C108" s="60">
        <f t="shared" si="44"/>
        <v>430</v>
      </c>
      <c r="D108" s="62">
        <f t="shared" si="42"/>
        <v>28006525.667209685</v>
      </c>
      <c r="E108" s="60">
        <f t="shared" si="43"/>
        <v>3114250.3327903193</v>
      </c>
      <c r="F108" s="62">
        <f t="shared" si="46"/>
        <v>3867</v>
      </c>
      <c r="G108" s="60">
        <f t="shared" si="47"/>
        <v>430</v>
      </c>
      <c r="H108" s="62">
        <f t="shared" si="50"/>
        <v>3246346.4999999995</v>
      </c>
      <c r="I108" s="60">
        <f t="shared" si="48"/>
        <v>360984.99999999994</v>
      </c>
      <c r="J108" s="62">
        <f t="shared" si="52"/>
        <v>24760179.167209685</v>
      </c>
      <c r="K108" s="60">
        <f t="shared" si="53"/>
        <v>2753265.3327903193</v>
      </c>
      <c r="L108" s="128">
        <f t="shared" si="54"/>
        <v>12134408.674723065</v>
      </c>
      <c r="M108" s="269">
        <f>L108*NPV!C26</f>
        <v>2392257.655299006</v>
      </c>
    </row>
    <row r="109" spans="1:13" ht="13.5" thickTop="1" x14ac:dyDescent="0.2">
      <c r="A109" s="76"/>
      <c r="B109" s="75"/>
      <c r="C109" s="75"/>
      <c r="D109" s="75"/>
      <c r="E109" s="75"/>
      <c r="F109" s="63"/>
      <c r="G109" s="63"/>
      <c r="H109" s="63"/>
      <c r="I109" s="121"/>
      <c r="J109" s="323" t="s">
        <v>0</v>
      </c>
      <c r="K109" s="323"/>
      <c r="L109" s="122">
        <f>SUM(L84:L108)</f>
        <v>21409329.207094643</v>
      </c>
      <c r="M109" s="127">
        <f>SUM(M84:M108)</f>
        <v>3898572.9926025183</v>
      </c>
    </row>
    <row r="110" spans="1:13" x14ac:dyDescent="0.2">
      <c r="A110" s="57"/>
      <c r="M110" s="51"/>
    </row>
  </sheetData>
  <mergeCells count="32">
    <mergeCell ref="J109:K109"/>
    <mergeCell ref="J77:K77"/>
    <mergeCell ref="A49:A51"/>
    <mergeCell ref="A81:A83"/>
    <mergeCell ref="B82:C82"/>
    <mergeCell ref="D82:E82"/>
    <mergeCell ref="B81:E81"/>
    <mergeCell ref="B50:C50"/>
    <mergeCell ref="D50:E50"/>
    <mergeCell ref="F50:G50"/>
    <mergeCell ref="B49:E49"/>
    <mergeCell ref="F49:I49"/>
    <mergeCell ref="F82:G82"/>
    <mergeCell ref="H82:I82"/>
    <mergeCell ref="F81:I81"/>
    <mergeCell ref="A7:B7"/>
    <mergeCell ref="B13:E13"/>
    <mergeCell ref="F13:G13"/>
    <mergeCell ref="H13:I13"/>
    <mergeCell ref="H50:I50"/>
    <mergeCell ref="J10:L10"/>
    <mergeCell ref="J2:P2"/>
    <mergeCell ref="M81:M83"/>
    <mergeCell ref="J49:K50"/>
    <mergeCell ref="L49:L51"/>
    <mergeCell ref="J81:K82"/>
    <mergeCell ref="L81:L83"/>
    <mergeCell ref="J13:K13"/>
    <mergeCell ref="N13:O13"/>
    <mergeCell ref="P13:Q13"/>
    <mergeCell ref="L13:M13"/>
    <mergeCell ref="M49:M51"/>
  </mergeCells>
  <pageMargins left="0.7" right="0.7" top="0.75" bottom="0.75" header="0.3" footer="0.3"/>
  <pageSetup scale="7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/>
    <pageSetUpPr fitToPage="1"/>
  </sheetPr>
  <dimension ref="A1:P92"/>
  <sheetViews>
    <sheetView topLeftCell="A55" zoomScale="90" zoomScaleNormal="90" workbookViewId="0">
      <selection activeCell="I44" sqref="I44"/>
    </sheetView>
  </sheetViews>
  <sheetFormatPr defaultColWidth="8.85546875" defaultRowHeight="12.75" x14ac:dyDescent="0.2"/>
  <cols>
    <col min="1" max="1" width="29" style="17" customWidth="1"/>
    <col min="2" max="2" width="15" style="17" customWidth="1"/>
    <col min="3" max="3" width="13.28515625" style="17" bestFit="1" customWidth="1"/>
    <col min="4" max="4" width="17.28515625" style="17" bestFit="1" customWidth="1"/>
    <col min="5" max="6" width="13.28515625" style="17" bestFit="1" customWidth="1"/>
    <col min="7" max="7" width="14.28515625" style="17" customWidth="1"/>
    <col min="8" max="8" width="14" style="17" customWidth="1"/>
    <col min="9" max="9" width="17.28515625" style="17" bestFit="1" customWidth="1"/>
    <col min="10" max="10" width="19.42578125" style="17" customWidth="1"/>
    <col min="11" max="11" width="16.28515625" style="17" customWidth="1"/>
    <col min="12" max="12" width="17.140625" style="17" customWidth="1"/>
    <col min="13" max="13" width="18.140625" style="17" customWidth="1"/>
    <col min="14" max="14" width="19.28515625" style="17" customWidth="1"/>
    <col min="15" max="15" width="19" style="17" customWidth="1"/>
    <col min="16" max="16" width="12.7109375" style="17" bestFit="1" customWidth="1"/>
    <col min="17" max="16384" width="8.85546875" style="17"/>
  </cols>
  <sheetData>
    <row r="1" spans="1:4" ht="20.25" x14ac:dyDescent="0.3">
      <c r="A1" s="154" t="s">
        <v>170</v>
      </c>
    </row>
    <row r="2" spans="1:4" ht="16.5" x14ac:dyDescent="0.3">
      <c r="A2" s="94"/>
    </row>
    <row r="3" spans="1:4" ht="16.5" x14ac:dyDescent="0.3">
      <c r="A3" s="94"/>
    </row>
    <row r="4" spans="1:4" x14ac:dyDescent="0.2">
      <c r="A4" s="307" t="s">
        <v>61</v>
      </c>
      <c r="B4" s="308"/>
      <c r="C4" s="309"/>
    </row>
    <row r="5" spans="1:4" ht="25.5" x14ac:dyDescent="0.2">
      <c r="A5" s="225" t="s">
        <v>62</v>
      </c>
      <c r="B5" s="132" t="s">
        <v>63</v>
      </c>
      <c r="C5" s="226" t="s">
        <v>95</v>
      </c>
    </row>
    <row r="6" spans="1:4" x14ac:dyDescent="0.2">
      <c r="A6" s="187" t="s">
        <v>64</v>
      </c>
      <c r="B6" s="241">
        <v>48.05</v>
      </c>
      <c r="C6" s="242">
        <f>B6/907185</f>
        <v>5.2966043309798992E-5</v>
      </c>
    </row>
    <row r="7" spans="1:4" x14ac:dyDescent="0.2">
      <c r="A7" s="227" t="s">
        <v>65</v>
      </c>
      <c r="B7" s="144">
        <v>2000</v>
      </c>
      <c r="C7" s="242">
        <f>B7/907185</f>
        <v>2.2046219900020395E-3</v>
      </c>
    </row>
    <row r="8" spans="1:4" x14ac:dyDescent="0.2">
      <c r="A8" s="227" t="s">
        <v>66</v>
      </c>
      <c r="B8" s="144">
        <v>8300</v>
      </c>
      <c r="C8" s="242">
        <f t="shared" ref="C8:C10" si="0">B8/907185</f>
        <v>9.1491812585084622E-3</v>
      </c>
    </row>
    <row r="9" spans="1:4" x14ac:dyDescent="0.2">
      <c r="A9" s="227" t="s">
        <v>67</v>
      </c>
      <c r="B9" s="144">
        <v>377800</v>
      </c>
      <c r="C9" s="242">
        <f t="shared" si="0"/>
        <v>0.41645309391138524</v>
      </c>
    </row>
    <row r="10" spans="1:4" x14ac:dyDescent="0.2">
      <c r="A10" s="188" t="s">
        <v>68</v>
      </c>
      <c r="B10" s="146">
        <v>48900</v>
      </c>
      <c r="C10" s="243">
        <f t="shared" si="0"/>
        <v>5.390300765554986E-2</v>
      </c>
    </row>
    <row r="11" spans="1:4" x14ac:dyDescent="0.2">
      <c r="A11" s="340" t="s">
        <v>69</v>
      </c>
      <c r="B11" s="340"/>
      <c r="C11" s="340"/>
    </row>
    <row r="12" spans="1:4" x14ac:dyDescent="0.2">
      <c r="A12" s="82" t="s">
        <v>104</v>
      </c>
    </row>
    <row r="13" spans="1:4" x14ac:dyDescent="0.2">
      <c r="A13" s="82"/>
    </row>
    <row r="14" spans="1:4" ht="23.25" x14ac:dyDescent="0.35">
      <c r="A14" s="228"/>
      <c r="B14" s="135" t="s">
        <v>36</v>
      </c>
      <c r="C14" s="135" t="s">
        <v>50</v>
      </c>
      <c r="D14" s="92"/>
    </row>
    <row r="15" spans="1:4" x14ac:dyDescent="0.2">
      <c r="A15" s="177" t="s">
        <v>71</v>
      </c>
      <c r="B15" s="328"/>
      <c r="C15" s="329"/>
    </row>
    <row r="16" spans="1:4" x14ac:dyDescent="0.2">
      <c r="A16" s="177" t="s">
        <v>72</v>
      </c>
      <c r="B16" s="330"/>
      <c r="C16" s="331"/>
    </row>
    <row r="17" spans="1:4" x14ac:dyDescent="0.2">
      <c r="A17" s="177" t="s">
        <v>73</v>
      </c>
      <c r="B17" s="239">
        <v>0</v>
      </c>
      <c r="C17" s="44">
        <v>0</v>
      </c>
    </row>
    <row r="18" spans="1:4" x14ac:dyDescent="0.2">
      <c r="A18" s="177" t="s">
        <v>74</v>
      </c>
      <c r="B18" s="239">
        <v>35</v>
      </c>
      <c r="C18" s="44">
        <v>35</v>
      </c>
    </row>
    <row r="19" spans="1:4" x14ac:dyDescent="0.2">
      <c r="A19" s="177" t="s">
        <v>75</v>
      </c>
      <c r="B19" s="239">
        <f>0.075283-0.0015892*B18+0.000015066*B18^2</f>
        <v>3.8116850000000008E-2</v>
      </c>
      <c r="C19" s="44">
        <f>0.075283-0.0015892*C18+0.000015066*C18^2</f>
        <v>3.8116850000000008E-2</v>
      </c>
    </row>
    <row r="20" spans="1:4" x14ac:dyDescent="0.2">
      <c r="A20" s="177" t="s">
        <v>76</v>
      </c>
      <c r="B20" s="239">
        <v>0.7329</v>
      </c>
      <c r="C20" s="44">
        <v>0.7329</v>
      </c>
    </row>
    <row r="21" spans="1:4" x14ac:dyDescent="0.2">
      <c r="A21" s="177" t="s">
        <v>77</v>
      </c>
      <c r="B21" s="239">
        <f>0.0000061411*B18^2</f>
        <v>7.5228475000000006E-3</v>
      </c>
      <c r="C21" s="44">
        <f>0.0000061411*C18^2</f>
        <v>7.5228475000000006E-3</v>
      </c>
    </row>
    <row r="22" spans="1:4" x14ac:dyDescent="0.2">
      <c r="A22" s="177" t="s">
        <v>70</v>
      </c>
      <c r="B22" s="239">
        <f>B15*B19+B16*B20+B17*B21</f>
        <v>0</v>
      </c>
      <c r="C22" s="44">
        <f>C15*C19+C16*C20+C17*C21</f>
        <v>0</v>
      </c>
    </row>
    <row r="23" spans="1:4" x14ac:dyDescent="0.2">
      <c r="A23" s="335" t="s">
        <v>78</v>
      </c>
      <c r="B23" s="336"/>
      <c r="C23" s="93">
        <f>B22-C22</f>
        <v>0</v>
      </c>
    </row>
    <row r="24" spans="1:4" x14ac:dyDescent="0.2">
      <c r="A24" s="337" t="s">
        <v>79</v>
      </c>
      <c r="B24" s="337"/>
      <c r="C24" s="337"/>
    </row>
    <row r="26" spans="1:4" ht="38.25" x14ac:dyDescent="0.2">
      <c r="A26" s="228"/>
      <c r="B26" s="132" t="s">
        <v>80</v>
      </c>
      <c r="C26" s="136" t="s">
        <v>82</v>
      </c>
      <c r="D26" s="226" t="s">
        <v>81</v>
      </c>
    </row>
    <row r="27" spans="1:4" x14ac:dyDescent="0.2">
      <c r="A27" s="177" t="s">
        <v>64</v>
      </c>
      <c r="B27" s="239">
        <v>8887</v>
      </c>
      <c r="C27" s="19" t="s">
        <v>83</v>
      </c>
      <c r="D27" s="44">
        <f>$C$23*B27</f>
        <v>0</v>
      </c>
    </row>
    <row r="28" spans="1:4" x14ac:dyDescent="0.2">
      <c r="A28" s="177" t="s">
        <v>65</v>
      </c>
      <c r="B28" s="239">
        <v>16.2</v>
      </c>
      <c r="C28" s="19" t="s">
        <v>84</v>
      </c>
      <c r="D28" s="44">
        <f>$C$23*B28</f>
        <v>0</v>
      </c>
    </row>
    <row r="29" spans="1:4" x14ac:dyDescent="0.2">
      <c r="A29" s="177" t="s">
        <v>66</v>
      </c>
      <c r="B29" s="239">
        <v>13.6</v>
      </c>
      <c r="C29" s="19" t="s">
        <v>84</v>
      </c>
      <c r="D29" s="44">
        <f>$C$23*B29</f>
        <v>0</v>
      </c>
    </row>
    <row r="30" spans="1:4" x14ac:dyDescent="0.2">
      <c r="A30" s="177" t="s">
        <v>67</v>
      </c>
      <c r="B30" s="239">
        <f>B34/1000*B35</f>
        <v>0.27279999999999999</v>
      </c>
      <c r="C30" s="19"/>
      <c r="D30" s="44">
        <f>$C$23*B30</f>
        <v>0</v>
      </c>
    </row>
    <row r="31" spans="1:4" x14ac:dyDescent="0.2">
      <c r="A31" s="177" t="s">
        <v>68</v>
      </c>
      <c r="B31" s="239"/>
      <c r="C31" s="19"/>
      <c r="D31" s="44">
        <f>$C$23*B31</f>
        <v>0</v>
      </c>
    </row>
    <row r="33" spans="1:14" x14ac:dyDescent="0.2">
      <c r="A33" s="294" t="s">
        <v>96</v>
      </c>
      <c r="B33" s="294"/>
      <c r="C33" s="294"/>
    </row>
    <row r="34" spans="1:14" ht="25.5" x14ac:dyDescent="0.2">
      <c r="A34" s="229" t="s">
        <v>85</v>
      </c>
      <c r="B34" s="240">
        <v>11</v>
      </c>
      <c r="C34" s="36" t="s">
        <v>141</v>
      </c>
    </row>
    <row r="35" spans="1:14" x14ac:dyDescent="0.2">
      <c r="A35" s="177" t="s">
        <v>86</v>
      </c>
      <c r="B35" s="239">
        <v>24.8</v>
      </c>
      <c r="C35" s="19" t="s">
        <v>142</v>
      </c>
    </row>
    <row r="37" spans="1:14" x14ac:dyDescent="0.2">
      <c r="A37" s="292" t="s">
        <v>1</v>
      </c>
      <c r="B37" s="307" t="s">
        <v>145</v>
      </c>
      <c r="C37" s="309"/>
      <c r="D37" s="307" t="s">
        <v>118</v>
      </c>
      <c r="E37" s="309"/>
      <c r="F37" s="307" t="s">
        <v>148</v>
      </c>
      <c r="G37" s="309"/>
      <c r="H37" s="338" t="s">
        <v>146</v>
      </c>
      <c r="I37" s="339"/>
      <c r="J37" s="332" t="s">
        <v>147</v>
      </c>
      <c r="K37" s="88"/>
      <c r="L37" s="88"/>
      <c r="M37" s="24"/>
      <c r="N37" s="24"/>
    </row>
    <row r="38" spans="1:14" x14ac:dyDescent="0.2">
      <c r="A38" s="292"/>
      <c r="B38" s="135" t="s">
        <v>36</v>
      </c>
      <c r="C38" s="135" t="s">
        <v>50</v>
      </c>
      <c r="D38" s="135" t="s">
        <v>36</v>
      </c>
      <c r="E38" s="135" t="s">
        <v>50</v>
      </c>
      <c r="F38" s="135" t="s">
        <v>36</v>
      </c>
      <c r="G38" s="135" t="s">
        <v>50</v>
      </c>
      <c r="H38" s="135" t="s">
        <v>36</v>
      </c>
      <c r="I38" s="135" t="s">
        <v>50</v>
      </c>
      <c r="J38" s="333"/>
      <c r="K38" s="89"/>
      <c r="L38" s="89"/>
      <c r="M38" s="33"/>
      <c r="N38" s="33"/>
    </row>
    <row r="39" spans="1:14" x14ac:dyDescent="0.2">
      <c r="A39" s="230">
        <v>2017</v>
      </c>
      <c r="B39" s="234"/>
      <c r="C39" s="235"/>
      <c r="D39" s="234"/>
      <c r="E39" s="235"/>
      <c r="F39" s="234"/>
      <c r="G39" s="235"/>
      <c r="H39" s="237"/>
      <c r="I39" s="238"/>
      <c r="J39" s="237"/>
      <c r="K39" s="87"/>
      <c r="L39" s="91"/>
      <c r="M39" s="24"/>
      <c r="N39" s="24"/>
    </row>
    <row r="40" spans="1:14" x14ac:dyDescent="0.2">
      <c r="A40" s="230">
        <f>A39+1</f>
        <v>2018</v>
      </c>
      <c r="B40" s="234"/>
      <c r="C40" s="235"/>
      <c r="D40" s="234"/>
      <c r="E40" s="235"/>
      <c r="F40" s="234"/>
      <c r="G40" s="235"/>
      <c r="H40" s="237"/>
      <c r="I40" s="238"/>
      <c r="J40" s="237"/>
      <c r="K40" s="87"/>
      <c r="L40" s="91"/>
    </row>
    <row r="41" spans="1:14" x14ac:dyDescent="0.2">
      <c r="A41" s="230">
        <f t="shared" ref="A41:A63" si="1">A40+1</f>
        <v>2019</v>
      </c>
      <c r="B41" s="234"/>
      <c r="C41" s="235"/>
      <c r="D41" s="234"/>
      <c r="E41" s="235"/>
      <c r="F41" s="234"/>
      <c r="G41" s="235"/>
      <c r="H41" s="237"/>
      <c r="I41" s="238"/>
      <c r="J41" s="237"/>
      <c r="K41" s="87"/>
      <c r="L41" s="91"/>
    </row>
    <row r="42" spans="1:14" x14ac:dyDescent="0.2">
      <c r="A42" s="230">
        <f t="shared" si="1"/>
        <v>2020</v>
      </c>
      <c r="B42" s="234"/>
      <c r="C42" s="235"/>
      <c r="D42" s="234"/>
      <c r="E42" s="235"/>
      <c r="F42" s="234"/>
      <c r="G42" s="235"/>
      <c r="H42" s="237"/>
      <c r="I42" s="238"/>
      <c r="J42" s="237"/>
      <c r="K42" s="87"/>
      <c r="L42" s="91"/>
    </row>
    <row r="43" spans="1:14" x14ac:dyDescent="0.2">
      <c r="A43" s="230">
        <f t="shared" si="1"/>
        <v>2021</v>
      </c>
      <c r="B43" s="234"/>
      <c r="C43" s="235"/>
      <c r="D43" s="234"/>
      <c r="E43" s="235"/>
      <c r="F43" s="234"/>
      <c r="G43" s="235"/>
      <c r="H43" s="237"/>
      <c r="I43" s="238"/>
      <c r="J43" s="237"/>
      <c r="K43" s="87"/>
      <c r="L43" s="91"/>
    </row>
    <row r="44" spans="1:14" x14ac:dyDescent="0.2">
      <c r="A44" s="230">
        <f t="shared" si="1"/>
        <v>2022</v>
      </c>
      <c r="B44" s="234">
        <f>'Travel Time'!B20</f>
        <v>2887</v>
      </c>
      <c r="C44" s="235">
        <f>'Travel Time'!B20</f>
        <v>2887</v>
      </c>
      <c r="D44" s="234">
        <f>'Travel Time'!L20</f>
        <v>2423568</v>
      </c>
      <c r="E44" s="235">
        <f>'Travel Time'!M20</f>
        <v>2423636.5</v>
      </c>
      <c r="F44" s="234">
        <f>'Travel Time'!F20</f>
        <v>69245</v>
      </c>
      <c r="G44" s="235">
        <f>'Travel Time'!G20</f>
        <v>53858.59</v>
      </c>
      <c r="H44" s="237">
        <f t="shared" ref="H44:H62" si="2">D44*$B$19+F44*$B$20+$B$17*$B$21</f>
        <v>143128.43842080003</v>
      </c>
      <c r="I44" s="238">
        <f t="shared" ref="I44:I62" si="3">E44*$C$19+G44*$C$20+$C$17*$C$21</f>
        <v>131854.34953602502</v>
      </c>
      <c r="J44" s="237">
        <f t="shared" ref="J44:J62" si="4">H44-I44</f>
        <v>11274.088884775003</v>
      </c>
      <c r="K44" s="87"/>
      <c r="L44" s="91"/>
    </row>
    <row r="45" spans="1:14" x14ac:dyDescent="0.2">
      <c r="A45" s="230">
        <f t="shared" si="1"/>
        <v>2023</v>
      </c>
      <c r="B45" s="234">
        <f>'Travel Time'!B21</f>
        <v>2948</v>
      </c>
      <c r="C45" s="235">
        <f>'Travel Time'!B21</f>
        <v>2948</v>
      </c>
      <c r="D45" s="234">
        <f>'Travel Time'!L21</f>
        <v>2474842</v>
      </c>
      <c r="E45" s="235">
        <f>'Travel Time'!M21</f>
        <v>2747959</v>
      </c>
      <c r="F45" s="234">
        <f>'Travel Time'!F21</f>
        <v>70710</v>
      </c>
      <c r="G45" s="235">
        <f>'Travel Time'!G21</f>
        <v>54998</v>
      </c>
      <c r="H45" s="237">
        <f t="shared" si="2"/>
        <v>146156.54028770002</v>
      </c>
      <c r="I45" s="238">
        <f t="shared" si="3"/>
        <v>145051.57520915003</v>
      </c>
      <c r="J45" s="237">
        <f t="shared" si="4"/>
        <v>1104.9650785499834</v>
      </c>
      <c r="K45" s="87"/>
      <c r="L45" s="91"/>
    </row>
    <row r="46" spans="1:14" x14ac:dyDescent="0.2">
      <c r="A46" s="230">
        <f t="shared" si="1"/>
        <v>2024</v>
      </c>
      <c r="B46" s="234">
        <f>'Travel Time'!B22</f>
        <v>3010</v>
      </c>
      <c r="C46" s="235">
        <f>'Travel Time'!B22</f>
        <v>3010</v>
      </c>
      <c r="D46" s="234">
        <f>'Travel Time'!L22</f>
        <v>2527201</v>
      </c>
      <c r="E46" s="235">
        <f>'Travel Time'!M22</f>
        <v>2806084</v>
      </c>
      <c r="F46" s="234">
        <f>'Travel Time'!F22</f>
        <v>72206</v>
      </c>
      <c r="G46" s="235">
        <f>'Travel Time'!G22</f>
        <v>56161</v>
      </c>
      <c r="H46" s="237">
        <f t="shared" si="2"/>
        <v>149248.71883685002</v>
      </c>
      <c r="I46" s="238">
        <f t="shared" si="3"/>
        <v>148119.47981540003</v>
      </c>
      <c r="J46" s="237">
        <f t="shared" si="4"/>
        <v>1129.2390214499901</v>
      </c>
      <c r="K46" s="87"/>
      <c r="L46" s="91"/>
    </row>
    <row r="47" spans="1:14" x14ac:dyDescent="0.2">
      <c r="A47" s="230">
        <f t="shared" si="1"/>
        <v>2025</v>
      </c>
      <c r="B47" s="234">
        <f>'Travel Time'!B23</f>
        <v>3074</v>
      </c>
      <c r="C47" s="235">
        <f>'Travel Time'!B23</f>
        <v>3074</v>
      </c>
      <c r="D47" s="234">
        <f>'Travel Time'!L23</f>
        <v>2580667</v>
      </c>
      <c r="E47" s="235">
        <f>'Travel Time'!M23</f>
        <v>2865439</v>
      </c>
      <c r="F47" s="234">
        <f>'Travel Time'!F23</f>
        <v>73733</v>
      </c>
      <c r="G47" s="235">
        <f>'Travel Time'!G23</f>
        <v>57349</v>
      </c>
      <c r="H47" s="237">
        <f t="shared" si="2"/>
        <v>152405.81263895001</v>
      </c>
      <c r="I47" s="238">
        <f t="shared" si="3"/>
        <v>151252.59064715001</v>
      </c>
      <c r="J47" s="237">
        <f t="shared" si="4"/>
        <v>1153.2219918000046</v>
      </c>
      <c r="K47" s="87"/>
      <c r="L47" s="91"/>
    </row>
    <row r="48" spans="1:14" x14ac:dyDescent="0.2">
      <c r="A48" s="230">
        <f t="shared" si="1"/>
        <v>2026</v>
      </c>
      <c r="B48" s="234">
        <f>'Travel Time'!B24</f>
        <v>3139</v>
      </c>
      <c r="C48" s="235">
        <f>'Travel Time'!B24</f>
        <v>3139</v>
      </c>
      <c r="D48" s="234">
        <f>'Travel Time'!L24</f>
        <v>2635264</v>
      </c>
      <c r="E48" s="235">
        <f>'Travel Time'!M24</f>
        <v>2926049</v>
      </c>
      <c r="F48" s="234">
        <f>'Travel Time'!F24</f>
        <v>75293</v>
      </c>
      <c r="G48" s="235">
        <f>'Travel Time'!G24</f>
        <v>58562</v>
      </c>
      <c r="H48" s="237">
        <f t="shared" si="2"/>
        <v>155630.20229840002</v>
      </c>
      <c r="I48" s="238">
        <f t="shared" si="3"/>
        <v>154451.86062565004</v>
      </c>
      <c r="J48" s="237">
        <f t="shared" si="4"/>
        <v>1178.3416727499862</v>
      </c>
      <c r="K48" s="87"/>
      <c r="L48" s="91"/>
    </row>
    <row r="49" spans="1:16" x14ac:dyDescent="0.2">
      <c r="A49" s="230">
        <f t="shared" si="1"/>
        <v>2027</v>
      </c>
      <c r="B49" s="234">
        <f>'Travel Time'!B25</f>
        <v>3205</v>
      </c>
      <c r="C49" s="235">
        <f>'Travel Time'!B25</f>
        <v>3205</v>
      </c>
      <c r="D49" s="234">
        <f>'Travel Time'!L25</f>
        <v>2691017</v>
      </c>
      <c r="E49" s="235">
        <f>'Travel Time'!M25</f>
        <v>2987941</v>
      </c>
      <c r="F49" s="234">
        <f>'Travel Time'!F25</f>
        <v>76886</v>
      </c>
      <c r="G49" s="235">
        <f>'Travel Time'!G25</f>
        <v>59801</v>
      </c>
      <c r="H49" s="237">
        <f t="shared" si="2"/>
        <v>158922.84073645002</v>
      </c>
      <c r="I49" s="238">
        <f t="shared" si="3"/>
        <v>157719.05180585003</v>
      </c>
      <c r="J49" s="237">
        <f t="shared" si="4"/>
        <v>1203.7889305999852</v>
      </c>
      <c r="K49" s="87"/>
      <c r="L49" s="91"/>
    </row>
    <row r="50" spans="1:16" x14ac:dyDescent="0.2">
      <c r="A50" s="230">
        <f t="shared" si="1"/>
        <v>2028</v>
      </c>
      <c r="B50" s="234">
        <f>'Travel Time'!B26</f>
        <v>3273</v>
      </c>
      <c r="C50" s="235">
        <f>'Travel Time'!B26</f>
        <v>3273</v>
      </c>
      <c r="D50" s="234">
        <f>'Travel Time'!L26</f>
        <v>2747949</v>
      </c>
      <c r="E50" s="235">
        <f>'Travel Time'!M26</f>
        <v>3051142</v>
      </c>
      <c r="F50" s="234">
        <f>'Travel Time'!F26</f>
        <v>78513</v>
      </c>
      <c r="G50" s="235">
        <f>'Travel Time'!G26</f>
        <v>61066</v>
      </c>
      <c r="H50" s="237">
        <f t="shared" si="2"/>
        <v>162285.33754065004</v>
      </c>
      <c r="I50" s="238">
        <f t="shared" si="3"/>
        <v>161055.19334270002</v>
      </c>
      <c r="J50" s="237">
        <f t="shared" si="4"/>
        <v>1230.1441979500232</v>
      </c>
      <c r="K50" s="87"/>
      <c r="L50" s="91"/>
    </row>
    <row r="51" spans="1:16" x14ac:dyDescent="0.2">
      <c r="A51" s="230">
        <f t="shared" si="1"/>
        <v>2029</v>
      </c>
      <c r="B51" s="234">
        <f>'Travel Time'!B27</f>
        <v>3342</v>
      </c>
      <c r="C51" s="235">
        <f>'Travel Time'!B27</f>
        <v>3342</v>
      </c>
      <c r="D51" s="234">
        <f>'Travel Time'!L27</f>
        <v>2806086</v>
      </c>
      <c r="E51" s="235">
        <f>'Travel Time'!M27</f>
        <v>3115680</v>
      </c>
      <c r="F51" s="234">
        <f>'Travel Time'!F27</f>
        <v>80174</v>
      </c>
      <c r="G51" s="235">
        <f>'Travel Time'!G27</f>
        <v>62357</v>
      </c>
      <c r="H51" s="237">
        <f t="shared" si="2"/>
        <v>165718.68374910002</v>
      </c>
      <c r="I51" s="238">
        <f t="shared" si="3"/>
        <v>164461.35250800001</v>
      </c>
      <c r="J51" s="237">
        <f t="shared" si="4"/>
        <v>1257.3312411000079</v>
      </c>
      <c r="K51" s="87"/>
      <c r="L51" s="91"/>
    </row>
    <row r="52" spans="1:16" x14ac:dyDescent="0.2">
      <c r="A52" s="230">
        <f t="shared" si="1"/>
        <v>2030</v>
      </c>
      <c r="B52" s="234">
        <f>'Travel Time'!B28</f>
        <v>3413</v>
      </c>
      <c r="C52" s="235">
        <f>'Travel Time'!B28</f>
        <v>3413</v>
      </c>
      <c r="D52" s="234">
        <f>'Travel Time'!L28</f>
        <v>2865452</v>
      </c>
      <c r="E52" s="235">
        <f>'Travel Time'!M28</f>
        <v>3181584</v>
      </c>
      <c r="F52" s="234">
        <f>'Travel Time'!F28</f>
        <v>81870</v>
      </c>
      <c r="G52" s="235">
        <f>'Travel Time'!G28</f>
        <v>63676</v>
      </c>
      <c r="H52" s="237">
        <f t="shared" si="2"/>
        <v>169224.52706620004</v>
      </c>
      <c r="I52" s="238">
        <f t="shared" si="3"/>
        <v>167940.10049040001</v>
      </c>
      <c r="J52" s="237">
        <f t="shared" si="4"/>
        <v>1284.4265758000256</v>
      </c>
      <c r="K52" s="87"/>
      <c r="L52" s="91"/>
    </row>
    <row r="53" spans="1:16" x14ac:dyDescent="0.2">
      <c r="A53" s="230">
        <f t="shared" si="1"/>
        <v>2031</v>
      </c>
      <c r="B53" s="234">
        <f>'Travel Time'!B29</f>
        <v>3485</v>
      </c>
      <c r="C53" s="235">
        <f>'Travel Time'!B29</f>
        <v>3485</v>
      </c>
      <c r="D53" s="234">
        <f>'Travel Time'!L29</f>
        <v>2926075</v>
      </c>
      <c r="E53" s="235">
        <f>'Travel Time'!M29</f>
        <v>3248881</v>
      </c>
      <c r="F53" s="234">
        <f>'Travel Time'!F29</f>
        <v>83602</v>
      </c>
      <c r="G53" s="235">
        <f>'Travel Time'!G29</f>
        <v>65023</v>
      </c>
      <c r="H53" s="237">
        <f t="shared" si="2"/>
        <v>172804.66766375003</v>
      </c>
      <c r="I53" s="238">
        <f t="shared" si="3"/>
        <v>171492.46644485003</v>
      </c>
      <c r="J53" s="237">
        <f t="shared" si="4"/>
        <v>1312.2012189000088</v>
      </c>
      <c r="K53" s="87"/>
      <c r="L53" s="91"/>
    </row>
    <row r="54" spans="1:16" x14ac:dyDescent="0.2">
      <c r="A54" s="230">
        <f t="shared" si="1"/>
        <v>2032</v>
      </c>
      <c r="B54" s="234">
        <f>'Travel Time'!B30</f>
        <v>3559</v>
      </c>
      <c r="C54" s="235">
        <f>'Travel Time'!B30</f>
        <v>3559</v>
      </c>
      <c r="D54" s="234">
        <f>'Travel Time'!L30</f>
        <v>2987980</v>
      </c>
      <c r="E54" s="235">
        <f>'Travel Time'!M30</f>
        <v>3317602</v>
      </c>
      <c r="F54" s="234">
        <f>'Travel Time'!F30</f>
        <v>85371</v>
      </c>
      <c r="G54" s="235">
        <f>'Travel Time'!G30</f>
        <v>66399</v>
      </c>
      <c r="H54" s="237">
        <f t="shared" si="2"/>
        <v>176460.79136300003</v>
      </c>
      <c r="I54" s="238">
        <f t="shared" si="3"/>
        <v>175120.36489370003</v>
      </c>
      <c r="J54" s="237">
        <f t="shared" si="4"/>
        <v>1340.4264693000005</v>
      </c>
      <c r="K54" s="87"/>
      <c r="L54" s="91"/>
    </row>
    <row r="55" spans="1:16" x14ac:dyDescent="0.2">
      <c r="A55" s="230">
        <f t="shared" si="1"/>
        <v>2033</v>
      </c>
      <c r="B55" s="234">
        <f>'Travel Time'!B31</f>
        <v>3634</v>
      </c>
      <c r="C55" s="235">
        <f>'Travel Time'!B31</f>
        <v>3634</v>
      </c>
      <c r="D55" s="234">
        <f>'Travel Time'!L31</f>
        <v>3051194</v>
      </c>
      <c r="E55" s="235">
        <f>'Travel Time'!M31</f>
        <v>3387776</v>
      </c>
      <c r="F55" s="234">
        <f>'Travel Time'!F31</f>
        <v>87177</v>
      </c>
      <c r="G55" s="235">
        <f>'Travel Time'!G31</f>
        <v>67803</v>
      </c>
      <c r="H55" s="237">
        <f t="shared" si="2"/>
        <v>180193.92731890001</v>
      </c>
      <c r="I55" s="238">
        <f t="shared" si="3"/>
        <v>178824.16832560001</v>
      </c>
      <c r="J55" s="237">
        <f t="shared" si="4"/>
        <v>1369.7589932999981</v>
      </c>
      <c r="K55" s="87"/>
      <c r="L55" s="91"/>
    </row>
    <row r="56" spans="1:16" x14ac:dyDescent="0.2">
      <c r="A56" s="230">
        <f t="shared" si="1"/>
        <v>2034</v>
      </c>
      <c r="B56" s="234">
        <f>'Travel Time'!B32</f>
        <v>3711</v>
      </c>
      <c r="C56" s="235">
        <f>'Travel Time'!B32</f>
        <v>3711</v>
      </c>
      <c r="D56" s="234">
        <f>'Travel Time'!L32</f>
        <v>3115746</v>
      </c>
      <c r="E56" s="235">
        <f>'Travel Time'!M32</f>
        <v>3459435</v>
      </c>
      <c r="F56" s="234">
        <f>'Travel Time'!F32</f>
        <v>89021</v>
      </c>
      <c r="G56" s="235">
        <f>'Travel Time'!G32</f>
        <v>69237</v>
      </c>
      <c r="H56" s="237">
        <f t="shared" si="2"/>
        <v>184005.91382010002</v>
      </c>
      <c r="I56" s="238">
        <f t="shared" si="3"/>
        <v>182606.56227975004</v>
      </c>
      <c r="J56" s="237">
        <f t="shared" si="4"/>
        <v>1399.3515403499769</v>
      </c>
      <c r="K56" s="87"/>
      <c r="L56" s="91"/>
    </row>
    <row r="57" spans="1:16" x14ac:dyDescent="0.2">
      <c r="A57" s="230">
        <f t="shared" si="1"/>
        <v>2035</v>
      </c>
      <c r="B57" s="234">
        <f>'Travel Time'!B33</f>
        <v>3790</v>
      </c>
      <c r="C57" s="235">
        <f>'Travel Time'!B33</f>
        <v>3790</v>
      </c>
      <c r="D57" s="234">
        <f>'Travel Time'!L33</f>
        <v>3181664</v>
      </c>
      <c r="E57" s="235">
        <f>'Travel Time'!M33</f>
        <v>3532609</v>
      </c>
      <c r="F57" s="234">
        <f>'Travel Time'!F33</f>
        <v>90905</v>
      </c>
      <c r="G57" s="235">
        <f>'Travel Time'!G33</f>
        <v>70702</v>
      </c>
      <c r="H57" s="237">
        <f t="shared" si="2"/>
        <v>187899.28393840004</v>
      </c>
      <c r="I57" s="238">
        <f t="shared" si="3"/>
        <v>186469.42316165002</v>
      </c>
      <c r="J57" s="237">
        <f t="shared" si="4"/>
        <v>1429.8607767500216</v>
      </c>
      <c r="K57" s="87"/>
      <c r="L57" s="91"/>
    </row>
    <row r="58" spans="1:16" x14ac:dyDescent="0.2">
      <c r="A58" s="230">
        <f t="shared" si="1"/>
        <v>2036</v>
      </c>
      <c r="B58" s="234">
        <f>'Travel Time'!B34</f>
        <v>3870</v>
      </c>
      <c r="C58" s="235">
        <f>'Travel Time'!B34</f>
        <v>3870</v>
      </c>
      <c r="D58" s="234">
        <f>'Travel Time'!L34</f>
        <v>3248977</v>
      </c>
      <c r="E58" s="235">
        <f>'Travel Time'!M34</f>
        <v>3607332</v>
      </c>
      <c r="F58" s="234">
        <f>'Travel Time'!F34</f>
        <v>92828</v>
      </c>
      <c r="G58" s="235">
        <f>'Travel Time'!G34</f>
        <v>72197</v>
      </c>
      <c r="H58" s="237">
        <f t="shared" si="2"/>
        <v>191874.41016245002</v>
      </c>
      <c r="I58" s="238">
        <f t="shared" si="3"/>
        <v>190413.31404420003</v>
      </c>
      <c r="J58" s="237">
        <f t="shared" si="4"/>
        <v>1461.0961182499886</v>
      </c>
      <c r="K58" s="87"/>
      <c r="L58" s="91"/>
    </row>
    <row r="59" spans="1:16" x14ac:dyDescent="0.2">
      <c r="A59" s="230">
        <f t="shared" si="1"/>
        <v>2037</v>
      </c>
      <c r="B59" s="234">
        <f>'Travel Time'!B35</f>
        <v>3952</v>
      </c>
      <c r="C59" s="235">
        <f>'Travel Time'!B35</f>
        <v>3952</v>
      </c>
      <c r="D59" s="234">
        <f>'Travel Time'!L35</f>
        <v>3317713</v>
      </c>
      <c r="E59" s="235">
        <f>'Travel Time'!M35</f>
        <v>3683634</v>
      </c>
      <c r="F59" s="234">
        <f>'Travel Time'!F35</f>
        <v>94792</v>
      </c>
      <c r="G59" s="235">
        <f>'Travel Time'!G35</f>
        <v>73724</v>
      </c>
      <c r="H59" s="237">
        <f t="shared" si="2"/>
        <v>195933.82556405003</v>
      </c>
      <c r="I59" s="238">
        <f t="shared" si="3"/>
        <v>194440.84423290001</v>
      </c>
      <c r="J59" s="237">
        <f t="shared" si="4"/>
        <v>1492.9813311500184</v>
      </c>
      <c r="K59" s="87"/>
      <c r="L59" s="91"/>
    </row>
    <row r="60" spans="1:16" x14ac:dyDescent="0.2">
      <c r="A60" s="230">
        <f t="shared" si="1"/>
        <v>2038</v>
      </c>
      <c r="B60" s="234">
        <f>'Travel Time'!B36</f>
        <v>4035</v>
      </c>
      <c r="C60" s="235">
        <f>'Travel Time'!B36</f>
        <v>4035</v>
      </c>
      <c r="D60" s="234">
        <f>'Travel Time'!L36</f>
        <v>3387904</v>
      </c>
      <c r="E60" s="235">
        <f>'Travel Time'!M36</f>
        <v>3761551</v>
      </c>
      <c r="F60" s="234">
        <f>'Travel Time'!F36</f>
        <v>96797</v>
      </c>
      <c r="G60" s="235">
        <f>'Travel Time'!G36</f>
        <v>75284</v>
      </c>
      <c r="H60" s="237">
        <f t="shared" si="2"/>
        <v>200078.74988240004</v>
      </c>
      <c r="I60" s="238">
        <f t="shared" si="3"/>
        <v>198554.11883435003</v>
      </c>
      <c r="J60" s="237">
        <f t="shared" si="4"/>
        <v>1524.6310480500106</v>
      </c>
      <c r="K60" s="87"/>
      <c r="L60" s="91"/>
    </row>
    <row r="61" spans="1:16" x14ac:dyDescent="0.2">
      <c r="A61" s="230">
        <f t="shared" si="1"/>
        <v>2039</v>
      </c>
      <c r="B61" s="234">
        <f>'Travel Time'!B37</f>
        <v>4121</v>
      </c>
      <c r="C61" s="235">
        <f>'Travel Time'!B37</f>
        <v>4121</v>
      </c>
      <c r="D61" s="234">
        <f>'Travel Time'!L37</f>
        <v>3459579.4999999995</v>
      </c>
      <c r="E61" s="235">
        <f>'Travel Time'!M37</f>
        <v>3841116</v>
      </c>
      <c r="F61" s="234">
        <f>'Travel Time'!F37</f>
        <v>98845.13</v>
      </c>
      <c r="G61" s="235">
        <f>'Travel Time'!G37</f>
        <v>76876</v>
      </c>
      <c r="H61" s="237">
        <f t="shared" si="2"/>
        <v>204311.86864157501</v>
      </c>
      <c r="I61" s="238">
        <f t="shared" si="3"/>
        <v>202753.66280460003</v>
      </c>
      <c r="J61" s="237">
        <f t="shared" si="4"/>
        <v>1558.2058369749866</v>
      </c>
      <c r="K61" s="87"/>
      <c r="L61" s="91"/>
    </row>
    <row r="62" spans="1:16" x14ac:dyDescent="0.2">
      <c r="A62" s="230">
        <f t="shared" si="1"/>
        <v>2040</v>
      </c>
      <c r="B62" s="234">
        <f>'Travel Time'!B38</f>
        <v>4208</v>
      </c>
      <c r="C62" s="235">
        <f>'Travel Time'!B38</f>
        <v>4208</v>
      </c>
      <c r="D62" s="234">
        <f>'Travel Time'!L38</f>
        <v>30469032</v>
      </c>
      <c r="E62" s="235">
        <f>'Travel Time'!M38</f>
        <v>3922364</v>
      </c>
      <c r="F62" s="234">
        <f>'Travel Time'!F38</f>
        <v>761725.8</v>
      </c>
      <c r="G62" s="235">
        <f>'Travel Time'!G38</f>
        <v>78502</v>
      </c>
      <c r="H62" s="237">
        <f t="shared" si="2"/>
        <v>1719652.3612092002</v>
      </c>
      <c r="I62" s="238">
        <f t="shared" si="3"/>
        <v>207042.27603340003</v>
      </c>
      <c r="J62" s="237">
        <f t="shared" si="4"/>
        <v>1512610.0851758001</v>
      </c>
      <c r="K62" s="87"/>
      <c r="L62" s="91"/>
    </row>
    <row r="63" spans="1:16" x14ac:dyDescent="0.2">
      <c r="A63" s="230">
        <f t="shared" si="1"/>
        <v>2041</v>
      </c>
      <c r="B63" s="234">
        <f>'Travel Time'!B39</f>
        <v>4297</v>
      </c>
      <c r="C63" s="235">
        <f>'Travel Time'!B39</f>
        <v>4297</v>
      </c>
      <c r="D63" s="234">
        <f>'Travel Time'!L39</f>
        <v>31120776.000000004</v>
      </c>
      <c r="E63" s="235">
        <f>'Travel Time'!M39</f>
        <v>3607331.4999999995</v>
      </c>
      <c r="F63" s="234">
        <f>'Travel Time'!F39</f>
        <v>778019.4</v>
      </c>
      <c r="G63" s="235">
        <f>'Travel Time'!G39</f>
        <v>80162.92</v>
      </c>
      <c r="H63" s="237">
        <f t="shared" ref="H63" si="5">D63*$B$19+F63*$B$20+$B$17*$B$21</f>
        <v>1756436.3689356004</v>
      </c>
      <c r="I63" s="238">
        <f t="shared" ref="I63" si="6">E63*$C$19+G63*$C$20+$C$17*$C$21</f>
        <v>196251.51775377503</v>
      </c>
      <c r="J63" s="237">
        <f t="shared" ref="J63" si="7">H63-I63</f>
        <v>1560184.8511818254</v>
      </c>
      <c r="K63" s="87"/>
      <c r="L63" s="91"/>
    </row>
    <row r="64" spans="1:16" x14ac:dyDescent="0.2">
      <c r="O64" s="91"/>
      <c r="P64" s="91"/>
    </row>
    <row r="65" spans="1:16" x14ac:dyDescent="0.2">
      <c r="O65" s="91"/>
      <c r="P65" s="91"/>
    </row>
    <row r="66" spans="1:16" ht="63.75" x14ac:dyDescent="0.2">
      <c r="A66" s="231" t="s">
        <v>1</v>
      </c>
      <c r="B66" s="221" t="s">
        <v>93</v>
      </c>
      <c r="C66" s="221" t="s">
        <v>92</v>
      </c>
      <c r="D66" s="221" t="s">
        <v>87</v>
      </c>
      <c r="E66" s="221" t="s">
        <v>91</v>
      </c>
      <c r="F66" s="221" t="s">
        <v>88</v>
      </c>
      <c r="G66" s="221" t="s">
        <v>89</v>
      </c>
      <c r="H66" s="221" t="s">
        <v>90</v>
      </c>
      <c r="I66" s="221" t="s">
        <v>94</v>
      </c>
      <c r="J66" s="221" t="s">
        <v>100</v>
      </c>
      <c r="O66" s="91"/>
      <c r="P66" s="91"/>
    </row>
    <row r="67" spans="1:16" x14ac:dyDescent="0.2">
      <c r="A67" s="230">
        <v>2017</v>
      </c>
      <c r="B67" s="90"/>
      <c r="C67" s="235"/>
      <c r="D67" s="90"/>
      <c r="E67" s="235"/>
      <c r="F67" s="90"/>
      <c r="G67" s="235"/>
      <c r="H67" s="232"/>
      <c r="I67" s="255"/>
      <c r="J67" s="256"/>
      <c r="O67" s="91"/>
      <c r="P67" s="91"/>
    </row>
    <row r="68" spans="1:16" x14ac:dyDescent="0.2">
      <c r="A68" s="230">
        <v>2018</v>
      </c>
      <c r="B68" s="90"/>
      <c r="C68" s="235"/>
      <c r="D68" s="90"/>
      <c r="E68" s="235"/>
      <c r="F68" s="90"/>
      <c r="G68" s="235"/>
      <c r="H68" s="232"/>
      <c r="I68" s="255"/>
      <c r="J68" s="256"/>
      <c r="O68" s="91"/>
      <c r="P68" s="91"/>
    </row>
    <row r="69" spans="1:16" x14ac:dyDescent="0.2">
      <c r="A69" s="230">
        <v>2019</v>
      </c>
      <c r="B69" s="90"/>
      <c r="C69" s="235"/>
      <c r="D69" s="90"/>
      <c r="E69" s="235"/>
      <c r="F69" s="90"/>
      <c r="G69" s="235"/>
      <c r="H69" s="232"/>
      <c r="I69" s="255"/>
      <c r="J69" s="256"/>
    </row>
    <row r="70" spans="1:16" x14ac:dyDescent="0.2">
      <c r="A70" s="230">
        <f>A69+1</f>
        <v>2020</v>
      </c>
      <c r="B70" s="90"/>
      <c r="C70" s="235"/>
      <c r="D70" s="90"/>
      <c r="E70" s="235"/>
      <c r="F70" s="90"/>
      <c r="G70" s="235"/>
      <c r="H70" s="232"/>
      <c r="I70" s="255"/>
      <c r="J70" s="256"/>
    </row>
    <row r="71" spans="1:16" x14ac:dyDescent="0.2">
      <c r="A71" s="230">
        <f t="shared" ref="A71:A91" si="8">A70+1</f>
        <v>2021</v>
      </c>
      <c r="B71" s="90"/>
      <c r="C71" s="235"/>
      <c r="D71" s="90"/>
      <c r="E71" s="235"/>
      <c r="F71" s="90"/>
      <c r="G71" s="235"/>
      <c r="H71" s="232"/>
      <c r="I71" s="255"/>
      <c r="J71" s="256"/>
    </row>
    <row r="72" spans="1:16" x14ac:dyDescent="0.2">
      <c r="A72" s="230">
        <f t="shared" si="8"/>
        <v>2022</v>
      </c>
      <c r="B72" s="90">
        <f>F44-G44</f>
        <v>15386.410000000003</v>
      </c>
      <c r="C72" s="235">
        <f>J44</f>
        <v>11274.088884775003</v>
      </c>
      <c r="D72" s="90">
        <f t="shared" ref="D72:D91" si="9">C72*$B$27</f>
        <v>100192827.91899545</v>
      </c>
      <c r="E72" s="235">
        <f t="shared" ref="E72:E91" si="10">C72*$B$28</f>
        <v>182640.23993335504</v>
      </c>
      <c r="F72" s="90">
        <f t="shared" ref="F72:F91" si="11">C72*$B$29</f>
        <v>153327.60883294002</v>
      </c>
      <c r="G72" s="235">
        <f t="shared" ref="G72:G91" si="12">C72*$B$30</f>
        <v>3075.5714477666206</v>
      </c>
      <c r="H72" s="232">
        <f t="shared" ref="H72:H91" si="13">C72*$B$31</f>
        <v>0</v>
      </c>
      <c r="I72" s="255">
        <f>D72*$C$6+E72*$C$7+F72*$C$8+G72*$C$9+H72*$C$10</f>
        <v>8393.1236822192532</v>
      </c>
      <c r="J72" s="256">
        <f>I72*NPV!C7</f>
        <v>5984.1811881194044</v>
      </c>
    </row>
    <row r="73" spans="1:16" x14ac:dyDescent="0.2">
      <c r="A73" s="230">
        <f t="shared" si="8"/>
        <v>2023</v>
      </c>
      <c r="B73" s="90">
        <f t="shared" ref="B73:B91" si="14">F45-G45</f>
        <v>15712</v>
      </c>
      <c r="C73" s="235">
        <f t="shared" ref="C73:C91" si="15">J45</f>
        <v>1104.9650785499834</v>
      </c>
      <c r="D73" s="90">
        <f t="shared" si="9"/>
        <v>9819824.653073702</v>
      </c>
      <c r="E73" s="235">
        <f t="shared" si="10"/>
        <v>17900.43427250973</v>
      </c>
      <c r="F73" s="90">
        <f t="shared" si="11"/>
        <v>15027.525068279774</v>
      </c>
      <c r="G73" s="235">
        <f t="shared" si="12"/>
        <v>301.43447342843547</v>
      </c>
      <c r="H73" s="232">
        <f t="shared" si="13"/>
        <v>0</v>
      </c>
      <c r="I73" s="255">
        <f>D73*$C$6+E73*$C$7+F73*$C$8+G73*$C$9+H73*$C$10</f>
        <v>822.60381868438731</v>
      </c>
      <c r="J73" s="256">
        <f>I73*NPV!C8</f>
        <v>548.13565786210995</v>
      </c>
    </row>
    <row r="74" spans="1:16" x14ac:dyDescent="0.2">
      <c r="A74" s="230">
        <f t="shared" si="8"/>
        <v>2024</v>
      </c>
      <c r="B74" s="90">
        <f t="shared" si="14"/>
        <v>16045</v>
      </c>
      <c r="C74" s="235">
        <f t="shared" si="15"/>
        <v>1129.2390214499901</v>
      </c>
      <c r="D74" s="90">
        <f t="shared" si="9"/>
        <v>10035547.183626061</v>
      </c>
      <c r="E74" s="235">
        <f t="shared" si="10"/>
        <v>18293.67214748984</v>
      </c>
      <c r="F74" s="90">
        <f t="shared" si="11"/>
        <v>15357.650691719866</v>
      </c>
      <c r="G74" s="235">
        <f t="shared" si="12"/>
        <v>308.05640505155731</v>
      </c>
      <c r="H74" s="232">
        <f t="shared" si="13"/>
        <v>0</v>
      </c>
      <c r="I74" s="255">
        <f t="shared" ref="I74:I91" si="16">D74*$C$6+E74*$C$7+F74*$C$8+G74*$C$9+H74*$C$10</f>
        <v>840.6748315260561</v>
      </c>
      <c r="J74" s="256">
        <f>I74*NPV!C9</f>
        <v>523.53003434172354</v>
      </c>
    </row>
    <row r="75" spans="1:16" x14ac:dyDescent="0.2">
      <c r="A75" s="230">
        <f t="shared" si="8"/>
        <v>2025</v>
      </c>
      <c r="B75" s="90">
        <f t="shared" si="14"/>
        <v>16384</v>
      </c>
      <c r="C75" s="235">
        <f t="shared" si="15"/>
        <v>1153.2219918000046</v>
      </c>
      <c r="D75" s="90">
        <f t="shared" si="9"/>
        <v>10248683.841126641</v>
      </c>
      <c r="E75" s="235">
        <f t="shared" si="10"/>
        <v>18682.196267160074</v>
      </c>
      <c r="F75" s="90">
        <f t="shared" si="11"/>
        <v>15683.819088480062</v>
      </c>
      <c r="G75" s="235">
        <f t="shared" si="12"/>
        <v>314.59895936304122</v>
      </c>
      <c r="H75" s="232">
        <f t="shared" si="13"/>
        <v>0</v>
      </c>
      <c r="I75" s="255">
        <f t="shared" si="16"/>
        <v>858.52922654386566</v>
      </c>
      <c r="J75" s="256">
        <f>I75*NPV!C10</f>
        <v>499.67182638371025</v>
      </c>
    </row>
    <row r="76" spans="1:16" x14ac:dyDescent="0.2">
      <c r="A76" s="230">
        <f t="shared" si="8"/>
        <v>2026</v>
      </c>
      <c r="B76" s="90">
        <f t="shared" si="14"/>
        <v>16731</v>
      </c>
      <c r="C76" s="235">
        <f t="shared" si="15"/>
        <v>1178.3416727499862</v>
      </c>
      <c r="D76" s="90">
        <f t="shared" si="9"/>
        <v>10471922.445729127</v>
      </c>
      <c r="E76" s="235">
        <f t="shared" si="10"/>
        <v>19089.135098549774</v>
      </c>
      <c r="F76" s="90">
        <f t="shared" si="11"/>
        <v>16025.446749399811</v>
      </c>
      <c r="G76" s="235">
        <f t="shared" si="12"/>
        <v>321.45160832619621</v>
      </c>
      <c r="H76" s="232">
        <f t="shared" si="13"/>
        <v>0</v>
      </c>
      <c r="I76" s="255">
        <f t="shared" si="16"/>
        <v>877.22985869479703</v>
      </c>
      <c r="J76" s="256">
        <f>I76*NPV!C11</f>
        <v>477.15492014642433</v>
      </c>
    </row>
    <row r="77" spans="1:16" x14ac:dyDescent="0.2">
      <c r="A77" s="230">
        <f t="shared" si="8"/>
        <v>2027</v>
      </c>
      <c r="B77" s="90">
        <f t="shared" si="14"/>
        <v>17085</v>
      </c>
      <c r="C77" s="235">
        <f t="shared" si="15"/>
        <v>1203.7889305999852</v>
      </c>
      <c r="D77" s="90">
        <f t="shared" si="9"/>
        <v>10698072.226242069</v>
      </c>
      <c r="E77" s="235">
        <f t="shared" si="10"/>
        <v>19501.38067571976</v>
      </c>
      <c r="F77" s="90">
        <f t="shared" si="11"/>
        <v>16371.529456159798</v>
      </c>
      <c r="G77" s="235">
        <f t="shared" si="12"/>
        <v>328.39362026767594</v>
      </c>
      <c r="H77" s="232">
        <f t="shared" si="13"/>
        <v>0</v>
      </c>
      <c r="I77" s="255">
        <f t="shared" si="16"/>
        <v>896.17435919423849</v>
      </c>
      <c r="J77" s="256">
        <f>I77*NPV!C12</f>
        <v>455.56960112567549</v>
      </c>
    </row>
    <row r="78" spans="1:16" x14ac:dyDescent="0.2">
      <c r="A78" s="230">
        <f t="shared" si="8"/>
        <v>2028</v>
      </c>
      <c r="B78" s="90">
        <f t="shared" si="14"/>
        <v>17447</v>
      </c>
      <c r="C78" s="235">
        <f t="shared" si="15"/>
        <v>1230.1441979500232</v>
      </c>
      <c r="D78" s="90">
        <f t="shared" si="9"/>
        <v>10932291.487181857</v>
      </c>
      <c r="E78" s="235">
        <f t="shared" si="10"/>
        <v>19928.336006790374</v>
      </c>
      <c r="F78" s="90">
        <f t="shared" si="11"/>
        <v>16729.961092120317</v>
      </c>
      <c r="G78" s="235">
        <f t="shared" si="12"/>
        <v>335.58333720076632</v>
      </c>
      <c r="H78" s="232">
        <f t="shared" si="13"/>
        <v>0</v>
      </c>
      <c r="I78" s="255">
        <f t="shared" si="16"/>
        <v>915.79483769211038</v>
      </c>
      <c r="J78" s="256">
        <f>I78*NPV!C13</f>
        <v>435.08753035646077</v>
      </c>
    </row>
    <row r="79" spans="1:16" x14ac:dyDescent="0.2">
      <c r="A79" s="230">
        <f t="shared" si="8"/>
        <v>2029</v>
      </c>
      <c r="B79" s="90">
        <f t="shared" si="14"/>
        <v>17817</v>
      </c>
      <c r="C79" s="235">
        <f t="shared" si="15"/>
        <v>1257.3312411000079</v>
      </c>
      <c r="D79" s="90">
        <f t="shared" si="9"/>
        <v>11173902.73965577</v>
      </c>
      <c r="E79" s="235">
        <f t="shared" si="10"/>
        <v>20368.766105820127</v>
      </c>
      <c r="F79" s="90">
        <f t="shared" si="11"/>
        <v>17099.704878960107</v>
      </c>
      <c r="G79" s="235">
        <f t="shared" si="12"/>
        <v>342.99996257208215</v>
      </c>
      <c r="H79" s="232">
        <f t="shared" si="13"/>
        <v>0</v>
      </c>
      <c r="I79" s="255">
        <f t="shared" si="16"/>
        <v>936.0345411434289</v>
      </c>
      <c r="J79" s="256">
        <f>I79*NPV!C14</f>
        <v>415.61053053009653</v>
      </c>
    </row>
    <row r="80" spans="1:16" x14ac:dyDescent="0.2">
      <c r="A80" s="230">
        <f t="shared" si="8"/>
        <v>2030</v>
      </c>
      <c r="B80" s="90">
        <f t="shared" si="14"/>
        <v>18194</v>
      </c>
      <c r="C80" s="235">
        <f t="shared" si="15"/>
        <v>1284.4265758000256</v>
      </c>
      <c r="D80" s="90">
        <f t="shared" si="9"/>
        <v>11414698.979134828</v>
      </c>
      <c r="E80" s="235">
        <f t="shared" si="10"/>
        <v>20807.710527960415</v>
      </c>
      <c r="F80" s="90">
        <f t="shared" si="11"/>
        <v>17468.201430880348</v>
      </c>
      <c r="G80" s="235">
        <f t="shared" si="12"/>
        <v>350.39156987824697</v>
      </c>
      <c r="H80" s="232">
        <f t="shared" si="13"/>
        <v>0</v>
      </c>
      <c r="I80" s="255">
        <f t="shared" si="16"/>
        <v>956.20597119623653</v>
      </c>
      <c r="J80" s="256">
        <f>I80*NPV!C15</f>
        <v>396.79148290516918</v>
      </c>
    </row>
    <row r="81" spans="1:10" x14ac:dyDescent="0.2">
      <c r="A81" s="230">
        <f t="shared" si="8"/>
        <v>2031</v>
      </c>
      <c r="B81" s="90">
        <f t="shared" si="14"/>
        <v>18579</v>
      </c>
      <c r="C81" s="235">
        <f t="shared" si="15"/>
        <v>1312.2012189000088</v>
      </c>
      <c r="D81" s="90">
        <f t="shared" si="9"/>
        <v>11661532.232364379</v>
      </c>
      <c r="E81" s="235">
        <f t="shared" si="10"/>
        <v>21257.659746180143</v>
      </c>
      <c r="F81" s="90">
        <f t="shared" si="11"/>
        <v>17845.93657704012</v>
      </c>
      <c r="G81" s="235">
        <f t="shared" si="12"/>
        <v>357.96849251592238</v>
      </c>
      <c r="H81" s="232">
        <f t="shared" si="13"/>
        <v>0</v>
      </c>
      <c r="I81" s="255">
        <f t="shared" si="16"/>
        <v>976.8831201126751</v>
      </c>
      <c r="J81" s="256">
        <f>I81*NPV!C16</f>
        <v>378.85211643849368</v>
      </c>
    </row>
    <row r="82" spans="1:10" x14ac:dyDescent="0.2">
      <c r="A82" s="230">
        <f t="shared" si="8"/>
        <v>2032</v>
      </c>
      <c r="B82" s="90">
        <f t="shared" si="14"/>
        <v>18972</v>
      </c>
      <c r="C82" s="235">
        <f t="shared" si="15"/>
        <v>1340.4264693000005</v>
      </c>
      <c r="D82" s="90">
        <f t="shared" si="9"/>
        <v>11912370.032669105</v>
      </c>
      <c r="E82" s="235">
        <f t="shared" si="10"/>
        <v>21714.908802660007</v>
      </c>
      <c r="F82" s="90">
        <f t="shared" si="11"/>
        <v>18229.799982480006</v>
      </c>
      <c r="G82" s="235">
        <f t="shared" si="12"/>
        <v>365.6683408250401</v>
      </c>
      <c r="H82" s="232">
        <f t="shared" si="13"/>
        <v>0</v>
      </c>
      <c r="I82" s="255">
        <f t="shared" si="16"/>
        <v>997.89572875803128</v>
      </c>
      <c r="J82" s="256">
        <f>I82*NPV!C17</f>
        <v>361.68333490646023</v>
      </c>
    </row>
    <row r="83" spans="1:10" x14ac:dyDescent="0.2">
      <c r="A83" s="230">
        <f t="shared" si="8"/>
        <v>2033</v>
      </c>
      <c r="B83" s="90">
        <f t="shared" si="14"/>
        <v>19374</v>
      </c>
      <c r="C83" s="235">
        <f t="shared" si="15"/>
        <v>1369.7589932999981</v>
      </c>
      <c r="D83" s="90">
        <f t="shared" si="9"/>
        <v>12173048.173457082</v>
      </c>
      <c r="E83" s="235">
        <f t="shared" si="10"/>
        <v>22190.09569145997</v>
      </c>
      <c r="F83" s="90">
        <f t="shared" si="11"/>
        <v>18628.722308879973</v>
      </c>
      <c r="G83" s="235">
        <f t="shared" si="12"/>
        <v>373.67025337223947</v>
      </c>
      <c r="H83" s="232">
        <f t="shared" si="13"/>
        <v>0</v>
      </c>
      <c r="I83" s="255">
        <f t="shared" si="16"/>
        <v>1019.732659827123</v>
      </c>
      <c r="J83" s="256">
        <f>I83*NPV!C18</f>
        <v>345.41873238659548</v>
      </c>
    </row>
    <row r="84" spans="1:10" x14ac:dyDescent="0.2">
      <c r="A84" s="230">
        <f t="shared" si="8"/>
        <v>2034</v>
      </c>
      <c r="B84" s="90">
        <f t="shared" si="14"/>
        <v>19784</v>
      </c>
      <c r="C84" s="235">
        <f t="shared" si="15"/>
        <v>1399.3515403499769</v>
      </c>
      <c r="D84" s="90">
        <f t="shared" si="9"/>
        <v>12436037.139090244</v>
      </c>
      <c r="E84" s="235">
        <f t="shared" si="10"/>
        <v>22669.494953669626</v>
      </c>
      <c r="F84" s="90">
        <f t="shared" si="11"/>
        <v>19031.180948759684</v>
      </c>
      <c r="G84" s="235">
        <f t="shared" si="12"/>
        <v>381.74310020747367</v>
      </c>
      <c r="H84" s="232">
        <f t="shared" si="13"/>
        <v>0</v>
      </c>
      <c r="I84" s="255">
        <f t="shared" si="16"/>
        <v>1041.7631680128247</v>
      </c>
      <c r="J84" s="256">
        <f>I84*NPV!C19</f>
        <v>329.79553992162039</v>
      </c>
    </row>
    <row r="85" spans="1:10" x14ac:dyDescent="0.2">
      <c r="A85" s="230">
        <f t="shared" si="8"/>
        <v>2035</v>
      </c>
      <c r="B85" s="90">
        <f t="shared" si="14"/>
        <v>20203</v>
      </c>
      <c r="C85" s="235">
        <f t="shared" si="15"/>
        <v>1429.8607767500216</v>
      </c>
      <c r="D85" s="90">
        <f t="shared" si="9"/>
        <v>12707172.722977443</v>
      </c>
      <c r="E85" s="235">
        <f t="shared" si="10"/>
        <v>23163.744583350348</v>
      </c>
      <c r="F85" s="90">
        <f t="shared" si="11"/>
        <v>19446.106563800295</v>
      </c>
      <c r="G85" s="235">
        <f t="shared" si="12"/>
        <v>390.06601989740585</v>
      </c>
      <c r="H85" s="232">
        <f t="shared" si="13"/>
        <v>0</v>
      </c>
      <c r="I85" s="255">
        <f t="shared" si="16"/>
        <v>1064.476116010019</v>
      </c>
      <c r="J85" s="256">
        <f>I85*NPV!C20</f>
        <v>314.94007251352821</v>
      </c>
    </row>
    <row r="86" spans="1:10" x14ac:dyDescent="0.2">
      <c r="A86" s="230">
        <f t="shared" si="8"/>
        <v>2036</v>
      </c>
      <c r="B86" s="90">
        <f t="shared" si="14"/>
        <v>20631</v>
      </c>
      <c r="C86" s="235">
        <f t="shared" si="15"/>
        <v>1461.0961182499886</v>
      </c>
      <c r="D86" s="90">
        <f t="shared" si="9"/>
        <v>12984761.202887649</v>
      </c>
      <c r="E86" s="235">
        <f t="shared" si="10"/>
        <v>23669.757115649816</v>
      </c>
      <c r="F86" s="90">
        <f t="shared" si="11"/>
        <v>19870.907208199846</v>
      </c>
      <c r="G86" s="235">
        <f t="shared" si="12"/>
        <v>398.58702105859686</v>
      </c>
      <c r="H86" s="232">
        <f t="shared" si="13"/>
        <v>0</v>
      </c>
      <c r="I86" s="255">
        <f t="shared" si="16"/>
        <v>1087.7296212063113</v>
      </c>
      <c r="J86" s="256">
        <f>I86*NPV!C21</f>
        <v>300.76630432626905</v>
      </c>
    </row>
    <row r="87" spans="1:10" x14ac:dyDescent="0.2">
      <c r="A87" s="230">
        <f t="shared" si="8"/>
        <v>2037</v>
      </c>
      <c r="B87" s="90">
        <f t="shared" si="14"/>
        <v>21068</v>
      </c>
      <c r="C87" s="235">
        <f t="shared" si="15"/>
        <v>1492.9813311500184</v>
      </c>
      <c r="D87" s="90">
        <f t="shared" si="9"/>
        <v>13268125.089930214</v>
      </c>
      <c r="E87" s="235">
        <f t="shared" si="10"/>
        <v>24186.297564630298</v>
      </c>
      <c r="F87" s="90">
        <f t="shared" si="11"/>
        <v>20304.546103640248</v>
      </c>
      <c r="G87" s="235">
        <f t="shared" si="12"/>
        <v>407.285307137725</v>
      </c>
      <c r="H87" s="232">
        <f t="shared" si="13"/>
        <v>0</v>
      </c>
      <c r="I87" s="255">
        <f t="shared" si="16"/>
        <v>1111.4669305568918</v>
      </c>
      <c r="J87" s="256">
        <f>I87*NPV!C22</f>
        <v>287.22417585510345</v>
      </c>
    </row>
    <row r="88" spans="1:10" x14ac:dyDescent="0.2">
      <c r="A88" s="230">
        <f t="shared" si="8"/>
        <v>2038</v>
      </c>
      <c r="B88" s="90">
        <f t="shared" si="14"/>
        <v>21513</v>
      </c>
      <c r="C88" s="235">
        <f t="shared" si="15"/>
        <v>1524.6310480500106</v>
      </c>
      <c r="D88" s="90">
        <f t="shared" si="9"/>
        <v>13549396.124020444</v>
      </c>
      <c r="E88" s="235">
        <f t="shared" si="10"/>
        <v>24699.022978410172</v>
      </c>
      <c r="F88" s="90">
        <f t="shared" si="11"/>
        <v>20734.982253480142</v>
      </c>
      <c r="G88" s="235">
        <f t="shared" si="12"/>
        <v>415.91934990804288</v>
      </c>
      <c r="H88" s="232">
        <f t="shared" si="13"/>
        <v>0</v>
      </c>
      <c r="I88" s="255">
        <f t="shared" si="16"/>
        <v>1135.0289222321207</v>
      </c>
      <c r="J88" s="256">
        <f>I88*NPV!C23</f>
        <v>274.12433854964934</v>
      </c>
    </row>
    <row r="89" spans="1:10" x14ac:dyDescent="0.2">
      <c r="A89" s="230">
        <f t="shared" si="8"/>
        <v>2039</v>
      </c>
      <c r="B89" s="90">
        <f t="shared" si="14"/>
        <v>21969.130000000005</v>
      </c>
      <c r="C89" s="235">
        <f t="shared" si="15"/>
        <v>1558.2058369749866</v>
      </c>
      <c r="D89" s="90">
        <f t="shared" si="9"/>
        <v>13847775.273196707</v>
      </c>
      <c r="E89" s="235">
        <f t="shared" si="10"/>
        <v>25242.934558994781</v>
      </c>
      <c r="F89" s="90">
        <f t="shared" si="11"/>
        <v>21191.599382859818</v>
      </c>
      <c r="G89" s="235">
        <f t="shared" si="12"/>
        <v>425.07855232677633</v>
      </c>
      <c r="H89" s="232">
        <f t="shared" si="13"/>
        <v>0</v>
      </c>
      <c r="I89" s="255">
        <f t="shared" si="16"/>
        <v>1160.0240556687818</v>
      </c>
      <c r="J89" s="256">
        <f>I89*NPV!C24</f>
        <v>261.83270128921856</v>
      </c>
    </row>
    <row r="90" spans="1:10" x14ac:dyDescent="0.2">
      <c r="A90" s="230">
        <f t="shared" si="8"/>
        <v>2040</v>
      </c>
      <c r="B90" s="90">
        <f t="shared" si="14"/>
        <v>683223.8</v>
      </c>
      <c r="C90" s="235">
        <f t="shared" si="15"/>
        <v>1512610.0851758001</v>
      </c>
      <c r="D90" s="90">
        <f t="shared" si="9"/>
        <v>13442565826.957336</v>
      </c>
      <c r="E90" s="235">
        <f t="shared" si="10"/>
        <v>24504283.379847962</v>
      </c>
      <c r="F90" s="90">
        <f t="shared" si="11"/>
        <v>20571497.15839088</v>
      </c>
      <c r="G90" s="235">
        <f t="shared" si="12"/>
        <v>412640.03123595827</v>
      </c>
      <c r="H90" s="232">
        <f t="shared" si="13"/>
        <v>0</v>
      </c>
      <c r="I90" s="255">
        <f t="shared" si="16"/>
        <v>1126079.7797148158</v>
      </c>
      <c r="J90" s="256">
        <f>I90*NPV!C25</f>
        <v>237543.01992890341</v>
      </c>
    </row>
    <row r="91" spans="1:10" ht="13.5" thickBot="1" x14ac:dyDescent="0.25">
      <c r="A91" s="230">
        <f t="shared" si="8"/>
        <v>2041</v>
      </c>
      <c r="B91" s="90">
        <f t="shared" si="14"/>
        <v>697856.48</v>
      </c>
      <c r="C91" s="235">
        <f t="shared" si="15"/>
        <v>1560184.8511818254</v>
      </c>
      <c r="D91" s="90">
        <f t="shared" si="9"/>
        <v>13865362772.452883</v>
      </c>
      <c r="E91" s="235">
        <f t="shared" si="10"/>
        <v>25274994.589145571</v>
      </c>
      <c r="F91" s="90">
        <f t="shared" si="11"/>
        <v>21218513.976072825</v>
      </c>
      <c r="G91" s="235">
        <f t="shared" si="12"/>
        <v>425618.42740240193</v>
      </c>
      <c r="H91" s="232">
        <f t="shared" si="13"/>
        <v>0</v>
      </c>
      <c r="I91" s="257">
        <f t="shared" si="16"/>
        <v>1161497.3553009408</v>
      </c>
      <c r="J91" s="258">
        <f>I91*NPV!C26</f>
        <v>228985.27767704669</v>
      </c>
    </row>
    <row r="92" spans="1:10" ht="13.5" thickTop="1" x14ac:dyDescent="0.2">
      <c r="A92" s="334" t="s">
        <v>0</v>
      </c>
      <c r="B92" s="334"/>
      <c r="C92" s="334"/>
      <c r="D92" s="334"/>
      <c r="E92" s="334"/>
      <c r="F92" s="334"/>
      <c r="G92" s="334"/>
      <c r="H92" s="334"/>
      <c r="I92" s="236">
        <f>SUM(I67:I91)</f>
        <v>2312668.5064650355</v>
      </c>
      <c r="J92" s="233">
        <f>SUM(J67:J91)</f>
        <v>479118.6676939078</v>
      </c>
    </row>
  </sheetData>
  <mergeCells count="13">
    <mergeCell ref="A4:C4"/>
    <mergeCell ref="B15:C16"/>
    <mergeCell ref="J37:J38"/>
    <mergeCell ref="A37:A38"/>
    <mergeCell ref="A92:H92"/>
    <mergeCell ref="A23:B23"/>
    <mergeCell ref="A24:C24"/>
    <mergeCell ref="A33:C33"/>
    <mergeCell ref="B37:C37"/>
    <mergeCell ref="D37:E37"/>
    <mergeCell ref="F37:G37"/>
    <mergeCell ref="H37:I37"/>
    <mergeCell ref="A11:C11"/>
  </mergeCells>
  <pageMargins left="0.25" right="0.25" top="0.75" bottom="0.75" header="0.3" footer="0.3"/>
  <pageSetup scale="83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AF101"/>
  <sheetViews>
    <sheetView topLeftCell="A64" zoomScaleNormal="100" workbookViewId="0">
      <selection activeCell="D22" sqref="D22"/>
    </sheetView>
  </sheetViews>
  <sheetFormatPr defaultColWidth="8.85546875" defaultRowHeight="12.75" x14ac:dyDescent="0.2"/>
  <cols>
    <col min="1" max="1" width="19.42578125" style="17" customWidth="1"/>
    <col min="2" max="2" width="14.7109375" style="17" customWidth="1"/>
    <col min="3" max="3" width="11" style="17" customWidth="1"/>
    <col min="4" max="4" width="10.7109375" style="17" customWidth="1"/>
    <col min="5" max="6" width="7.28515625" style="17" bestFit="1" customWidth="1"/>
    <col min="7" max="7" width="7.42578125" style="17" bestFit="1" customWidth="1"/>
    <col min="8" max="8" width="9.7109375" style="17" customWidth="1"/>
    <col min="9" max="9" width="9.140625" style="17" bestFit="1" customWidth="1"/>
    <col min="10" max="10" width="7.42578125" style="17" customWidth="1"/>
    <col min="11" max="11" width="11.28515625" style="17" bestFit="1" customWidth="1"/>
    <col min="12" max="12" width="6.42578125" style="17" bestFit="1" customWidth="1"/>
    <col min="13" max="13" width="13.140625" style="17" bestFit="1" customWidth="1"/>
    <col min="14" max="14" width="8.85546875" style="17" customWidth="1"/>
    <col min="15" max="15" width="6.7109375" style="17" bestFit="1" customWidth="1"/>
    <col min="16" max="16" width="10.7109375" style="17" bestFit="1" customWidth="1"/>
    <col min="17" max="17" width="8.5703125" style="17" bestFit="1" customWidth="1"/>
    <col min="18" max="18" width="8" style="17" customWidth="1"/>
    <col min="19" max="19" width="7.85546875" style="17" customWidth="1"/>
    <col min="20" max="20" width="7.42578125" style="17" bestFit="1" customWidth="1"/>
    <col min="21" max="21" width="7.140625" style="17" bestFit="1" customWidth="1"/>
    <col min="22" max="22" width="5.7109375" style="17" bestFit="1" customWidth="1"/>
    <col min="23" max="23" width="11.7109375" style="17" customWidth="1"/>
    <col min="24" max="24" width="6.42578125" style="17" bestFit="1" customWidth="1"/>
    <col min="25" max="25" width="11.7109375" style="17" customWidth="1"/>
    <col min="26" max="26" width="10.7109375" style="17" bestFit="1" customWidth="1"/>
    <col min="27" max="27" width="12.5703125" style="17" customWidth="1"/>
    <col min="28" max="28" width="12.28515625" style="17" customWidth="1"/>
    <col min="29" max="29" width="2.7109375" style="17" bestFit="1" customWidth="1"/>
    <col min="30" max="16384" width="8.85546875" style="17"/>
  </cols>
  <sheetData>
    <row r="1" spans="1:32" ht="25.5" x14ac:dyDescent="0.35">
      <c r="A1" s="155" t="s">
        <v>168</v>
      </c>
    </row>
    <row r="2" spans="1:32" ht="16.5" x14ac:dyDescent="0.3">
      <c r="A2" s="94"/>
    </row>
    <row r="3" spans="1:32" ht="16.5" x14ac:dyDescent="0.3">
      <c r="A3" s="94"/>
    </row>
    <row r="4" spans="1:32" x14ac:dyDescent="0.2">
      <c r="A4" s="344" t="s">
        <v>109</v>
      </c>
      <c r="B4" s="344"/>
      <c r="C4" s="344"/>
      <c r="D4" s="344"/>
      <c r="E4" s="344"/>
      <c r="F4" s="344"/>
      <c r="G4" s="344"/>
      <c r="H4" s="344"/>
      <c r="I4" s="344"/>
      <c r="K4" s="24"/>
      <c r="L4" s="25"/>
      <c r="M4" s="25"/>
      <c r="N4" s="25"/>
      <c r="T4" s="24"/>
      <c r="U4" s="24"/>
      <c r="X4" s="25"/>
      <c r="Y4" s="25"/>
      <c r="Z4" s="25"/>
      <c r="AA4" s="25"/>
      <c r="AB4" s="24"/>
      <c r="AC4" s="24"/>
      <c r="AD4" s="24"/>
      <c r="AE4" s="24"/>
      <c r="AF4" s="24"/>
    </row>
    <row r="5" spans="1:32" x14ac:dyDescent="0.2">
      <c r="A5" s="307" t="s">
        <v>21</v>
      </c>
      <c r="B5" s="308"/>
      <c r="C5" s="308"/>
      <c r="D5" s="308"/>
      <c r="E5" s="308"/>
      <c r="F5" s="308"/>
      <c r="G5" s="308"/>
      <c r="H5" s="308"/>
      <c r="I5" s="309"/>
      <c r="K5" s="294" t="s">
        <v>195</v>
      </c>
      <c r="L5" s="294"/>
      <c r="M5" s="294"/>
      <c r="N5" s="294"/>
      <c r="O5" s="294"/>
      <c r="P5" s="294"/>
      <c r="T5" s="26"/>
      <c r="U5" s="26"/>
      <c r="X5" s="26"/>
      <c r="Y5" s="26"/>
      <c r="Z5" s="26"/>
      <c r="AA5" s="26"/>
      <c r="AB5" s="26"/>
      <c r="AC5" s="26"/>
      <c r="AD5" s="26"/>
      <c r="AE5" s="26"/>
      <c r="AF5" s="26"/>
    </row>
    <row r="6" spans="1:32" x14ac:dyDescent="0.2">
      <c r="A6" s="346"/>
      <c r="B6" s="346"/>
      <c r="C6" s="156">
        <v>2013</v>
      </c>
      <c r="D6" s="157">
        <v>2014</v>
      </c>
      <c r="E6" s="157">
        <v>2015</v>
      </c>
      <c r="F6" s="157">
        <v>2016</v>
      </c>
      <c r="G6" s="157">
        <v>2017</v>
      </c>
      <c r="H6" s="292" t="s">
        <v>38</v>
      </c>
      <c r="I6" s="292"/>
      <c r="K6" s="191">
        <v>1</v>
      </c>
      <c r="L6" s="192">
        <v>2</v>
      </c>
      <c r="M6" s="192">
        <v>3</v>
      </c>
      <c r="N6" s="192">
        <v>4</v>
      </c>
      <c r="O6" s="192" t="s">
        <v>0</v>
      </c>
      <c r="P6" s="192" t="s">
        <v>196</v>
      </c>
      <c r="T6" s="29"/>
      <c r="U6" s="29"/>
      <c r="X6" s="27"/>
      <c r="Y6" s="27"/>
      <c r="Z6" s="28"/>
      <c r="AA6" s="30"/>
      <c r="AB6" s="30"/>
      <c r="AC6" s="30"/>
      <c r="AD6" s="30"/>
      <c r="AE6" s="29"/>
      <c r="AF6" s="29"/>
    </row>
    <row r="7" spans="1:32" x14ac:dyDescent="0.2">
      <c r="A7" s="347" t="s">
        <v>8</v>
      </c>
      <c r="B7" s="187" t="s">
        <v>18</v>
      </c>
      <c r="C7" s="137">
        <v>0</v>
      </c>
      <c r="D7" s="205">
        <v>0</v>
      </c>
      <c r="E7" s="137">
        <v>0</v>
      </c>
      <c r="F7" s="205">
        <v>0</v>
      </c>
      <c r="G7" s="137">
        <v>0</v>
      </c>
      <c r="H7" s="205">
        <f>SUM(C7:G7)</f>
        <v>0</v>
      </c>
      <c r="I7" s="209">
        <f>H7/$H$17</f>
        <v>0</v>
      </c>
      <c r="K7" s="193">
        <v>15482</v>
      </c>
      <c r="L7" s="19">
        <v>50561</v>
      </c>
      <c r="M7" s="19">
        <v>4562</v>
      </c>
      <c r="N7" s="19">
        <v>810</v>
      </c>
      <c r="O7" s="19">
        <v>71415</v>
      </c>
      <c r="P7" s="261">
        <f>((K6*K7)+(L7*L6)+(M7*M6)+(N7*N6))/O7</f>
        <v>1.8697752572988868</v>
      </c>
      <c r="T7" s="33"/>
      <c r="U7" s="34"/>
      <c r="X7" s="31"/>
      <c r="Y7" s="24"/>
      <c r="Z7" s="32"/>
      <c r="AA7" s="32"/>
      <c r="AB7" s="32"/>
      <c r="AC7" s="32"/>
      <c r="AD7" s="32"/>
      <c r="AE7" s="33"/>
      <c r="AF7" s="34"/>
    </row>
    <row r="8" spans="1:32" x14ac:dyDescent="0.2">
      <c r="A8" s="347"/>
      <c r="B8" s="188" t="s">
        <v>19</v>
      </c>
      <c r="C8" s="210">
        <v>0</v>
      </c>
      <c r="D8" s="206">
        <v>0</v>
      </c>
      <c r="E8" s="210">
        <v>0</v>
      </c>
      <c r="F8" s="206">
        <v>0</v>
      </c>
      <c r="G8" s="210">
        <v>0</v>
      </c>
      <c r="H8" s="206"/>
      <c r="I8" s="150"/>
      <c r="K8" s="341" t="s">
        <v>200</v>
      </c>
      <c r="L8" s="342"/>
      <c r="M8" s="342"/>
      <c r="N8" s="342"/>
      <c r="O8" s="342"/>
      <c r="P8" s="343"/>
      <c r="T8" s="33"/>
      <c r="U8" s="34"/>
      <c r="X8" s="31"/>
      <c r="Y8" s="24"/>
      <c r="Z8" s="32"/>
      <c r="AA8" s="32"/>
      <c r="AB8" s="32"/>
      <c r="AC8" s="32"/>
      <c r="AD8" s="32"/>
      <c r="AE8" s="33"/>
      <c r="AF8" s="34"/>
    </row>
    <row r="9" spans="1:32" x14ac:dyDescent="0.2">
      <c r="A9" s="347" t="s">
        <v>174</v>
      </c>
      <c r="B9" s="187" t="s">
        <v>18</v>
      </c>
      <c r="C9" s="137">
        <v>0</v>
      </c>
      <c r="D9" s="205">
        <v>0</v>
      </c>
      <c r="E9" s="137">
        <v>0</v>
      </c>
      <c r="F9" s="205">
        <v>0</v>
      </c>
      <c r="G9" s="137">
        <v>0</v>
      </c>
      <c r="H9" s="205">
        <f>SUM(C9:G9)</f>
        <v>0</v>
      </c>
      <c r="I9" s="209">
        <f>H9/$H$17</f>
        <v>0</v>
      </c>
      <c r="K9" s="24"/>
      <c r="L9" s="31"/>
      <c r="M9" s="24"/>
      <c r="N9" s="32"/>
      <c r="T9" s="33"/>
      <c r="U9" s="34"/>
      <c r="X9" s="31"/>
      <c r="Y9" s="24"/>
      <c r="Z9" s="32"/>
      <c r="AA9" s="32"/>
      <c r="AB9" s="32"/>
      <c r="AC9" s="32"/>
      <c r="AD9" s="32"/>
      <c r="AE9" s="33"/>
      <c r="AF9" s="34"/>
    </row>
    <row r="10" spans="1:32" x14ac:dyDescent="0.2">
      <c r="A10" s="347"/>
      <c r="B10" s="188" t="s">
        <v>19</v>
      </c>
      <c r="C10" s="210">
        <v>0</v>
      </c>
      <c r="D10" s="206">
        <v>0</v>
      </c>
      <c r="E10" s="210">
        <v>0</v>
      </c>
      <c r="F10" s="206">
        <v>0</v>
      </c>
      <c r="G10" s="210">
        <v>0</v>
      </c>
      <c r="H10" s="206"/>
      <c r="I10" s="150"/>
      <c r="K10" s="24"/>
      <c r="L10" s="31"/>
      <c r="M10" s="24"/>
      <c r="N10" s="32"/>
      <c r="T10" s="33"/>
      <c r="U10" s="34"/>
      <c r="X10" s="31"/>
      <c r="Y10" s="24"/>
      <c r="Z10" s="32"/>
      <c r="AA10" s="32"/>
      <c r="AB10" s="32"/>
      <c r="AC10" s="32"/>
      <c r="AD10" s="32"/>
      <c r="AE10" s="33"/>
      <c r="AF10" s="34"/>
    </row>
    <row r="11" spans="1:32" x14ac:dyDescent="0.2">
      <c r="A11" s="347" t="s">
        <v>15</v>
      </c>
      <c r="B11" s="187" t="s">
        <v>18</v>
      </c>
      <c r="C11" s="137">
        <v>0</v>
      </c>
      <c r="D11" s="205">
        <v>0</v>
      </c>
      <c r="E11" s="137">
        <v>0</v>
      </c>
      <c r="F11" s="205">
        <v>0</v>
      </c>
      <c r="G11" s="137">
        <v>0</v>
      </c>
      <c r="H11" s="205">
        <v>4</v>
      </c>
      <c r="I11" s="209">
        <f>H11/$H$17</f>
        <v>0.15384615384615385</v>
      </c>
      <c r="J11" s="97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34"/>
      <c r="X11" s="31"/>
      <c r="Y11" s="24"/>
      <c r="Z11" s="32"/>
      <c r="AA11" s="32"/>
      <c r="AB11" s="32"/>
      <c r="AC11" s="32"/>
      <c r="AD11" s="32"/>
      <c r="AE11" s="33"/>
      <c r="AF11" s="34"/>
    </row>
    <row r="12" spans="1:32" x14ac:dyDescent="0.2">
      <c r="A12" s="347"/>
      <c r="B12" s="188" t="s">
        <v>19</v>
      </c>
      <c r="C12" s="210">
        <v>0</v>
      </c>
      <c r="D12" s="206">
        <v>0</v>
      </c>
      <c r="E12" s="210">
        <v>0</v>
      </c>
      <c r="F12" s="206">
        <v>0</v>
      </c>
      <c r="G12" s="210">
        <v>0</v>
      </c>
      <c r="H12" s="206"/>
      <c r="I12" s="150"/>
      <c r="J12" s="97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34"/>
      <c r="X12" s="31"/>
      <c r="Y12" s="24"/>
      <c r="Z12" s="32"/>
      <c r="AA12" s="32"/>
      <c r="AB12" s="32"/>
      <c r="AC12" s="32"/>
      <c r="AD12" s="32"/>
      <c r="AE12" s="33"/>
      <c r="AF12" s="34"/>
    </row>
    <row r="13" spans="1:32" x14ac:dyDescent="0.2">
      <c r="A13" s="347" t="s">
        <v>16</v>
      </c>
      <c r="B13" s="187" t="s">
        <v>18</v>
      </c>
      <c r="C13" s="137">
        <v>0</v>
      </c>
      <c r="D13" s="205">
        <v>0</v>
      </c>
      <c r="E13" s="137">
        <v>0</v>
      </c>
      <c r="F13" s="205">
        <v>0</v>
      </c>
      <c r="G13" s="137">
        <v>0</v>
      </c>
      <c r="H13" s="205">
        <v>5</v>
      </c>
      <c r="I13" s="209">
        <f>H13/$H$17</f>
        <v>0.19230769230769232</v>
      </c>
      <c r="J13" s="97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34"/>
      <c r="X13" s="31"/>
      <c r="Y13" s="24"/>
      <c r="Z13" s="32"/>
      <c r="AA13" s="32"/>
      <c r="AB13" s="32"/>
      <c r="AC13" s="32"/>
      <c r="AD13" s="32"/>
      <c r="AE13" s="33"/>
      <c r="AF13" s="34"/>
    </row>
    <row r="14" spans="1:32" x14ac:dyDescent="0.2">
      <c r="A14" s="347"/>
      <c r="B14" s="188" t="s">
        <v>19</v>
      </c>
      <c r="C14" s="210">
        <v>0</v>
      </c>
      <c r="D14" s="206">
        <v>0</v>
      </c>
      <c r="E14" s="210">
        <v>0</v>
      </c>
      <c r="F14" s="206">
        <v>0</v>
      </c>
      <c r="G14" s="210">
        <v>0</v>
      </c>
      <c r="H14" s="206"/>
      <c r="I14" s="150"/>
      <c r="J14" s="97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34"/>
      <c r="X14" s="31"/>
      <c r="Y14" s="24"/>
      <c r="Z14" s="32"/>
      <c r="AA14" s="32"/>
      <c r="AB14" s="32"/>
      <c r="AC14" s="32"/>
      <c r="AD14" s="32"/>
      <c r="AE14" s="33"/>
      <c r="AF14" s="34"/>
    </row>
    <row r="15" spans="1:32" x14ac:dyDescent="0.2">
      <c r="A15" s="347" t="s">
        <v>17</v>
      </c>
      <c r="B15" s="187" t="s">
        <v>18</v>
      </c>
      <c r="C15" s="137">
        <v>0</v>
      </c>
      <c r="D15" s="205">
        <v>0</v>
      </c>
      <c r="E15" s="137">
        <v>0</v>
      </c>
      <c r="F15" s="205">
        <v>0</v>
      </c>
      <c r="G15" s="137">
        <v>0</v>
      </c>
      <c r="H15" s="205">
        <v>17</v>
      </c>
      <c r="I15" s="209">
        <f>H15/$H$17</f>
        <v>0.65384615384615385</v>
      </c>
      <c r="K15" s="24"/>
      <c r="L15" s="31"/>
      <c r="M15" s="24"/>
      <c r="N15" s="32"/>
      <c r="O15" s="32"/>
      <c r="P15" s="32"/>
      <c r="Q15" s="32"/>
      <c r="R15" s="32"/>
      <c r="S15" s="32"/>
      <c r="T15" s="33"/>
      <c r="U15" s="34"/>
      <c r="X15" s="31"/>
      <c r="Y15" s="24"/>
      <c r="Z15" s="32"/>
      <c r="AA15" s="32"/>
      <c r="AB15" s="32"/>
      <c r="AC15" s="32"/>
      <c r="AD15" s="32"/>
      <c r="AE15" s="33"/>
      <c r="AF15" s="34"/>
    </row>
    <row r="16" spans="1:32" x14ac:dyDescent="0.2">
      <c r="A16" s="347"/>
      <c r="B16" s="188" t="s">
        <v>19</v>
      </c>
      <c r="C16" s="210">
        <v>0</v>
      </c>
      <c r="D16" s="206">
        <v>0</v>
      </c>
      <c r="E16" s="210">
        <v>0</v>
      </c>
      <c r="F16" s="206">
        <v>0</v>
      </c>
      <c r="G16" s="210">
        <v>0</v>
      </c>
      <c r="H16" s="206"/>
      <c r="I16" s="150"/>
      <c r="J16" s="46"/>
      <c r="K16" s="24"/>
      <c r="L16" s="31"/>
      <c r="M16" s="24"/>
      <c r="N16" s="32"/>
      <c r="O16" s="32"/>
      <c r="P16" s="32"/>
      <c r="Q16" s="32"/>
      <c r="R16" s="32"/>
      <c r="S16" s="32"/>
      <c r="T16" s="33"/>
      <c r="U16" s="34"/>
      <c r="X16" s="31"/>
      <c r="Y16" s="24"/>
      <c r="Z16" s="32"/>
      <c r="AA16" s="32"/>
      <c r="AB16" s="32"/>
      <c r="AC16" s="32"/>
      <c r="AD16" s="32"/>
      <c r="AE16" s="33"/>
      <c r="AF16" s="34"/>
    </row>
    <row r="17" spans="1:32" x14ac:dyDescent="0.2">
      <c r="A17" s="347" t="s">
        <v>0</v>
      </c>
      <c r="B17" s="187" t="s">
        <v>18</v>
      </c>
      <c r="C17" s="211">
        <f>SUM(C7,C9,C11,C13,C15)</f>
        <v>0</v>
      </c>
      <c r="D17" s="207">
        <f>SUM(D7,D9,D11,D13,D15)</f>
        <v>0</v>
      </c>
      <c r="E17" s="211">
        <f>SUM(E7,E9,E11,E13,E15)</f>
        <v>0</v>
      </c>
      <c r="F17" s="207">
        <f>SUM(F7,F9,F11,F13,F15)</f>
        <v>0</v>
      </c>
      <c r="G17" s="211">
        <f>SUM(G7,G9,G11,G13,G15)</f>
        <v>0</v>
      </c>
      <c r="H17" s="205">
        <f>SUM(H7:H16)</f>
        <v>26</v>
      </c>
      <c r="I17" s="209">
        <f>H17/$H$17</f>
        <v>1</v>
      </c>
      <c r="K17" s="24"/>
      <c r="L17" s="31"/>
      <c r="M17" s="24"/>
      <c r="N17" s="32"/>
      <c r="O17" s="32"/>
      <c r="P17" s="32"/>
      <c r="Q17" s="32"/>
      <c r="R17" s="32"/>
      <c r="S17" s="32"/>
      <c r="T17" s="33"/>
      <c r="U17" s="34"/>
      <c r="X17" s="31"/>
      <c r="Y17" s="24"/>
      <c r="Z17" s="32"/>
      <c r="AA17" s="32"/>
      <c r="AB17" s="32"/>
      <c r="AC17" s="32"/>
      <c r="AD17" s="32"/>
      <c r="AE17" s="33"/>
      <c r="AF17" s="34"/>
    </row>
    <row r="18" spans="1:32" x14ac:dyDescent="0.2">
      <c r="A18" s="348"/>
      <c r="B18" s="189" t="s">
        <v>19</v>
      </c>
      <c r="C18" s="212">
        <v>0</v>
      </c>
      <c r="D18" s="208">
        <v>0</v>
      </c>
      <c r="E18" s="212">
        <v>0</v>
      </c>
      <c r="F18" s="208">
        <v>0</v>
      </c>
      <c r="G18" s="212">
        <v>0</v>
      </c>
      <c r="H18" s="206"/>
      <c r="I18" s="150"/>
      <c r="K18" s="24"/>
      <c r="L18" s="31"/>
      <c r="M18" s="24"/>
      <c r="N18" s="32"/>
      <c r="O18" s="32"/>
      <c r="P18" s="32"/>
      <c r="Q18" s="32"/>
      <c r="R18" s="32"/>
      <c r="S18" s="32"/>
      <c r="T18" s="33"/>
      <c r="U18" s="34"/>
      <c r="X18" s="31"/>
      <c r="Y18" s="24"/>
      <c r="Z18" s="32"/>
      <c r="AA18" s="32"/>
      <c r="AB18" s="32"/>
      <c r="AC18" s="32"/>
      <c r="AD18" s="32"/>
      <c r="AE18" s="33"/>
      <c r="AF18" s="34"/>
    </row>
    <row r="19" spans="1:32" x14ac:dyDescent="0.2">
      <c r="A19" s="357" t="s">
        <v>20</v>
      </c>
      <c r="B19" s="358"/>
      <c r="C19" s="358"/>
      <c r="D19" s="358"/>
      <c r="E19" s="358"/>
      <c r="F19" s="358"/>
      <c r="G19" s="358"/>
      <c r="H19" s="358"/>
      <c r="I19" s="359"/>
      <c r="K19" s="24"/>
      <c r="L19" s="26"/>
      <c r="M19" s="26"/>
      <c r="N19" s="26"/>
      <c r="O19" s="26"/>
      <c r="P19" s="26"/>
      <c r="Q19" s="26"/>
      <c r="R19" s="26"/>
      <c r="S19" s="26"/>
      <c r="T19" s="26"/>
      <c r="U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x14ac:dyDescent="0.2">
      <c r="A20" s="35"/>
      <c r="B20" s="35"/>
      <c r="C20" s="96"/>
      <c r="D20" s="96"/>
      <c r="E20" s="96"/>
      <c r="F20" s="96"/>
      <c r="G20" s="96"/>
      <c r="H20" s="96"/>
      <c r="I20" s="35"/>
      <c r="J20" s="35"/>
      <c r="R20" s="35"/>
      <c r="S20" s="35"/>
      <c r="T20" s="35"/>
    </row>
    <row r="21" spans="1:32" x14ac:dyDescent="0.2">
      <c r="A21" s="294" t="s">
        <v>34</v>
      </c>
      <c r="B21" s="294"/>
      <c r="C21" s="24"/>
      <c r="D21" s="25"/>
      <c r="E21" s="25"/>
      <c r="F21" s="25"/>
      <c r="G21" s="25"/>
      <c r="H21" s="24"/>
    </row>
    <row r="22" spans="1:32" ht="43.15" customHeight="1" x14ac:dyDescent="0.2">
      <c r="A22" s="158"/>
      <c r="B22" s="159" t="s">
        <v>23</v>
      </c>
      <c r="C22" s="24"/>
      <c r="D22" s="100"/>
      <c r="E22" s="100"/>
      <c r="F22" s="100"/>
      <c r="G22" s="100"/>
      <c r="H22" s="26"/>
    </row>
    <row r="23" spans="1:32" x14ac:dyDescent="0.2">
      <c r="A23" s="186" t="s">
        <v>35</v>
      </c>
      <c r="B23" s="204">
        <v>4300</v>
      </c>
      <c r="C23" s="24"/>
      <c r="D23" s="101"/>
      <c r="E23" s="30"/>
      <c r="F23" s="30"/>
      <c r="G23" s="31"/>
      <c r="H23" s="31"/>
    </row>
    <row r="24" spans="1:32" x14ac:dyDescent="0.2">
      <c r="A24" s="345" t="s">
        <v>24</v>
      </c>
      <c r="B24" s="345"/>
      <c r="C24" s="24"/>
      <c r="D24" s="101"/>
      <c r="E24" s="32"/>
      <c r="F24" s="30"/>
      <c r="G24" s="31"/>
      <c r="H24" s="31"/>
    </row>
    <row r="25" spans="1:32" x14ac:dyDescent="0.2">
      <c r="A25" s="37"/>
      <c r="B25" s="37"/>
      <c r="C25" s="24"/>
      <c r="D25" s="101"/>
      <c r="E25" s="32"/>
      <c r="F25" s="30"/>
      <c r="G25" s="31"/>
      <c r="H25" s="31"/>
    </row>
    <row r="26" spans="1:32" x14ac:dyDescent="0.2">
      <c r="A26" s="307" t="s">
        <v>22</v>
      </c>
      <c r="B26" s="309"/>
      <c r="C26" s="24"/>
      <c r="D26" s="24"/>
      <c r="E26" s="32"/>
      <c r="F26" s="30"/>
      <c r="G26" s="31"/>
      <c r="H26" s="31"/>
    </row>
    <row r="27" spans="1:32" x14ac:dyDescent="0.2">
      <c r="A27" s="158" t="s">
        <v>25</v>
      </c>
      <c r="B27" s="158" t="s">
        <v>26</v>
      </c>
      <c r="C27" s="24"/>
      <c r="D27" s="99"/>
      <c r="E27" s="32"/>
      <c r="F27" s="32"/>
      <c r="G27" s="38"/>
      <c r="H27" s="38"/>
    </row>
    <row r="28" spans="1:32" x14ac:dyDescent="0.2">
      <c r="A28" s="182" t="s">
        <v>27</v>
      </c>
      <c r="B28" s="194">
        <v>3200</v>
      </c>
      <c r="C28" s="24"/>
      <c r="D28" s="26"/>
      <c r="E28" s="24"/>
      <c r="F28" s="24"/>
      <c r="G28" s="24"/>
      <c r="H28" s="24"/>
    </row>
    <row r="29" spans="1:32" x14ac:dyDescent="0.2">
      <c r="A29" s="183" t="s">
        <v>28</v>
      </c>
      <c r="B29" s="195">
        <v>63900</v>
      </c>
    </row>
    <row r="30" spans="1:32" x14ac:dyDescent="0.2">
      <c r="A30" s="183" t="s">
        <v>29</v>
      </c>
      <c r="B30" s="195">
        <v>125000</v>
      </c>
    </row>
    <row r="31" spans="1:32" x14ac:dyDescent="0.2">
      <c r="A31" s="183" t="s">
        <v>30</v>
      </c>
      <c r="B31" s="195">
        <v>459100</v>
      </c>
    </row>
    <row r="32" spans="1:32" x14ac:dyDescent="0.2">
      <c r="A32" s="183" t="s">
        <v>31</v>
      </c>
      <c r="B32" s="195">
        <v>9600000</v>
      </c>
    </row>
    <row r="33" spans="1:17" ht="25.5" x14ac:dyDescent="0.2">
      <c r="A33" s="184" t="s">
        <v>32</v>
      </c>
      <c r="B33" s="196">
        <v>174000</v>
      </c>
    </row>
    <row r="34" spans="1:17" ht="25.5" x14ac:dyDescent="0.2">
      <c r="A34" s="185" t="s">
        <v>33</v>
      </c>
      <c r="B34" s="197">
        <v>132200</v>
      </c>
    </row>
    <row r="35" spans="1:17" x14ac:dyDescent="0.2">
      <c r="A35" s="345" t="s">
        <v>24</v>
      </c>
      <c r="B35" s="345"/>
    </row>
    <row r="36" spans="1:17" x14ac:dyDescent="0.2">
      <c r="A36" s="37"/>
      <c r="B36" s="37"/>
    </row>
    <row r="37" spans="1:17" x14ac:dyDescent="0.2">
      <c r="A37" s="356" t="s">
        <v>40</v>
      </c>
      <c r="B37" s="356"/>
    </row>
    <row r="38" spans="1:17" x14ac:dyDescent="0.2">
      <c r="A38" s="160" t="s">
        <v>41</v>
      </c>
      <c r="B38" s="160" t="s">
        <v>44</v>
      </c>
    </row>
    <row r="39" spans="1:17" x14ac:dyDescent="0.2">
      <c r="A39" s="179" t="s">
        <v>42</v>
      </c>
      <c r="B39" s="198">
        <v>1.68</v>
      </c>
    </row>
    <row r="40" spans="1:17" x14ac:dyDescent="0.2">
      <c r="A40" s="181" t="s">
        <v>43</v>
      </c>
      <c r="B40" s="199">
        <v>1</v>
      </c>
    </row>
    <row r="41" spans="1:17" x14ac:dyDescent="0.2">
      <c r="A41" s="345" t="s">
        <v>24</v>
      </c>
      <c r="B41" s="345"/>
      <c r="P41" s="39"/>
      <c r="Q41" s="39"/>
    </row>
    <row r="42" spans="1:17" x14ac:dyDescent="0.2">
      <c r="A42" s="40"/>
      <c r="B42" s="40"/>
      <c r="P42" s="39"/>
      <c r="Q42" s="39"/>
    </row>
    <row r="43" spans="1:17" x14ac:dyDescent="0.2">
      <c r="A43" s="356" t="s">
        <v>47</v>
      </c>
      <c r="B43" s="356"/>
      <c r="P43" s="39"/>
      <c r="Q43" s="39"/>
    </row>
    <row r="44" spans="1:17" x14ac:dyDescent="0.2">
      <c r="A44" s="178" t="s">
        <v>48</v>
      </c>
      <c r="B44" s="200">
        <f>P7</f>
        <v>1.8697752572988868</v>
      </c>
      <c r="P44" s="39"/>
      <c r="Q44" s="39"/>
    </row>
    <row r="45" spans="1:17" x14ac:dyDescent="0.2">
      <c r="A45" s="355" t="s">
        <v>197</v>
      </c>
      <c r="B45" s="355"/>
      <c r="P45" s="39"/>
      <c r="Q45" s="39"/>
    </row>
    <row r="46" spans="1:17" x14ac:dyDescent="0.2">
      <c r="A46" s="30"/>
      <c r="B46" s="30"/>
    </row>
    <row r="47" spans="1:17" x14ac:dyDescent="0.2">
      <c r="A47" s="356" t="s">
        <v>49</v>
      </c>
      <c r="B47" s="356"/>
      <c r="O47" s="41"/>
    </row>
    <row r="48" spans="1:17" x14ac:dyDescent="0.2">
      <c r="A48" s="179" t="s">
        <v>150</v>
      </c>
      <c r="B48" s="201">
        <f>H17/AVERAGE(B62:B66)</f>
        <v>1.0423348300192431E-2</v>
      </c>
      <c r="C48" s="42"/>
    </row>
    <row r="49" spans="1:18" x14ac:dyDescent="0.2">
      <c r="A49" s="180" t="s">
        <v>50</v>
      </c>
      <c r="B49" s="202">
        <f>B48*0.8</f>
        <v>8.3386786401539442E-3</v>
      </c>
      <c r="C49" s="42" t="s">
        <v>194</v>
      </c>
      <c r="D49" s="42"/>
    </row>
    <row r="50" spans="1:18" x14ac:dyDescent="0.2">
      <c r="A50" s="345" t="s">
        <v>193</v>
      </c>
      <c r="B50" s="345"/>
    </row>
    <row r="51" spans="1:18" x14ac:dyDescent="0.2">
      <c r="A51" s="82"/>
      <c r="B51" s="37"/>
    </row>
    <row r="52" spans="1:18" x14ac:dyDescent="0.2">
      <c r="A52" s="356" t="s">
        <v>144</v>
      </c>
      <c r="B52" s="356"/>
    </row>
    <row r="53" spans="1:18" x14ac:dyDescent="0.2">
      <c r="A53" s="178" t="s">
        <v>161</v>
      </c>
      <c r="B53" s="203">
        <v>79.13</v>
      </c>
      <c r="C53" s="46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8" x14ac:dyDescent="0.2">
      <c r="A54" s="355" t="s">
        <v>178</v>
      </c>
      <c r="B54" s="355"/>
    </row>
    <row r="55" spans="1:18" x14ac:dyDescent="0.2">
      <c r="A55" s="82" t="s">
        <v>162</v>
      </c>
      <c r="B55" s="37"/>
    </row>
    <row r="56" spans="1:18" x14ac:dyDescent="0.2">
      <c r="A56" s="294" t="s">
        <v>58</v>
      </c>
      <c r="B56" s="294"/>
      <c r="C56" s="294"/>
      <c r="D56" s="294"/>
    </row>
    <row r="57" spans="1:18" x14ac:dyDescent="0.2">
      <c r="A57" s="161"/>
      <c r="B57" s="135" t="s">
        <v>150</v>
      </c>
      <c r="C57" s="135" t="s">
        <v>50</v>
      </c>
      <c r="D57" s="135"/>
    </row>
    <row r="58" spans="1:18" x14ac:dyDescent="0.2">
      <c r="A58" s="177">
        <f>'Travel Time'!A15</f>
        <v>2017</v>
      </c>
      <c r="B58" s="167">
        <v>2600</v>
      </c>
      <c r="C58" s="169">
        <f>B58</f>
        <v>2600</v>
      </c>
      <c r="D58" s="168"/>
    </row>
    <row r="59" spans="1:18" x14ac:dyDescent="0.2">
      <c r="A59" s="177">
        <v>2021</v>
      </c>
      <c r="B59" s="167">
        <v>2828</v>
      </c>
      <c r="C59" s="169">
        <v>2828</v>
      </c>
      <c r="D59" s="168"/>
    </row>
    <row r="60" spans="1:18" x14ac:dyDescent="0.2">
      <c r="A60" s="177">
        <v>2041</v>
      </c>
      <c r="B60" s="167">
        <v>3940</v>
      </c>
      <c r="C60" s="169">
        <f>B60</f>
        <v>3940</v>
      </c>
      <c r="D60" s="168"/>
    </row>
    <row r="61" spans="1:18" x14ac:dyDescent="0.2">
      <c r="A61" s="352" t="s">
        <v>57</v>
      </c>
      <c r="B61" s="353"/>
      <c r="C61" s="354"/>
      <c r="D61" s="213">
        <f>'Travel Time'!B5</f>
        <v>2.1154213249346677E-2</v>
      </c>
      <c r="E61" s="42"/>
      <c r="R61" s="45"/>
    </row>
    <row r="62" spans="1:18" x14ac:dyDescent="0.2">
      <c r="A62" s="176">
        <f>C6</f>
        <v>2013</v>
      </c>
      <c r="B62" s="170">
        <f>ROUND($B$58*(1+$D$61)^(A62-$A$58),0)</f>
        <v>2391</v>
      </c>
      <c r="C62" s="214">
        <f t="shared" ref="C62:C68" si="0">ROUND($C$58*(1+$D$61)^(A62-$A$58),0)</f>
        <v>2391</v>
      </c>
      <c r="D62" s="171"/>
      <c r="E62" s="42"/>
    </row>
    <row r="63" spans="1:18" x14ac:dyDescent="0.2">
      <c r="A63" s="176">
        <f>D6</f>
        <v>2014</v>
      </c>
      <c r="B63" s="170">
        <f t="shared" ref="B63:B68" si="1">ROUND($B$58*(1+$D$61)^(A63-$A$58),0)</f>
        <v>2442</v>
      </c>
      <c r="C63" s="214">
        <f t="shared" si="0"/>
        <v>2442</v>
      </c>
      <c r="D63" s="171"/>
      <c r="E63" s="42"/>
      <c r="R63" s="45"/>
    </row>
    <row r="64" spans="1:18" x14ac:dyDescent="0.2">
      <c r="A64" s="176">
        <f>E6</f>
        <v>2015</v>
      </c>
      <c r="B64" s="170">
        <f t="shared" si="1"/>
        <v>2493</v>
      </c>
      <c r="C64" s="214">
        <f t="shared" si="0"/>
        <v>2493</v>
      </c>
      <c r="D64" s="171"/>
      <c r="E64" s="42"/>
    </row>
    <row r="65" spans="1:28" x14ac:dyDescent="0.2">
      <c r="A65" s="176">
        <f>F6</f>
        <v>2016</v>
      </c>
      <c r="B65" s="170">
        <f t="shared" si="1"/>
        <v>2546</v>
      </c>
      <c r="C65" s="214">
        <f t="shared" si="0"/>
        <v>2546</v>
      </c>
      <c r="D65" s="171"/>
      <c r="E65" s="42"/>
    </row>
    <row r="66" spans="1:28" x14ac:dyDescent="0.2">
      <c r="A66" s="176">
        <f>G6</f>
        <v>2017</v>
      </c>
      <c r="B66" s="170">
        <f t="shared" si="1"/>
        <v>2600</v>
      </c>
      <c r="C66" s="214">
        <f t="shared" si="0"/>
        <v>2600</v>
      </c>
      <c r="D66" s="171"/>
      <c r="E66" s="42"/>
    </row>
    <row r="67" spans="1:28" x14ac:dyDescent="0.2">
      <c r="A67" s="176">
        <v>2021</v>
      </c>
      <c r="B67" s="170">
        <f t="shared" si="1"/>
        <v>2827</v>
      </c>
      <c r="C67" s="214">
        <f t="shared" si="0"/>
        <v>2827</v>
      </c>
      <c r="D67" s="171"/>
      <c r="E67" s="42"/>
    </row>
    <row r="68" spans="1:28" x14ac:dyDescent="0.2">
      <c r="A68" s="176">
        <f>A60</f>
        <v>2041</v>
      </c>
      <c r="B68" s="170">
        <f t="shared" si="1"/>
        <v>4297</v>
      </c>
      <c r="C68" s="214">
        <f t="shared" si="0"/>
        <v>4297</v>
      </c>
      <c r="D68" s="171"/>
      <c r="E68" s="42"/>
    </row>
    <row r="69" spans="1:28" x14ac:dyDescent="0.2">
      <c r="A69" s="337" t="s">
        <v>20</v>
      </c>
      <c r="B69" s="337"/>
      <c r="C69" s="337"/>
      <c r="D69" s="337"/>
    </row>
    <row r="70" spans="1:28" x14ac:dyDescent="0.2">
      <c r="A70" s="43"/>
      <c r="B70" s="37"/>
    </row>
    <row r="71" spans="1:28" ht="13.9" customHeight="1" x14ac:dyDescent="0.2">
      <c r="B71" s="360" t="s">
        <v>1</v>
      </c>
      <c r="C71" s="349" t="s">
        <v>156</v>
      </c>
      <c r="D71" s="363" t="s">
        <v>37</v>
      </c>
      <c r="E71" s="364"/>
      <c r="F71" s="364"/>
      <c r="G71" s="364"/>
      <c r="H71" s="364"/>
      <c r="I71" s="364"/>
      <c r="J71" s="364"/>
      <c r="K71" s="364"/>
      <c r="L71" s="364"/>
      <c r="M71" s="365"/>
      <c r="N71" s="360" t="s">
        <v>1</v>
      </c>
      <c r="O71" s="349" t="s">
        <v>156</v>
      </c>
      <c r="P71" s="363" t="s">
        <v>45</v>
      </c>
      <c r="Q71" s="364"/>
      <c r="R71" s="364"/>
      <c r="S71" s="364"/>
      <c r="T71" s="364"/>
      <c r="U71" s="364"/>
      <c r="V71" s="364"/>
      <c r="W71" s="364"/>
      <c r="X71" s="364"/>
      <c r="Y71" s="365"/>
      <c r="Z71" s="349" t="s">
        <v>46</v>
      </c>
      <c r="AA71" s="349" t="s">
        <v>99</v>
      </c>
    </row>
    <row r="72" spans="1:28" ht="13.15" customHeight="1" x14ac:dyDescent="0.2">
      <c r="B72" s="361"/>
      <c r="C72" s="350"/>
      <c r="D72" s="349" t="s">
        <v>51</v>
      </c>
      <c r="E72" s="349" t="s">
        <v>52</v>
      </c>
      <c r="F72" s="349" t="s">
        <v>53</v>
      </c>
      <c r="G72" s="349" t="s">
        <v>54</v>
      </c>
      <c r="H72" s="349" t="s">
        <v>55</v>
      </c>
      <c r="I72" s="363" t="s">
        <v>111</v>
      </c>
      <c r="J72" s="364"/>
      <c r="K72" s="364"/>
      <c r="L72" s="365"/>
      <c r="M72" s="349" t="s">
        <v>39</v>
      </c>
      <c r="N72" s="361"/>
      <c r="O72" s="350"/>
      <c r="P72" s="349" t="s">
        <v>51</v>
      </c>
      <c r="Q72" s="349" t="s">
        <v>52</v>
      </c>
      <c r="R72" s="349" t="s">
        <v>53</v>
      </c>
      <c r="S72" s="349" t="s">
        <v>54</v>
      </c>
      <c r="T72" s="349" t="s">
        <v>55</v>
      </c>
      <c r="U72" s="363" t="s">
        <v>111</v>
      </c>
      <c r="V72" s="364"/>
      <c r="W72" s="364"/>
      <c r="X72" s="365"/>
      <c r="Y72" s="349" t="s">
        <v>39</v>
      </c>
      <c r="Z72" s="350"/>
      <c r="AA72" s="350"/>
    </row>
    <row r="73" spans="1:28" ht="26.25" thickBot="1" x14ac:dyDescent="0.25">
      <c r="B73" s="362"/>
      <c r="C73" s="351"/>
      <c r="D73" s="351"/>
      <c r="E73" s="351"/>
      <c r="F73" s="351"/>
      <c r="G73" s="351"/>
      <c r="H73" s="351"/>
      <c r="I73" s="143" t="s">
        <v>56</v>
      </c>
      <c r="J73" s="143" t="s">
        <v>198</v>
      </c>
      <c r="K73" s="143" t="s">
        <v>174</v>
      </c>
      <c r="L73" s="142" t="s">
        <v>8</v>
      </c>
      <c r="M73" s="351"/>
      <c r="N73" s="362"/>
      <c r="O73" s="351"/>
      <c r="P73" s="351"/>
      <c r="Q73" s="351"/>
      <c r="R73" s="351"/>
      <c r="S73" s="351"/>
      <c r="T73" s="351"/>
      <c r="U73" s="143" t="s">
        <v>56</v>
      </c>
      <c r="V73" s="143" t="s">
        <v>198</v>
      </c>
      <c r="W73" s="143" t="s">
        <v>174</v>
      </c>
      <c r="X73" s="142" t="s">
        <v>8</v>
      </c>
      <c r="Y73" s="351"/>
      <c r="Z73" s="351"/>
      <c r="AA73" s="351"/>
    </row>
    <row r="74" spans="1:28" ht="13.5" thickTop="1" x14ac:dyDescent="0.2">
      <c r="B74" s="174">
        <v>2017</v>
      </c>
      <c r="C74" s="162">
        <f>'Travel Time'!B15</f>
        <v>2600</v>
      </c>
      <c r="D74" s="215">
        <f>ROUND(C74*$B$48,0)</f>
        <v>27</v>
      </c>
      <c r="E74" s="162">
        <f>ROUND(D74*$B$44,0)</f>
        <v>50</v>
      </c>
      <c r="F74" s="217">
        <f>ROUND(E74*$B$39,0)</f>
        <v>84</v>
      </c>
      <c r="G74" s="262">
        <f>ROUND(D74*$I$15*$B$44,0)</f>
        <v>33</v>
      </c>
      <c r="H74" s="215">
        <f>ROUND(D74*$I$15*$B$39,0)</f>
        <v>30</v>
      </c>
      <c r="I74" s="262">
        <f>ROUND(D74*$I$13*$B$39,0)</f>
        <v>9</v>
      </c>
      <c r="J74" s="263">
        <f>ROUND(F74*$I$11*$B$39,0)</f>
        <v>22</v>
      </c>
      <c r="K74" s="264">
        <f>ROUND(D74*$I$9*$B$39,0)</f>
        <v>0</v>
      </c>
      <c r="L74" s="265">
        <f>ROUND(D74*$I$7*$B$39,0)</f>
        <v>0</v>
      </c>
      <c r="M74" s="163">
        <f t="shared" ref="M74:M75" si="2">ROUND((G74*$B$23)+(H74*$B$28)+(I74*$B$29)+(J74*$B$30)+(K74*$B$31)+(L74*$B$32),0)</f>
        <v>3563000</v>
      </c>
      <c r="N74" s="172">
        <f>B74</f>
        <v>2017</v>
      </c>
      <c r="O74" s="165">
        <f>C74</f>
        <v>2600</v>
      </c>
      <c r="P74" s="215">
        <f t="shared" ref="P74:P98" si="3">ROUND((O74*$B$49),0)</f>
        <v>22</v>
      </c>
      <c r="Q74" s="162">
        <f>ROUND(P74*$B$44,0)</f>
        <v>41</v>
      </c>
      <c r="R74" s="217">
        <f>ROUND(Q74*$B$39,0)</f>
        <v>69</v>
      </c>
      <c r="S74" s="262">
        <f>ROUND(P74*$I$15*$B$44,0)</f>
        <v>27</v>
      </c>
      <c r="T74" s="263">
        <f>ROUND(P74*$I$15*$B$39,0)</f>
        <v>24</v>
      </c>
      <c r="U74" s="262">
        <f>ROUND(P74*$I$13*$B$39,0)</f>
        <v>7</v>
      </c>
      <c r="V74" s="263">
        <f>ROUND(R74*$I$11*$B$39,0)</f>
        <v>18</v>
      </c>
      <c r="W74" s="264">
        <f>ROUND(P74*$I$9*$B$39,0)</f>
        <v>0</v>
      </c>
      <c r="X74" s="265">
        <f>ROUND(P74*$I$7*$B$39,0)</f>
        <v>0</v>
      </c>
      <c r="Y74" s="163">
        <f>ROUND((S74*$B$23)+(T74*$B$28)+(U74*$B$29)+(V74*$B$30)+(W74*$B$31)+(X74*$B$32),0)</f>
        <v>2890200</v>
      </c>
      <c r="Z74" s="282"/>
      <c r="AA74" s="166"/>
    </row>
    <row r="75" spans="1:28" x14ac:dyDescent="0.2">
      <c r="B75" s="175">
        <f>B74+1</f>
        <v>2018</v>
      </c>
      <c r="C75" s="162">
        <f>'Travel Time'!B16</f>
        <v>2655</v>
      </c>
      <c r="D75" s="216">
        <f>ROUND(C75*$B$48,0)</f>
        <v>28</v>
      </c>
      <c r="E75" s="164">
        <f>ROUND(D75*$B$44,0)</f>
        <v>52</v>
      </c>
      <c r="F75" s="218">
        <f>ROUND(E75*$B$39,0)</f>
        <v>87</v>
      </c>
      <c r="G75" s="262">
        <f t="shared" ref="G75:G98" si="4">ROUND(D75*$I$15*$B$44,0)</f>
        <v>34</v>
      </c>
      <c r="H75" s="215">
        <f t="shared" ref="H75:H98" si="5">ROUND(D75*$I$15*$B$39,0)</f>
        <v>31</v>
      </c>
      <c r="I75" s="262">
        <f t="shared" ref="I75:I98" si="6">ROUND(D75*$I$13*$B$39,0)</f>
        <v>9</v>
      </c>
      <c r="J75" s="263">
        <f t="shared" ref="J75:J98" si="7">ROUND(F75*$I$11*$B$39,0)</f>
        <v>22</v>
      </c>
      <c r="K75" s="264">
        <f t="shared" ref="K75:K98" si="8">ROUND(D75*$I$9*$B$39,0)</f>
        <v>0</v>
      </c>
      <c r="L75" s="265">
        <f t="shared" ref="L75:L98" si="9">ROUND(D75*$I$7*$B$39,0)</f>
        <v>0</v>
      </c>
      <c r="M75" s="163">
        <f t="shared" si="2"/>
        <v>3570500</v>
      </c>
      <c r="N75" s="173">
        <f t="shared" ref="N75" si="10">B75</f>
        <v>2018</v>
      </c>
      <c r="O75" s="165">
        <f t="shared" ref="O75" si="11">C75</f>
        <v>2655</v>
      </c>
      <c r="P75" s="215">
        <f t="shared" si="3"/>
        <v>22</v>
      </c>
      <c r="Q75" s="162">
        <f t="shared" ref="Q75:Q98" si="12">ROUND(P75*$B$44,0)</f>
        <v>41</v>
      </c>
      <c r="R75" s="217">
        <f t="shared" ref="R75:R98" si="13">ROUND(Q75*$B$39,0)</f>
        <v>69</v>
      </c>
      <c r="S75" s="262">
        <f t="shared" ref="S75:S98" si="14">ROUND(P75*$I$15*$B$44,0)</f>
        <v>27</v>
      </c>
      <c r="T75" s="263">
        <f t="shared" ref="T75:T98" si="15">ROUND(P75*$I$15*$B$39,0)</f>
        <v>24</v>
      </c>
      <c r="U75" s="262">
        <f t="shared" ref="U75:U98" si="16">ROUND(P75*$I$13*$B$39,0)</f>
        <v>7</v>
      </c>
      <c r="V75" s="263">
        <f t="shared" ref="V75:V98" si="17">ROUND(R75*$I$11*$B$39,0)</f>
        <v>18</v>
      </c>
      <c r="W75" s="264">
        <f t="shared" ref="W75:W98" si="18">ROUND(P75*$I$9*$B$39,0)</f>
        <v>0</v>
      </c>
      <c r="X75" s="265">
        <f t="shared" ref="X75:X98" si="19">ROUND(P75*$I$7*$B$39,0)</f>
        <v>0</v>
      </c>
      <c r="Y75" s="283">
        <f>ROUND((S75*$B$23)+(T75*$B$28)+(U75*$B$29)+(V75*$B$30)+(W75*$B$31)+(X75*$B$32),0)</f>
        <v>2890200</v>
      </c>
      <c r="Z75" s="219"/>
      <c r="AA75" s="166"/>
    </row>
    <row r="76" spans="1:28" x14ac:dyDescent="0.2">
      <c r="B76" s="175">
        <f>B75+1</f>
        <v>2019</v>
      </c>
      <c r="C76" s="162">
        <f>'Travel Time'!B17</f>
        <v>2711</v>
      </c>
      <c r="D76" s="215">
        <f>ROUND(C76*$B$48,0)</f>
        <v>28</v>
      </c>
      <c r="E76" s="162">
        <f>ROUND(D76*$B$44,0)</f>
        <v>52</v>
      </c>
      <c r="F76" s="217">
        <f>ROUND(E76*$B$39,0)</f>
        <v>87</v>
      </c>
      <c r="G76" s="262">
        <f t="shared" si="4"/>
        <v>34</v>
      </c>
      <c r="H76" s="215">
        <f t="shared" si="5"/>
        <v>31</v>
      </c>
      <c r="I76" s="262">
        <f t="shared" si="6"/>
        <v>9</v>
      </c>
      <c r="J76" s="263">
        <f t="shared" si="7"/>
        <v>22</v>
      </c>
      <c r="K76" s="264">
        <f t="shared" si="8"/>
        <v>0</v>
      </c>
      <c r="L76" s="265">
        <f t="shared" si="9"/>
        <v>0</v>
      </c>
      <c r="M76" s="163">
        <f t="shared" ref="M76:M79" si="20">ROUND((G76*$B$23)+(H76*$B$28)+(I76*$B$29)+(J76*$B$30)+(K76*$B$31)+(L76*$B$32),0)</f>
        <v>3570500</v>
      </c>
      <c r="N76" s="172">
        <f>B76</f>
        <v>2019</v>
      </c>
      <c r="O76" s="165">
        <f>C76</f>
        <v>2711</v>
      </c>
      <c r="P76" s="215">
        <f t="shared" si="3"/>
        <v>23</v>
      </c>
      <c r="Q76" s="162">
        <f t="shared" si="12"/>
        <v>43</v>
      </c>
      <c r="R76" s="217">
        <f t="shared" si="13"/>
        <v>72</v>
      </c>
      <c r="S76" s="262">
        <f t="shared" si="14"/>
        <v>28</v>
      </c>
      <c r="T76" s="263">
        <f t="shared" si="15"/>
        <v>25</v>
      </c>
      <c r="U76" s="262">
        <f t="shared" si="16"/>
        <v>7</v>
      </c>
      <c r="V76" s="263">
        <f t="shared" si="17"/>
        <v>19</v>
      </c>
      <c r="W76" s="264">
        <f t="shared" si="18"/>
        <v>0</v>
      </c>
      <c r="X76" s="265">
        <f t="shared" si="19"/>
        <v>0</v>
      </c>
      <c r="Y76" s="163">
        <f>ROUND((S76*$B$23)+(T76*$B$28)+(U76*$B$29)+(V76*$B$30)+(W76*$B$31)+(X76*$B$32),0)</f>
        <v>3022700</v>
      </c>
      <c r="Z76" s="219"/>
      <c r="AA76" s="166"/>
    </row>
    <row r="77" spans="1:28" x14ac:dyDescent="0.2">
      <c r="B77" s="175">
        <f>B76+1</f>
        <v>2020</v>
      </c>
      <c r="C77" s="162">
        <f>'Travel Time'!B18</f>
        <v>2769</v>
      </c>
      <c r="D77" s="216">
        <f>ROUND(C77*$B$48,0)</f>
        <v>29</v>
      </c>
      <c r="E77" s="164">
        <f>ROUND(D77*$B$44,0)</f>
        <v>54</v>
      </c>
      <c r="F77" s="218">
        <f>ROUND(E77*$B$39,0)</f>
        <v>91</v>
      </c>
      <c r="G77" s="262">
        <f t="shared" si="4"/>
        <v>35</v>
      </c>
      <c r="H77" s="215">
        <f t="shared" si="5"/>
        <v>32</v>
      </c>
      <c r="I77" s="262">
        <f t="shared" si="6"/>
        <v>9</v>
      </c>
      <c r="J77" s="263">
        <f t="shared" si="7"/>
        <v>24</v>
      </c>
      <c r="K77" s="264">
        <f t="shared" si="8"/>
        <v>0</v>
      </c>
      <c r="L77" s="265">
        <f t="shared" si="9"/>
        <v>0</v>
      </c>
      <c r="M77" s="163">
        <f t="shared" si="20"/>
        <v>3828000</v>
      </c>
      <c r="N77" s="173">
        <f t="shared" ref="N77:N98" si="21">B77</f>
        <v>2020</v>
      </c>
      <c r="O77" s="165">
        <f t="shared" ref="O77:O98" si="22">C77</f>
        <v>2769</v>
      </c>
      <c r="P77" s="215">
        <f t="shared" si="3"/>
        <v>23</v>
      </c>
      <c r="Q77" s="162">
        <f t="shared" si="12"/>
        <v>43</v>
      </c>
      <c r="R77" s="217">
        <f t="shared" si="13"/>
        <v>72</v>
      </c>
      <c r="S77" s="262">
        <f t="shared" si="14"/>
        <v>28</v>
      </c>
      <c r="T77" s="263">
        <f t="shared" si="15"/>
        <v>25</v>
      </c>
      <c r="U77" s="262">
        <f t="shared" si="16"/>
        <v>7</v>
      </c>
      <c r="V77" s="263">
        <f t="shared" si="17"/>
        <v>19</v>
      </c>
      <c r="W77" s="264">
        <f t="shared" si="18"/>
        <v>0</v>
      </c>
      <c r="X77" s="265">
        <f t="shared" si="19"/>
        <v>0</v>
      </c>
      <c r="Y77" s="283">
        <f>ROUND((S77*$B$23)+(T77*$B$28)+(U77*$B$29)+(V77*$B$30)+(W77*$B$31)+(X77*$B$32),0)</f>
        <v>3022700</v>
      </c>
      <c r="Z77" s="219"/>
      <c r="AA77" s="166"/>
    </row>
    <row r="78" spans="1:28" x14ac:dyDescent="0.2">
      <c r="B78" s="175">
        <f t="shared" ref="B78:B98" si="23">B77+1</f>
        <v>2021</v>
      </c>
      <c r="C78" s="162">
        <f>'Travel Time'!B19</f>
        <v>2827</v>
      </c>
      <c r="D78" s="216">
        <f t="shared" ref="D78:D98" si="24">ROUND(C78*$B$48,0)</f>
        <v>29</v>
      </c>
      <c r="E78" s="164">
        <f t="shared" ref="E78:E98" si="25">ROUND(D78*$B$44,0)</f>
        <v>54</v>
      </c>
      <c r="F78" s="218">
        <f t="shared" ref="F78:F98" si="26">ROUND(E78*$B$39,0)</f>
        <v>91</v>
      </c>
      <c r="G78" s="262">
        <f t="shared" si="4"/>
        <v>35</v>
      </c>
      <c r="H78" s="215">
        <f t="shared" si="5"/>
        <v>32</v>
      </c>
      <c r="I78" s="262">
        <f t="shared" si="6"/>
        <v>9</v>
      </c>
      <c r="J78" s="263">
        <f t="shared" si="7"/>
        <v>24</v>
      </c>
      <c r="K78" s="264">
        <f t="shared" si="8"/>
        <v>0</v>
      </c>
      <c r="L78" s="265">
        <f t="shared" si="9"/>
        <v>0</v>
      </c>
      <c r="M78" s="163">
        <f t="shared" si="20"/>
        <v>3828000</v>
      </c>
      <c r="N78" s="173">
        <f t="shared" si="21"/>
        <v>2021</v>
      </c>
      <c r="O78" s="165">
        <f t="shared" si="22"/>
        <v>2827</v>
      </c>
      <c r="P78" s="215">
        <f t="shared" si="3"/>
        <v>24</v>
      </c>
      <c r="Q78" s="162">
        <f t="shared" si="12"/>
        <v>45</v>
      </c>
      <c r="R78" s="217">
        <f t="shared" si="13"/>
        <v>76</v>
      </c>
      <c r="S78" s="262">
        <f t="shared" si="14"/>
        <v>29</v>
      </c>
      <c r="T78" s="263">
        <f t="shared" si="15"/>
        <v>26</v>
      </c>
      <c r="U78" s="262">
        <f t="shared" si="16"/>
        <v>8</v>
      </c>
      <c r="V78" s="263">
        <f t="shared" si="17"/>
        <v>20</v>
      </c>
      <c r="W78" s="264">
        <f t="shared" si="18"/>
        <v>0</v>
      </c>
      <c r="X78" s="265">
        <f t="shared" si="19"/>
        <v>0</v>
      </c>
      <c r="Y78" s="283">
        <f t="shared" ref="Y78:Y97" si="27">ROUND((S78*$B$23)+(T78*$B$28)+(U78*$B$29)+(V78*$B$30)+(W78*$B$31)+(X78*$B$32),0)</f>
        <v>3219100</v>
      </c>
      <c r="Z78" s="219"/>
      <c r="AA78" s="166"/>
    </row>
    <row r="79" spans="1:28" x14ac:dyDescent="0.2">
      <c r="B79" s="175">
        <f t="shared" si="23"/>
        <v>2022</v>
      </c>
      <c r="C79" s="162">
        <f>'Travel Time'!B20</f>
        <v>2887</v>
      </c>
      <c r="D79" s="216">
        <f t="shared" si="24"/>
        <v>30</v>
      </c>
      <c r="E79" s="164">
        <f t="shared" si="25"/>
        <v>56</v>
      </c>
      <c r="F79" s="218">
        <f t="shared" si="26"/>
        <v>94</v>
      </c>
      <c r="G79" s="262">
        <f t="shared" si="4"/>
        <v>37</v>
      </c>
      <c r="H79" s="215">
        <f t="shared" si="5"/>
        <v>33</v>
      </c>
      <c r="I79" s="262">
        <f t="shared" si="6"/>
        <v>10</v>
      </c>
      <c r="J79" s="263">
        <f t="shared" si="7"/>
        <v>24</v>
      </c>
      <c r="K79" s="264">
        <f t="shared" si="8"/>
        <v>0</v>
      </c>
      <c r="L79" s="265">
        <f t="shared" si="9"/>
        <v>0</v>
      </c>
      <c r="M79" s="163">
        <f t="shared" si="20"/>
        <v>3903700</v>
      </c>
      <c r="N79" s="173">
        <f t="shared" si="21"/>
        <v>2022</v>
      </c>
      <c r="O79" s="165">
        <f t="shared" si="22"/>
        <v>2887</v>
      </c>
      <c r="P79" s="215">
        <f t="shared" si="3"/>
        <v>24</v>
      </c>
      <c r="Q79" s="162">
        <f t="shared" si="12"/>
        <v>45</v>
      </c>
      <c r="R79" s="217">
        <f t="shared" si="13"/>
        <v>76</v>
      </c>
      <c r="S79" s="262">
        <f t="shared" si="14"/>
        <v>29</v>
      </c>
      <c r="T79" s="263">
        <f t="shared" si="15"/>
        <v>26</v>
      </c>
      <c r="U79" s="262">
        <f t="shared" si="16"/>
        <v>8</v>
      </c>
      <c r="V79" s="263">
        <f t="shared" si="17"/>
        <v>20</v>
      </c>
      <c r="W79" s="264">
        <f t="shared" si="18"/>
        <v>0</v>
      </c>
      <c r="X79" s="265">
        <f t="shared" si="19"/>
        <v>0</v>
      </c>
      <c r="Y79" s="283">
        <f t="shared" si="27"/>
        <v>3219100</v>
      </c>
      <c r="Z79" s="219">
        <f t="shared" ref="Z79:Z98" si="28">ROUND(M79-Y79,0)</f>
        <v>684600</v>
      </c>
      <c r="AA79" s="166">
        <f>ROUND(Z79*NPV!C7,0)</f>
        <v>488110</v>
      </c>
      <c r="AB79" s="81"/>
    </row>
    <row r="80" spans="1:28" x14ac:dyDescent="0.2">
      <c r="B80" s="175">
        <f t="shared" si="23"/>
        <v>2023</v>
      </c>
      <c r="C80" s="162">
        <f>'Travel Time'!B21</f>
        <v>2948</v>
      </c>
      <c r="D80" s="216">
        <f t="shared" si="24"/>
        <v>31</v>
      </c>
      <c r="E80" s="164">
        <f t="shared" si="25"/>
        <v>58</v>
      </c>
      <c r="F80" s="218">
        <f t="shared" si="26"/>
        <v>97</v>
      </c>
      <c r="G80" s="262">
        <f t="shared" si="4"/>
        <v>38</v>
      </c>
      <c r="H80" s="215">
        <f t="shared" si="5"/>
        <v>34</v>
      </c>
      <c r="I80" s="262">
        <f t="shared" si="6"/>
        <v>10</v>
      </c>
      <c r="J80" s="263">
        <f t="shared" si="7"/>
        <v>25</v>
      </c>
      <c r="K80" s="264">
        <f t="shared" si="8"/>
        <v>0</v>
      </c>
      <c r="L80" s="265">
        <f t="shared" si="9"/>
        <v>0</v>
      </c>
      <c r="M80" s="163">
        <f>ROUND((G80*$B$23)+(H80*$B$28)+(I80*$B$29)+(J80*$B$30)+(K80*$B$31)+(L80*$B$32),0)</f>
        <v>4036200</v>
      </c>
      <c r="N80" s="173">
        <f t="shared" si="21"/>
        <v>2023</v>
      </c>
      <c r="O80" s="165">
        <f t="shared" si="22"/>
        <v>2948</v>
      </c>
      <c r="P80" s="215">
        <f t="shared" si="3"/>
        <v>25</v>
      </c>
      <c r="Q80" s="162">
        <f t="shared" si="12"/>
        <v>47</v>
      </c>
      <c r="R80" s="217">
        <f t="shared" si="13"/>
        <v>79</v>
      </c>
      <c r="S80" s="262">
        <f t="shared" si="14"/>
        <v>31</v>
      </c>
      <c r="T80" s="263">
        <f t="shared" si="15"/>
        <v>27</v>
      </c>
      <c r="U80" s="262">
        <f t="shared" si="16"/>
        <v>8</v>
      </c>
      <c r="V80" s="263">
        <f t="shared" si="17"/>
        <v>20</v>
      </c>
      <c r="W80" s="264">
        <f t="shared" si="18"/>
        <v>0</v>
      </c>
      <c r="X80" s="265">
        <f t="shared" si="19"/>
        <v>0</v>
      </c>
      <c r="Y80" s="283">
        <f t="shared" si="27"/>
        <v>3230900</v>
      </c>
      <c r="Z80" s="219">
        <f t="shared" si="28"/>
        <v>805300</v>
      </c>
      <c r="AA80" s="166">
        <f>ROUND(Z80*NPV!C8,0)</f>
        <v>536605</v>
      </c>
      <c r="AB80" s="81"/>
    </row>
    <row r="81" spans="2:28" x14ac:dyDescent="0.2">
      <c r="B81" s="175">
        <f t="shared" si="23"/>
        <v>2024</v>
      </c>
      <c r="C81" s="162">
        <f>'Travel Time'!B22</f>
        <v>3010</v>
      </c>
      <c r="D81" s="216">
        <f t="shared" si="24"/>
        <v>31</v>
      </c>
      <c r="E81" s="164">
        <f t="shared" si="25"/>
        <v>58</v>
      </c>
      <c r="F81" s="218">
        <f t="shared" si="26"/>
        <v>97</v>
      </c>
      <c r="G81" s="262">
        <f t="shared" si="4"/>
        <v>38</v>
      </c>
      <c r="H81" s="215">
        <f t="shared" si="5"/>
        <v>34</v>
      </c>
      <c r="I81" s="262">
        <f t="shared" si="6"/>
        <v>10</v>
      </c>
      <c r="J81" s="263">
        <f t="shared" si="7"/>
        <v>25</v>
      </c>
      <c r="K81" s="264">
        <f t="shared" si="8"/>
        <v>0</v>
      </c>
      <c r="L81" s="265">
        <f t="shared" si="9"/>
        <v>0</v>
      </c>
      <c r="M81" s="163">
        <f t="shared" ref="M81:M98" si="29">ROUND((G81*$B$23)+(H81*$B$28)+(I81*$B$29)+(J81*$B$30)+(K81*$B$31)+(L81*$B$32),0)</f>
        <v>4036200</v>
      </c>
      <c r="N81" s="173">
        <f t="shared" si="21"/>
        <v>2024</v>
      </c>
      <c r="O81" s="165">
        <f t="shared" si="22"/>
        <v>3010</v>
      </c>
      <c r="P81" s="215">
        <f t="shared" si="3"/>
        <v>25</v>
      </c>
      <c r="Q81" s="162">
        <f t="shared" si="12"/>
        <v>47</v>
      </c>
      <c r="R81" s="217">
        <f t="shared" si="13"/>
        <v>79</v>
      </c>
      <c r="S81" s="262">
        <f t="shared" si="14"/>
        <v>31</v>
      </c>
      <c r="T81" s="263">
        <f t="shared" si="15"/>
        <v>27</v>
      </c>
      <c r="U81" s="262">
        <f t="shared" si="16"/>
        <v>8</v>
      </c>
      <c r="V81" s="263">
        <f t="shared" si="17"/>
        <v>20</v>
      </c>
      <c r="W81" s="264">
        <f t="shared" si="18"/>
        <v>0</v>
      </c>
      <c r="X81" s="265">
        <f t="shared" si="19"/>
        <v>0</v>
      </c>
      <c r="Y81" s="283">
        <f t="shared" si="27"/>
        <v>3230900</v>
      </c>
      <c r="Z81" s="219">
        <f t="shared" si="28"/>
        <v>805300</v>
      </c>
      <c r="AA81" s="166">
        <f>ROUND(Z81*NPV!C9,0)</f>
        <v>501500</v>
      </c>
      <c r="AB81" s="81"/>
    </row>
    <row r="82" spans="2:28" x14ac:dyDescent="0.2">
      <c r="B82" s="175">
        <f t="shared" si="23"/>
        <v>2025</v>
      </c>
      <c r="C82" s="162">
        <f>'Travel Time'!B23</f>
        <v>3074</v>
      </c>
      <c r="D82" s="216">
        <f t="shared" si="24"/>
        <v>32</v>
      </c>
      <c r="E82" s="164">
        <f t="shared" si="25"/>
        <v>60</v>
      </c>
      <c r="F82" s="218">
        <f t="shared" si="26"/>
        <v>101</v>
      </c>
      <c r="G82" s="262">
        <f t="shared" si="4"/>
        <v>39</v>
      </c>
      <c r="H82" s="215">
        <f t="shared" si="5"/>
        <v>35</v>
      </c>
      <c r="I82" s="262">
        <f t="shared" si="6"/>
        <v>10</v>
      </c>
      <c r="J82" s="263">
        <f t="shared" si="7"/>
        <v>26</v>
      </c>
      <c r="K82" s="264">
        <f t="shared" si="8"/>
        <v>0</v>
      </c>
      <c r="L82" s="265">
        <f t="shared" si="9"/>
        <v>0</v>
      </c>
      <c r="M82" s="163">
        <f t="shared" si="29"/>
        <v>4168700</v>
      </c>
      <c r="N82" s="173">
        <f t="shared" si="21"/>
        <v>2025</v>
      </c>
      <c r="O82" s="165">
        <f t="shared" si="22"/>
        <v>3074</v>
      </c>
      <c r="P82" s="215">
        <f t="shared" si="3"/>
        <v>26</v>
      </c>
      <c r="Q82" s="162">
        <f t="shared" si="12"/>
        <v>49</v>
      </c>
      <c r="R82" s="217">
        <f t="shared" si="13"/>
        <v>82</v>
      </c>
      <c r="S82" s="262">
        <f t="shared" si="14"/>
        <v>32</v>
      </c>
      <c r="T82" s="263">
        <f t="shared" si="15"/>
        <v>29</v>
      </c>
      <c r="U82" s="262">
        <f t="shared" si="16"/>
        <v>8</v>
      </c>
      <c r="V82" s="263">
        <f t="shared" si="17"/>
        <v>21</v>
      </c>
      <c r="W82" s="264">
        <f t="shared" si="18"/>
        <v>0</v>
      </c>
      <c r="X82" s="265">
        <f t="shared" si="19"/>
        <v>0</v>
      </c>
      <c r="Y82" s="283">
        <f t="shared" si="27"/>
        <v>3366600</v>
      </c>
      <c r="Z82" s="219">
        <f t="shared" si="28"/>
        <v>802100</v>
      </c>
      <c r="AA82" s="166">
        <f>ROUND(Z82*NPV!C10,0)</f>
        <v>466830</v>
      </c>
      <c r="AB82" s="81"/>
    </row>
    <row r="83" spans="2:28" x14ac:dyDescent="0.2">
      <c r="B83" s="175">
        <f t="shared" si="23"/>
        <v>2026</v>
      </c>
      <c r="C83" s="162">
        <f>'Travel Time'!B24</f>
        <v>3139</v>
      </c>
      <c r="D83" s="216">
        <f t="shared" si="24"/>
        <v>33</v>
      </c>
      <c r="E83" s="164">
        <f t="shared" si="25"/>
        <v>62</v>
      </c>
      <c r="F83" s="218">
        <f t="shared" si="26"/>
        <v>104</v>
      </c>
      <c r="G83" s="262">
        <f t="shared" si="4"/>
        <v>40</v>
      </c>
      <c r="H83" s="215">
        <f t="shared" si="5"/>
        <v>36</v>
      </c>
      <c r="I83" s="262">
        <f t="shared" si="6"/>
        <v>11</v>
      </c>
      <c r="J83" s="263">
        <f t="shared" si="7"/>
        <v>27</v>
      </c>
      <c r="K83" s="264">
        <f t="shared" si="8"/>
        <v>0</v>
      </c>
      <c r="L83" s="265">
        <f t="shared" si="9"/>
        <v>0</v>
      </c>
      <c r="M83" s="163">
        <f t="shared" si="29"/>
        <v>4365100</v>
      </c>
      <c r="N83" s="173">
        <f t="shared" si="21"/>
        <v>2026</v>
      </c>
      <c r="O83" s="165">
        <f t="shared" si="22"/>
        <v>3139</v>
      </c>
      <c r="P83" s="215">
        <f t="shared" si="3"/>
        <v>26</v>
      </c>
      <c r="Q83" s="162">
        <f t="shared" si="12"/>
        <v>49</v>
      </c>
      <c r="R83" s="217">
        <f t="shared" si="13"/>
        <v>82</v>
      </c>
      <c r="S83" s="262">
        <f t="shared" si="14"/>
        <v>32</v>
      </c>
      <c r="T83" s="263">
        <f t="shared" si="15"/>
        <v>29</v>
      </c>
      <c r="U83" s="262">
        <f t="shared" si="16"/>
        <v>8</v>
      </c>
      <c r="V83" s="263">
        <f t="shared" si="17"/>
        <v>21</v>
      </c>
      <c r="W83" s="264">
        <f t="shared" si="18"/>
        <v>0</v>
      </c>
      <c r="X83" s="265">
        <f t="shared" si="19"/>
        <v>0</v>
      </c>
      <c r="Y83" s="283">
        <f t="shared" si="27"/>
        <v>3366600</v>
      </c>
      <c r="Z83" s="219">
        <f t="shared" si="28"/>
        <v>998500</v>
      </c>
      <c r="AA83" s="166">
        <f>ROUND(Z83*NPV!C11,0)</f>
        <v>543118</v>
      </c>
      <c r="AB83" s="81"/>
    </row>
    <row r="84" spans="2:28" x14ac:dyDescent="0.2">
      <c r="B84" s="175">
        <f t="shared" si="23"/>
        <v>2027</v>
      </c>
      <c r="C84" s="162">
        <f>'Travel Time'!B25</f>
        <v>3205</v>
      </c>
      <c r="D84" s="216">
        <f t="shared" si="24"/>
        <v>33</v>
      </c>
      <c r="E84" s="164">
        <f t="shared" si="25"/>
        <v>62</v>
      </c>
      <c r="F84" s="218">
        <f t="shared" si="26"/>
        <v>104</v>
      </c>
      <c r="G84" s="262">
        <f t="shared" si="4"/>
        <v>40</v>
      </c>
      <c r="H84" s="215">
        <f t="shared" si="5"/>
        <v>36</v>
      </c>
      <c r="I84" s="262">
        <f t="shared" si="6"/>
        <v>11</v>
      </c>
      <c r="J84" s="263">
        <f t="shared" si="7"/>
        <v>27</v>
      </c>
      <c r="K84" s="264">
        <f t="shared" si="8"/>
        <v>0</v>
      </c>
      <c r="L84" s="265">
        <f t="shared" si="9"/>
        <v>0</v>
      </c>
      <c r="M84" s="163">
        <f t="shared" si="29"/>
        <v>4365100</v>
      </c>
      <c r="N84" s="173">
        <f t="shared" si="21"/>
        <v>2027</v>
      </c>
      <c r="O84" s="165">
        <f t="shared" si="22"/>
        <v>3205</v>
      </c>
      <c r="P84" s="215">
        <f t="shared" si="3"/>
        <v>27</v>
      </c>
      <c r="Q84" s="162">
        <f t="shared" si="12"/>
        <v>50</v>
      </c>
      <c r="R84" s="217">
        <f t="shared" si="13"/>
        <v>84</v>
      </c>
      <c r="S84" s="262">
        <f t="shared" si="14"/>
        <v>33</v>
      </c>
      <c r="T84" s="263">
        <f t="shared" si="15"/>
        <v>30</v>
      </c>
      <c r="U84" s="262">
        <f t="shared" si="16"/>
        <v>9</v>
      </c>
      <c r="V84" s="263">
        <f t="shared" si="17"/>
        <v>22</v>
      </c>
      <c r="W84" s="264">
        <f t="shared" si="18"/>
        <v>0</v>
      </c>
      <c r="X84" s="265">
        <f t="shared" si="19"/>
        <v>0</v>
      </c>
      <c r="Y84" s="283">
        <f t="shared" si="27"/>
        <v>3563000</v>
      </c>
      <c r="Z84" s="219">
        <f t="shared" si="28"/>
        <v>802100</v>
      </c>
      <c r="AA84" s="166">
        <f>ROUND(Z84*NPV!C12,0)</f>
        <v>407747</v>
      </c>
      <c r="AB84" s="81"/>
    </row>
    <row r="85" spans="2:28" x14ac:dyDescent="0.2">
      <c r="B85" s="175">
        <f t="shared" si="23"/>
        <v>2028</v>
      </c>
      <c r="C85" s="162">
        <f>'Travel Time'!B26</f>
        <v>3273</v>
      </c>
      <c r="D85" s="216">
        <f t="shared" si="24"/>
        <v>34</v>
      </c>
      <c r="E85" s="164">
        <f t="shared" si="25"/>
        <v>64</v>
      </c>
      <c r="F85" s="218">
        <f t="shared" si="26"/>
        <v>108</v>
      </c>
      <c r="G85" s="262">
        <f t="shared" si="4"/>
        <v>42</v>
      </c>
      <c r="H85" s="215">
        <f t="shared" si="5"/>
        <v>37</v>
      </c>
      <c r="I85" s="262">
        <f t="shared" si="6"/>
        <v>11</v>
      </c>
      <c r="J85" s="263">
        <f t="shared" si="7"/>
        <v>28</v>
      </c>
      <c r="K85" s="264">
        <f t="shared" si="8"/>
        <v>0</v>
      </c>
      <c r="L85" s="265">
        <f t="shared" si="9"/>
        <v>0</v>
      </c>
      <c r="M85" s="163">
        <f t="shared" si="29"/>
        <v>4501900</v>
      </c>
      <c r="N85" s="173">
        <f t="shared" si="21"/>
        <v>2028</v>
      </c>
      <c r="O85" s="165">
        <f t="shared" si="22"/>
        <v>3273</v>
      </c>
      <c r="P85" s="215">
        <f t="shared" si="3"/>
        <v>27</v>
      </c>
      <c r="Q85" s="162">
        <f t="shared" si="12"/>
        <v>50</v>
      </c>
      <c r="R85" s="217">
        <f t="shared" si="13"/>
        <v>84</v>
      </c>
      <c r="S85" s="262">
        <f t="shared" si="14"/>
        <v>33</v>
      </c>
      <c r="T85" s="263">
        <f t="shared" si="15"/>
        <v>30</v>
      </c>
      <c r="U85" s="262">
        <f t="shared" si="16"/>
        <v>9</v>
      </c>
      <c r="V85" s="263">
        <f t="shared" si="17"/>
        <v>22</v>
      </c>
      <c r="W85" s="264">
        <f t="shared" si="18"/>
        <v>0</v>
      </c>
      <c r="X85" s="265">
        <f t="shared" si="19"/>
        <v>0</v>
      </c>
      <c r="Y85" s="283">
        <f t="shared" si="27"/>
        <v>3563000</v>
      </c>
      <c r="Z85" s="219">
        <f t="shared" si="28"/>
        <v>938900</v>
      </c>
      <c r="AA85" s="166">
        <f>ROUND(Z85*NPV!C13,0)</f>
        <v>446065</v>
      </c>
      <c r="AB85" s="81"/>
    </row>
    <row r="86" spans="2:28" x14ac:dyDescent="0.2">
      <c r="B86" s="175">
        <f t="shared" si="23"/>
        <v>2029</v>
      </c>
      <c r="C86" s="162">
        <f>'Travel Time'!B27</f>
        <v>3342</v>
      </c>
      <c r="D86" s="216">
        <f t="shared" si="24"/>
        <v>35</v>
      </c>
      <c r="E86" s="164">
        <f t="shared" si="25"/>
        <v>65</v>
      </c>
      <c r="F86" s="218">
        <f t="shared" si="26"/>
        <v>109</v>
      </c>
      <c r="G86" s="262">
        <f t="shared" si="4"/>
        <v>43</v>
      </c>
      <c r="H86" s="215">
        <f t="shared" si="5"/>
        <v>38</v>
      </c>
      <c r="I86" s="262">
        <f t="shared" si="6"/>
        <v>11</v>
      </c>
      <c r="J86" s="263">
        <f t="shared" si="7"/>
        <v>28</v>
      </c>
      <c r="K86" s="264">
        <f t="shared" si="8"/>
        <v>0</v>
      </c>
      <c r="L86" s="265">
        <f t="shared" si="9"/>
        <v>0</v>
      </c>
      <c r="M86" s="163">
        <f t="shared" si="29"/>
        <v>4509400</v>
      </c>
      <c r="N86" s="173">
        <f t="shared" si="21"/>
        <v>2029</v>
      </c>
      <c r="O86" s="165">
        <f t="shared" si="22"/>
        <v>3342</v>
      </c>
      <c r="P86" s="215">
        <f t="shared" si="3"/>
        <v>28</v>
      </c>
      <c r="Q86" s="162">
        <f t="shared" si="12"/>
        <v>52</v>
      </c>
      <c r="R86" s="217">
        <f t="shared" si="13"/>
        <v>87</v>
      </c>
      <c r="S86" s="262">
        <f t="shared" si="14"/>
        <v>34</v>
      </c>
      <c r="T86" s="263">
        <f t="shared" si="15"/>
        <v>31</v>
      </c>
      <c r="U86" s="262">
        <f t="shared" si="16"/>
        <v>9</v>
      </c>
      <c r="V86" s="263">
        <f t="shared" si="17"/>
        <v>22</v>
      </c>
      <c r="W86" s="264">
        <f t="shared" si="18"/>
        <v>0</v>
      </c>
      <c r="X86" s="265">
        <f t="shared" si="19"/>
        <v>0</v>
      </c>
      <c r="Y86" s="283">
        <f t="shared" si="27"/>
        <v>3570500</v>
      </c>
      <c r="Z86" s="219">
        <f t="shared" si="28"/>
        <v>938900</v>
      </c>
      <c r="AA86" s="166">
        <f>ROUND(Z86*NPV!C14,0)</f>
        <v>416883</v>
      </c>
      <c r="AB86" s="81"/>
    </row>
    <row r="87" spans="2:28" x14ac:dyDescent="0.2">
      <c r="B87" s="175">
        <f t="shared" si="23"/>
        <v>2030</v>
      </c>
      <c r="C87" s="162">
        <f>'Travel Time'!B28</f>
        <v>3413</v>
      </c>
      <c r="D87" s="216">
        <f t="shared" si="24"/>
        <v>36</v>
      </c>
      <c r="E87" s="164">
        <f t="shared" si="25"/>
        <v>67</v>
      </c>
      <c r="F87" s="218">
        <f t="shared" si="26"/>
        <v>113</v>
      </c>
      <c r="G87" s="262">
        <f t="shared" si="4"/>
        <v>44</v>
      </c>
      <c r="H87" s="215">
        <f t="shared" si="5"/>
        <v>40</v>
      </c>
      <c r="I87" s="262">
        <f t="shared" si="6"/>
        <v>12</v>
      </c>
      <c r="J87" s="263">
        <f t="shared" si="7"/>
        <v>29</v>
      </c>
      <c r="K87" s="264">
        <f t="shared" si="8"/>
        <v>0</v>
      </c>
      <c r="L87" s="265">
        <f t="shared" si="9"/>
        <v>0</v>
      </c>
      <c r="M87" s="163">
        <f t="shared" si="29"/>
        <v>4709000</v>
      </c>
      <c r="N87" s="173">
        <f t="shared" si="21"/>
        <v>2030</v>
      </c>
      <c r="O87" s="165">
        <f t="shared" si="22"/>
        <v>3413</v>
      </c>
      <c r="P87" s="215">
        <f t="shared" si="3"/>
        <v>28</v>
      </c>
      <c r="Q87" s="162">
        <f t="shared" si="12"/>
        <v>52</v>
      </c>
      <c r="R87" s="217">
        <f t="shared" si="13"/>
        <v>87</v>
      </c>
      <c r="S87" s="262">
        <f t="shared" si="14"/>
        <v>34</v>
      </c>
      <c r="T87" s="263">
        <f t="shared" si="15"/>
        <v>31</v>
      </c>
      <c r="U87" s="262">
        <f t="shared" si="16"/>
        <v>9</v>
      </c>
      <c r="V87" s="263">
        <f t="shared" si="17"/>
        <v>22</v>
      </c>
      <c r="W87" s="264">
        <f t="shared" si="18"/>
        <v>0</v>
      </c>
      <c r="X87" s="265">
        <f t="shared" si="19"/>
        <v>0</v>
      </c>
      <c r="Y87" s="283">
        <f t="shared" si="27"/>
        <v>3570500</v>
      </c>
      <c r="Z87" s="219">
        <f t="shared" si="28"/>
        <v>1138500</v>
      </c>
      <c r="AA87" s="166">
        <f>ROUND(Z87*NPV!C15,0)</f>
        <v>472437</v>
      </c>
      <c r="AB87" s="81"/>
    </row>
    <row r="88" spans="2:28" x14ac:dyDescent="0.2">
      <c r="B88" s="175">
        <f t="shared" si="23"/>
        <v>2031</v>
      </c>
      <c r="C88" s="162">
        <f>'Travel Time'!B29</f>
        <v>3485</v>
      </c>
      <c r="D88" s="216">
        <f t="shared" si="24"/>
        <v>36</v>
      </c>
      <c r="E88" s="164">
        <f t="shared" si="25"/>
        <v>67</v>
      </c>
      <c r="F88" s="218">
        <f t="shared" si="26"/>
        <v>113</v>
      </c>
      <c r="G88" s="262">
        <f t="shared" si="4"/>
        <v>44</v>
      </c>
      <c r="H88" s="215">
        <f t="shared" si="5"/>
        <v>40</v>
      </c>
      <c r="I88" s="262">
        <f t="shared" si="6"/>
        <v>12</v>
      </c>
      <c r="J88" s="263">
        <f t="shared" si="7"/>
        <v>29</v>
      </c>
      <c r="K88" s="264">
        <f t="shared" si="8"/>
        <v>0</v>
      </c>
      <c r="L88" s="265">
        <f t="shared" si="9"/>
        <v>0</v>
      </c>
      <c r="M88" s="163">
        <f t="shared" si="29"/>
        <v>4709000</v>
      </c>
      <c r="N88" s="173">
        <f t="shared" si="21"/>
        <v>2031</v>
      </c>
      <c r="O88" s="165">
        <f t="shared" si="22"/>
        <v>3485</v>
      </c>
      <c r="P88" s="215">
        <f t="shared" si="3"/>
        <v>29</v>
      </c>
      <c r="Q88" s="162">
        <f t="shared" si="12"/>
        <v>54</v>
      </c>
      <c r="R88" s="217">
        <f t="shared" si="13"/>
        <v>91</v>
      </c>
      <c r="S88" s="262">
        <f t="shared" si="14"/>
        <v>35</v>
      </c>
      <c r="T88" s="263">
        <f t="shared" si="15"/>
        <v>32</v>
      </c>
      <c r="U88" s="262">
        <f t="shared" si="16"/>
        <v>9</v>
      </c>
      <c r="V88" s="263">
        <f t="shared" si="17"/>
        <v>24</v>
      </c>
      <c r="W88" s="264">
        <f t="shared" si="18"/>
        <v>0</v>
      </c>
      <c r="X88" s="265">
        <f t="shared" si="19"/>
        <v>0</v>
      </c>
      <c r="Y88" s="283">
        <f t="shared" si="27"/>
        <v>3828000</v>
      </c>
      <c r="Z88" s="219">
        <f t="shared" si="28"/>
        <v>881000</v>
      </c>
      <c r="AA88" s="166">
        <f>ROUND(Z88*NPV!C16,0)</f>
        <v>341667</v>
      </c>
      <c r="AB88" s="81"/>
    </row>
    <row r="89" spans="2:28" x14ac:dyDescent="0.2">
      <c r="B89" s="175">
        <f t="shared" si="23"/>
        <v>2032</v>
      </c>
      <c r="C89" s="162">
        <f>'Travel Time'!B30</f>
        <v>3559</v>
      </c>
      <c r="D89" s="216">
        <f t="shared" si="24"/>
        <v>37</v>
      </c>
      <c r="E89" s="164">
        <f t="shared" si="25"/>
        <v>69</v>
      </c>
      <c r="F89" s="218">
        <f t="shared" si="26"/>
        <v>116</v>
      </c>
      <c r="G89" s="262">
        <f t="shared" si="4"/>
        <v>45</v>
      </c>
      <c r="H89" s="215">
        <f t="shared" si="5"/>
        <v>41</v>
      </c>
      <c r="I89" s="262">
        <f t="shared" si="6"/>
        <v>12</v>
      </c>
      <c r="J89" s="263">
        <f t="shared" si="7"/>
        <v>30</v>
      </c>
      <c r="K89" s="264">
        <f t="shared" si="8"/>
        <v>0</v>
      </c>
      <c r="L89" s="265">
        <f t="shared" si="9"/>
        <v>0</v>
      </c>
      <c r="M89" s="163">
        <f t="shared" si="29"/>
        <v>4841500</v>
      </c>
      <c r="N89" s="173">
        <f t="shared" si="21"/>
        <v>2032</v>
      </c>
      <c r="O89" s="165">
        <f t="shared" si="22"/>
        <v>3559</v>
      </c>
      <c r="P89" s="215">
        <f t="shared" si="3"/>
        <v>30</v>
      </c>
      <c r="Q89" s="162">
        <f t="shared" si="12"/>
        <v>56</v>
      </c>
      <c r="R89" s="217">
        <f t="shared" si="13"/>
        <v>94</v>
      </c>
      <c r="S89" s="262">
        <f t="shared" si="14"/>
        <v>37</v>
      </c>
      <c r="T89" s="263">
        <f t="shared" si="15"/>
        <v>33</v>
      </c>
      <c r="U89" s="262">
        <f t="shared" si="16"/>
        <v>10</v>
      </c>
      <c r="V89" s="263">
        <f t="shared" si="17"/>
        <v>24</v>
      </c>
      <c r="W89" s="264">
        <f t="shared" si="18"/>
        <v>0</v>
      </c>
      <c r="X89" s="265">
        <f t="shared" si="19"/>
        <v>0</v>
      </c>
      <c r="Y89" s="283">
        <f t="shared" si="27"/>
        <v>3903700</v>
      </c>
      <c r="Z89" s="219">
        <f t="shared" si="28"/>
        <v>937800</v>
      </c>
      <c r="AA89" s="166">
        <f>ROUND(Z89*NPV!C17,0)</f>
        <v>339902</v>
      </c>
      <c r="AB89" s="81"/>
    </row>
    <row r="90" spans="2:28" x14ac:dyDescent="0.2">
      <c r="B90" s="175">
        <f t="shared" si="23"/>
        <v>2033</v>
      </c>
      <c r="C90" s="162">
        <f>'Travel Time'!B31</f>
        <v>3634</v>
      </c>
      <c r="D90" s="216">
        <f t="shared" si="24"/>
        <v>38</v>
      </c>
      <c r="E90" s="164">
        <f t="shared" si="25"/>
        <v>71</v>
      </c>
      <c r="F90" s="218">
        <f t="shared" si="26"/>
        <v>119</v>
      </c>
      <c r="G90" s="262">
        <f t="shared" si="4"/>
        <v>46</v>
      </c>
      <c r="H90" s="215">
        <f t="shared" si="5"/>
        <v>42</v>
      </c>
      <c r="I90" s="262">
        <f t="shared" si="6"/>
        <v>12</v>
      </c>
      <c r="J90" s="263">
        <f t="shared" si="7"/>
        <v>31</v>
      </c>
      <c r="K90" s="264">
        <f t="shared" si="8"/>
        <v>0</v>
      </c>
      <c r="L90" s="265">
        <f t="shared" si="9"/>
        <v>0</v>
      </c>
      <c r="M90" s="163">
        <f t="shared" si="29"/>
        <v>4974000</v>
      </c>
      <c r="N90" s="173">
        <f t="shared" si="21"/>
        <v>2033</v>
      </c>
      <c r="O90" s="165">
        <f t="shared" si="22"/>
        <v>3634</v>
      </c>
      <c r="P90" s="215">
        <f t="shared" si="3"/>
        <v>30</v>
      </c>
      <c r="Q90" s="162">
        <f t="shared" si="12"/>
        <v>56</v>
      </c>
      <c r="R90" s="217">
        <f t="shared" si="13"/>
        <v>94</v>
      </c>
      <c r="S90" s="262">
        <f t="shared" si="14"/>
        <v>37</v>
      </c>
      <c r="T90" s="263">
        <f t="shared" si="15"/>
        <v>33</v>
      </c>
      <c r="U90" s="262">
        <f t="shared" si="16"/>
        <v>10</v>
      </c>
      <c r="V90" s="263">
        <f t="shared" si="17"/>
        <v>24</v>
      </c>
      <c r="W90" s="264">
        <f t="shared" si="18"/>
        <v>0</v>
      </c>
      <c r="X90" s="265">
        <f t="shared" si="19"/>
        <v>0</v>
      </c>
      <c r="Y90" s="283">
        <f t="shared" si="27"/>
        <v>3903700</v>
      </c>
      <c r="Z90" s="219">
        <f t="shared" si="28"/>
        <v>1070300</v>
      </c>
      <c r="AA90" s="166">
        <f>ROUND(Z90*NPV!C18,0)</f>
        <v>362548</v>
      </c>
      <c r="AB90" s="81"/>
    </row>
    <row r="91" spans="2:28" x14ac:dyDescent="0.2">
      <c r="B91" s="175">
        <f t="shared" si="23"/>
        <v>2034</v>
      </c>
      <c r="C91" s="162">
        <f>'Travel Time'!B32</f>
        <v>3711</v>
      </c>
      <c r="D91" s="216">
        <f t="shared" si="24"/>
        <v>39</v>
      </c>
      <c r="E91" s="164">
        <f t="shared" si="25"/>
        <v>73</v>
      </c>
      <c r="F91" s="218">
        <f t="shared" si="26"/>
        <v>123</v>
      </c>
      <c r="G91" s="262">
        <f t="shared" si="4"/>
        <v>48</v>
      </c>
      <c r="H91" s="215">
        <f t="shared" si="5"/>
        <v>43</v>
      </c>
      <c r="I91" s="262">
        <f t="shared" si="6"/>
        <v>13</v>
      </c>
      <c r="J91" s="263">
        <f t="shared" si="7"/>
        <v>32</v>
      </c>
      <c r="K91" s="264">
        <f t="shared" si="8"/>
        <v>0</v>
      </c>
      <c r="L91" s="265">
        <f t="shared" si="9"/>
        <v>0</v>
      </c>
      <c r="M91" s="163">
        <f t="shared" si="29"/>
        <v>5174700</v>
      </c>
      <c r="N91" s="173">
        <f t="shared" si="21"/>
        <v>2034</v>
      </c>
      <c r="O91" s="165">
        <f t="shared" si="22"/>
        <v>3711</v>
      </c>
      <c r="P91" s="215">
        <f t="shared" si="3"/>
        <v>31</v>
      </c>
      <c r="Q91" s="162">
        <f t="shared" si="12"/>
        <v>58</v>
      </c>
      <c r="R91" s="217">
        <f t="shared" si="13"/>
        <v>97</v>
      </c>
      <c r="S91" s="262">
        <f t="shared" si="14"/>
        <v>38</v>
      </c>
      <c r="T91" s="263">
        <f t="shared" si="15"/>
        <v>34</v>
      </c>
      <c r="U91" s="262">
        <f t="shared" si="16"/>
        <v>10</v>
      </c>
      <c r="V91" s="263">
        <f t="shared" si="17"/>
        <v>25</v>
      </c>
      <c r="W91" s="264">
        <f t="shared" si="18"/>
        <v>0</v>
      </c>
      <c r="X91" s="265">
        <f t="shared" si="19"/>
        <v>0</v>
      </c>
      <c r="Y91" s="283">
        <f t="shared" si="27"/>
        <v>4036200</v>
      </c>
      <c r="Z91" s="219">
        <f t="shared" si="28"/>
        <v>1138500</v>
      </c>
      <c r="AA91" s="166">
        <f>ROUND(Z91*NPV!C19,0)</f>
        <v>360420</v>
      </c>
      <c r="AB91" s="81"/>
    </row>
    <row r="92" spans="2:28" x14ac:dyDescent="0.2">
      <c r="B92" s="175">
        <f t="shared" si="23"/>
        <v>2035</v>
      </c>
      <c r="C92" s="162">
        <f>'Travel Time'!B33</f>
        <v>3790</v>
      </c>
      <c r="D92" s="216">
        <f t="shared" si="24"/>
        <v>40</v>
      </c>
      <c r="E92" s="164">
        <f t="shared" si="25"/>
        <v>75</v>
      </c>
      <c r="F92" s="218">
        <f t="shared" si="26"/>
        <v>126</v>
      </c>
      <c r="G92" s="262">
        <f t="shared" si="4"/>
        <v>49</v>
      </c>
      <c r="H92" s="215">
        <f t="shared" si="5"/>
        <v>44</v>
      </c>
      <c r="I92" s="262">
        <f t="shared" si="6"/>
        <v>13</v>
      </c>
      <c r="J92" s="263">
        <f t="shared" si="7"/>
        <v>33</v>
      </c>
      <c r="K92" s="264">
        <f t="shared" si="8"/>
        <v>0</v>
      </c>
      <c r="L92" s="265">
        <f t="shared" si="9"/>
        <v>0</v>
      </c>
      <c r="M92" s="163">
        <f t="shared" si="29"/>
        <v>5307200</v>
      </c>
      <c r="N92" s="173">
        <f t="shared" si="21"/>
        <v>2035</v>
      </c>
      <c r="O92" s="165">
        <f t="shared" si="22"/>
        <v>3790</v>
      </c>
      <c r="P92" s="215">
        <f t="shared" si="3"/>
        <v>32</v>
      </c>
      <c r="Q92" s="162">
        <f t="shared" si="12"/>
        <v>60</v>
      </c>
      <c r="R92" s="217">
        <f t="shared" si="13"/>
        <v>101</v>
      </c>
      <c r="S92" s="262">
        <f t="shared" si="14"/>
        <v>39</v>
      </c>
      <c r="T92" s="263">
        <f t="shared" si="15"/>
        <v>35</v>
      </c>
      <c r="U92" s="262">
        <f t="shared" si="16"/>
        <v>10</v>
      </c>
      <c r="V92" s="263">
        <f t="shared" si="17"/>
        <v>26</v>
      </c>
      <c r="W92" s="264">
        <f t="shared" si="18"/>
        <v>0</v>
      </c>
      <c r="X92" s="265">
        <f t="shared" si="19"/>
        <v>0</v>
      </c>
      <c r="Y92" s="283">
        <f t="shared" si="27"/>
        <v>4168700</v>
      </c>
      <c r="Z92" s="219">
        <f t="shared" si="28"/>
        <v>1138500</v>
      </c>
      <c r="AA92" s="166">
        <f>ROUND(Z92*NPV!C20,0)</f>
        <v>336841</v>
      </c>
      <c r="AB92" s="81"/>
    </row>
    <row r="93" spans="2:28" x14ac:dyDescent="0.2">
      <c r="B93" s="175">
        <f t="shared" si="23"/>
        <v>2036</v>
      </c>
      <c r="C93" s="162">
        <f>'Travel Time'!B34</f>
        <v>3870</v>
      </c>
      <c r="D93" s="216">
        <f t="shared" si="24"/>
        <v>40</v>
      </c>
      <c r="E93" s="164">
        <f t="shared" si="25"/>
        <v>75</v>
      </c>
      <c r="F93" s="218">
        <f t="shared" si="26"/>
        <v>126</v>
      </c>
      <c r="G93" s="262">
        <f t="shared" si="4"/>
        <v>49</v>
      </c>
      <c r="H93" s="215">
        <f t="shared" si="5"/>
        <v>44</v>
      </c>
      <c r="I93" s="262">
        <f t="shared" si="6"/>
        <v>13</v>
      </c>
      <c r="J93" s="263">
        <f t="shared" si="7"/>
        <v>33</v>
      </c>
      <c r="K93" s="264">
        <f t="shared" si="8"/>
        <v>0</v>
      </c>
      <c r="L93" s="265">
        <f t="shared" si="9"/>
        <v>0</v>
      </c>
      <c r="M93" s="163">
        <f t="shared" si="29"/>
        <v>5307200</v>
      </c>
      <c r="N93" s="173">
        <f t="shared" si="21"/>
        <v>2036</v>
      </c>
      <c r="O93" s="165">
        <f t="shared" si="22"/>
        <v>3870</v>
      </c>
      <c r="P93" s="215">
        <f t="shared" si="3"/>
        <v>32</v>
      </c>
      <c r="Q93" s="162">
        <f t="shared" si="12"/>
        <v>60</v>
      </c>
      <c r="R93" s="217">
        <f t="shared" si="13"/>
        <v>101</v>
      </c>
      <c r="S93" s="262">
        <f t="shared" si="14"/>
        <v>39</v>
      </c>
      <c r="T93" s="263">
        <f t="shared" si="15"/>
        <v>35</v>
      </c>
      <c r="U93" s="262">
        <f t="shared" si="16"/>
        <v>10</v>
      </c>
      <c r="V93" s="263">
        <f t="shared" si="17"/>
        <v>26</v>
      </c>
      <c r="W93" s="264">
        <f t="shared" si="18"/>
        <v>0</v>
      </c>
      <c r="X93" s="265">
        <f t="shared" si="19"/>
        <v>0</v>
      </c>
      <c r="Y93" s="283">
        <f t="shared" si="27"/>
        <v>4168700</v>
      </c>
      <c r="Z93" s="219">
        <f t="shared" si="28"/>
        <v>1138500</v>
      </c>
      <c r="AA93" s="166">
        <f>ROUND(Z93*NPV!C21,0)</f>
        <v>314805</v>
      </c>
      <c r="AB93" s="81"/>
    </row>
    <row r="94" spans="2:28" x14ac:dyDescent="0.2">
      <c r="B94" s="175">
        <f t="shared" si="23"/>
        <v>2037</v>
      </c>
      <c r="C94" s="162">
        <f>'Travel Time'!B35</f>
        <v>3952</v>
      </c>
      <c r="D94" s="216">
        <f t="shared" si="24"/>
        <v>41</v>
      </c>
      <c r="E94" s="164">
        <f t="shared" si="25"/>
        <v>77</v>
      </c>
      <c r="F94" s="218">
        <f t="shared" si="26"/>
        <v>129</v>
      </c>
      <c r="G94" s="262">
        <f t="shared" si="4"/>
        <v>50</v>
      </c>
      <c r="H94" s="215">
        <f t="shared" si="5"/>
        <v>45</v>
      </c>
      <c r="I94" s="262">
        <f t="shared" si="6"/>
        <v>13</v>
      </c>
      <c r="J94" s="263">
        <f t="shared" si="7"/>
        <v>33</v>
      </c>
      <c r="K94" s="264">
        <f t="shared" si="8"/>
        <v>0</v>
      </c>
      <c r="L94" s="265">
        <f t="shared" si="9"/>
        <v>0</v>
      </c>
      <c r="M94" s="163">
        <f t="shared" si="29"/>
        <v>5314700</v>
      </c>
      <c r="N94" s="173">
        <f t="shared" si="21"/>
        <v>2037</v>
      </c>
      <c r="O94" s="165">
        <f t="shared" si="22"/>
        <v>3952</v>
      </c>
      <c r="P94" s="215">
        <f t="shared" si="3"/>
        <v>33</v>
      </c>
      <c r="Q94" s="162">
        <f t="shared" si="12"/>
        <v>62</v>
      </c>
      <c r="R94" s="217">
        <f t="shared" si="13"/>
        <v>104</v>
      </c>
      <c r="S94" s="262">
        <f t="shared" si="14"/>
        <v>40</v>
      </c>
      <c r="T94" s="263">
        <f t="shared" si="15"/>
        <v>36</v>
      </c>
      <c r="U94" s="262">
        <f t="shared" si="16"/>
        <v>11</v>
      </c>
      <c r="V94" s="263">
        <f t="shared" si="17"/>
        <v>27</v>
      </c>
      <c r="W94" s="264">
        <f t="shared" si="18"/>
        <v>0</v>
      </c>
      <c r="X94" s="265">
        <f t="shared" si="19"/>
        <v>0</v>
      </c>
      <c r="Y94" s="283">
        <f t="shared" si="27"/>
        <v>4365100</v>
      </c>
      <c r="Z94" s="219">
        <f t="shared" si="28"/>
        <v>949600</v>
      </c>
      <c r="AA94" s="166">
        <f>ROUND(Z94*NPV!C22,0)</f>
        <v>245395</v>
      </c>
      <c r="AB94" s="81"/>
    </row>
    <row r="95" spans="2:28" x14ac:dyDescent="0.2">
      <c r="B95" s="175">
        <f t="shared" si="23"/>
        <v>2038</v>
      </c>
      <c r="C95" s="162">
        <f>'Travel Time'!B36</f>
        <v>4035</v>
      </c>
      <c r="D95" s="216">
        <f t="shared" si="24"/>
        <v>42</v>
      </c>
      <c r="E95" s="164">
        <f t="shared" si="25"/>
        <v>79</v>
      </c>
      <c r="F95" s="218">
        <f t="shared" si="26"/>
        <v>133</v>
      </c>
      <c r="G95" s="262">
        <f t="shared" si="4"/>
        <v>51</v>
      </c>
      <c r="H95" s="215">
        <f t="shared" si="5"/>
        <v>46</v>
      </c>
      <c r="I95" s="262">
        <f t="shared" si="6"/>
        <v>14</v>
      </c>
      <c r="J95" s="263">
        <f t="shared" si="7"/>
        <v>34</v>
      </c>
      <c r="K95" s="264">
        <f t="shared" si="8"/>
        <v>0</v>
      </c>
      <c r="L95" s="265">
        <f t="shared" si="9"/>
        <v>0</v>
      </c>
      <c r="M95" s="163">
        <f t="shared" si="29"/>
        <v>5511100</v>
      </c>
      <c r="N95" s="173">
        <f t="shared" si="21"/>
        <v>2038</v>
      </c>
      <c r="O95" s="165">
        <f t="shared" si="22"/>
        <v>4035</v>
      </c>
      <c r="P95" s="215">
        <f t="shared" si="3"/>
        <v>34</v>
      </c>
      <c r="Q95" s="162">
        <f t="shared" si="12"/>
        <v>64</v>
      </c>
      <c r="R95" s="217">
        <f t="shared" si="13"/>
        <v>108</v>
      </c>
      <c r="S95" s="262">
        <f t="shared" si="14"/>
        <v>42</v>
      </c>
      <c r="T95" s="263">
        <f t="shared" si="15"/>
        <v>37</v>
      </c>
      <c r="U95" s="262">
        <f t="shared" si="16"/>
        <v>11</v>
      </c>
      <c r="V95" s="263">
        <f t="shared" si="17"/>
        <v>28</v>
      </c>
      <c r="W95" s="264">
        <f t="shared" si="18"/>
        <v>0</v>
      </c>
      <c r="X95" s="265">
        <f t="shared" si="19"/>
        <v>0</v>
      </c>
      <c r="Y95" s="283">
        <f t="shared" si="27"/>
        <v>4501900</v>
      </c>
      <c r="Z95" s="219">
        <f t="shared" si="28"/>
        <v>1009200</v>
      </c>
      <c r="AA95" s="166">
        <f>ROUND(Z95*NPV!C23,0)</f>
        <v>243735</v>
      </c>
      <c r="AB95" s="81"/>
    </row>
    <row r="96" spans="2:28" x14ac:dyDescent="0.2">
      <c r="B96" s="175">
        <f t="shared" si="23"/>
        <v>2039</v>
      </c>
      <c r="C96" s="162">
        <f>'Travel Time'!B37</f>
        <v>4121</v>
      </c>
      <c r="D96" s="216">
        <f t="shared" si="24"/>
        <v>43</v>
      </c>
      <c r="E96" s="164">
        <f t="shared" si="25"/>
        <v>80</v>
      </c>
      <c r="F96" s="218">
        <f t="shared" si="26"/>
        <v>134</v>
      </c>
      <c r="G96" s="262">
        <f t="shared" si="4"/>
        <v>53</v>
      </c>
      <c r="H96" s="215">
        <f t="shared" si="5"/>
        <v>47</v>
      </c>
      <c r="I96" s="262">
        <f t="shared" si="6"/>
        <v>14</v>
      </c>
      <c r="J96" s="263">
        <f t="shared" si="7"/>
        <v>35</v>
      </c>
      <c r="K96" s="264">
        <f t="shared" si="8"/>
        <v>0</v>
      </c>
      <c r="L96" s="265">
        <f t="shared" si="9"/>
        <v>0</v>
      </c>
      <c r="M96" s="163">
        <f t="shared" si="29"/>
        <v>5647900</v>
      </c>
      <c r="N96" s="173">
        <f t="shared" si="21"/>
        <v>2039</v>
      </c>
      <c r="O96" s="165">
        <f t="shared" si="22"/>
        <v>4121</v>
      </c>
      <c r="P96" s="215">
        <f t="shared" si="3"/>
        <v>34</v>
      </c>
      <c r="Q96" s="162">
        <f t="shared" si="12"/>
        <v>64</v>
      </c>
      <c r="R96" s="217">
        <f t="shared" si="13"/>
        <v>108</v>
      </c>
      <c r="S96" s="262">
        <f t="shared" si="14"/>
        <v>42</v>
      </c>
      <c r="T96" s="263">
        <f t="shared" si="15"/>
        <v>37</v>
      </c>
      <c r="U96" s="262">
        <f t="shared" si="16"/>
        <v>11</v>
      </c>
      <c r="V96" s="263">
        <f t="shared" si="17"/>
        <v>28</v>
      </c>
      <c r="W96" s="264">
        <f t="shared" si="18"/>
        <v>0</v>
      </c>
      <c r="X96" s="265">
        <f t="shared" si="19"/>
        <v>0</v>
      </c>
      <c r="Y96" s="283">
        <f t="shared" si="27"/>
        <v>4501900</v>
      </c>
      <c r="Z96" s="219">
        <f t="shared" si="28"/>
        <v>1146000</v>
      </c>
      <c r="AA96" s="166">
        <f>ROUND(Z96*NPV!C24,0)</f>
        <v>258667</v>
      </c>
      <c r="AB96" s="81"/>
    </row>
    <row r="97" spans="2:28" x14ac:dyDescent="0.2">
      <c r="B97" s="175">
        <f t="shared" si="23"/>
        <v>2040</v>
      </c>
      <c r="C97" s="162">
        <f>'Travel Time'!B38</f>
        <v>4208</v>
      </c>
      <c r="D97" s="216">
        <f t="shared" si="24"/>
        <v>44</v>
      </c>
      <c r="E97" s="164">
        <f t="shared" si="25"/>
        <v>82</v>
      </c>
      <c r="F97" s="218">
        <f t="shared" si="26"/>
        <v>138</v>
      </c>
      <c r="G97" s="262">
        <f t="shared" si="4"/>
        <v>54</v>
      </c>
      <c r="H97" s="215">
        <f t="shared" si="5"/>
        <v>48</v>
      </c>
      <c r="I97" s="262">
        <f t="shared" si="6"/>
        <v>14</v>
      </c>
      <c r="J97" s="263">
        <f t="shared" si="7"/>
        <v>36</v>
      </c>
      <c r="K97" s="264">
        <f t="shared" si="8"/>
        <v>0</v>
      </c>
      <c r="L97" s="265">
        <f t="shared" si="9"/>
        <v>0</v>
      </c>
      <c r="M97" s="163">
        <f t="shared" si="29"/>
        <v>5780400</v>
      </c>
      <c r="N97" s="173">
        <f t="shared" si="21"/>
        <v>2040</v>
      </c>
      <c r="O97" s="165">
        <f t="shared" si="22"/>
        <v>4208</v>
      </c>
      <c r="P97" s="215">
        <f t="shared" si="3"/>
        <v>35</v>
      </c>
      <c r="Q97" s="162">
        <f t="shared" si="12"/>
        <v>65</v>
      </c>
      <c r="R97" s="217">
        <f t="shared" si="13"/>
        <v>109</v>
      </c>
      <c r="S97" s="262">
        <f t="shared" si="14"/>
        <v>43</v>
      </c>
      <c r="T97" s="263">
        <f t="shared" si="15"/>
        <v>38</v>
      </c>
      <c r="U97" s="262">
        <f t="shared" si="16"/>
        <v>11</v>
      </c>
      <c r="V97" s="263">
        <f t="shared" si="17"/>
        <v>28</v>
      </c>
      <c r="W97" s="264">
        <f t="shared" si="18"/>
        <v>0</v>
      </c>
      <c r="X97" s="265">
        <f t="shared" si="19"/>
        <v>0</v>
      </c>
      <c r="Y97" s="283">
        <f t="shared" si="27"/>
        <v>4509400</v>
      </c>
      <c r="Z97" s="219">
        <f t="shared" si="28"/>
        <v>1271000</v>
      </c>
      <c r="AA97" s="166">
        <f>ROUND(Z97*NPV!C25,0)</f>
        <v>268113</v>
      </c>
      <c r="AB97" s="81"/>
    </row>
    <row r="98" spans="2:28" ht="13.5" thickBot="1" x14ac:dyDescent="0.25">
      <c r="B98" s="223">
        <f t="shared" si="23"/>
        <v>2041</v>
      </c>
      <c r="C98" s="270">
        <f>'Travel Time'!B39</f>
        <v>4297</v>
      </c>
      <c r="D98" s="271">
        <f t="shared" si="24"/>
        <v>45</v>
      </c>
      <c r="E98" s="270">
        <f t="shared" si="25"/>
        <v>84</v>
      </c>
      <c r="F98" s="272">
        <f t="shared" si="26"/>
        <v>141</v>
      </c>
      <c r="G98" s="273">
        <f t="shared" si="4"/>
        <v>55</v>
      </c>
      <c r="H98" s="271">
        <f t="shared" si="5"/>
        <v>49</v>
      </c>
      <c r="I98" s="273">
        <f t="shared" si="6"/>
        <v>15</v>
      </c>
      <c r="J98" s="274">
        <f t="shared" si="7"/>
        <v>36</v>
      </c>
      <c r="K98" s="275">
        <f t="shared" si="8"/>
        <v>0</v>
      </c>
      <c r="L98" s="276">
        <f t="shared" si="9"/>
        <v>0</v>
      </c>
      <c r="M98" s="277">
        <f t="shared" si="29"/>
        <v>5851800</v>
      </c>
      <c r="N98" s="278">
        <f t="shared" si="21"/>
        <v>2041</v>
      </c>
      <c r="O98" s="279">
        <f t="shared" si="22"/>
        <v>4297</v>
      </c>
      <c r="P98" s="271">
        <f t="shared" si="3"/>
        <v>36</v>
      </c>
      <c r="Q98" s="270">
        <f t="shared" si="12"/>
        <v>67</v>
      </c>
      <c r="R98" s="272">
        <f t="shared" si="13"/>
        <v>113</v>
      </c>
      <c r="S98" s="273">
        <f t="shared" si="14"/>
        <v>44</v>
      </c>
      <c r="T98" s="274">
        <f t="shared" si="15"/>
        <v>40</v>
      </c>
      <c r="U98" s="273">
        <f t="shared" si="16"/>
        <v>12</v>
      </c>
      <c r="V98" s="274">
        <f t="shared" si="17"/>
        <v>29</v>
      </c>
      <c r="W98" s="275">
        <f t="shared" si="18"/>
        <v>0</v>
      </c>
      <c r="X98" s="276">
        <f t="shared" si="19"/>
        <v>0</v>
      </c>
      <c r="Y98" s="284">
        <f t="shared" ref="Y98" si="30">ROUND((S98*$B$23)+(T98*$B$28)+(U98*$B$29)+(V98*$B$30)+(W98*$B$33)+(X98*$B$32),0)</f>
        <v>4709000</v>
      </c>
      <c r="Z98" s="281">
        <f t="shared" si="28"/>
        <v>1142800</v>
      </c>
      <c r="AA98" s="280">
        <f>ROUND(Z98*NPV!C26,0)</f>
        <v>225299</v>
      </c>
      <c r="AB98" s="81"/>
    </row>
    <row r="99" spans="2:28" ht="13.5" thickTop="1" x14ac:dyDescent="0.2">
      <c r="B99" s="369" t="s">
        <v>0</v>
      </c>
      <c r="C99" s="370"/>
      <c r="D99" s="370"/>
      <c r="E99" s="370"/>
      <c r="F99" s="370"/>
      <c r="G99" s="370"/>
      <c r="H99" s="370"/>
      <c r="I99" s="370"/>
      <c r="J99" s="370"/>
      <c r="K99" s="370"/>
      <c r="L99" s="371"/>
      <c r="M99" s="47">
        <f>SUM(M74:M98)</f>
        <v>115374800</v>
      </c>
      <c r="N99" s="366" t="s">
        <v>0</v>
      </c>
      <c r="O99" s="367"/>
      <c r="P99" s="367"/>
      <c r="Q99" s="367"/>
      <c r="R99" s="367"/>
      <c r="S99" s="367"/>
      <c r="T99" s="367"/>
      <c r="U99" s="367"/>
      <c r="V99" s="367"/>
      <c r="W99" s="367"/>
      <c r="X99" s="368"/>
      <c r="Y99" s="285">
        <f>SUM(Y74:Y98)</f>
        <v>92322300</v>
      </c>
      <c r="Z99" s="220">
        <f>SUM(Z74:Z98)</f>
        <v>19737400</v>
      </c>
      <c r="AA99" s="285">
        <f>SUM(AA74:AA98)</f>
        <v>7576687</v>
      </c>
      <c r="AB99" s="81"/>
    </row>
    <row r="100" spans="2:28" x14ac:dyDescent="0.2">
      <c r="AB100" s="81"/>
    </row>
    <row r="101" spans="2:28" x14ac:dyDescent="0.2">
      <c r="W101" s="95"/>
      <c r="AB101" s="81"/>
    </row>
  </sheetData>
  <mergeCells count="52">
    <mergeCell ref="B99:L99"/>
    <mergeCell ref="B71:B73"/>
    <mergeCell ref="D71:M71"/>
    <mergeCell ref="D72:D73"/>
    <mergeCell ref="I72:L72"/>
    <mergeCell ref="M72:M73"/>
    <mergeCell ref="N71:N73"/>
    <mergeCell ref="P72:P73"/>
    <mergeCell ref="U72:X72"/>
    <mergeCell ref="P71:Y71"/>
    <mergeCell ref="N99:X99"/>
    <mergeCell ref="A54:B54"/>
    <mergeCell ref="A52:B52"/>
    <mergeCell ref="A26:B26"/>
    <mergeCell ref="A19:I19"/>
    <mergeCell ref="A41:B41"/>
    <mergeCell ref="A45:B45"/>
    <mergeCell ref="A47:B47"/>
    <mergeCell ref="A50:B50"/>
    <mergeCell ref="A35:B35"/>
    <mergeCell ref="A43:B43"/>
    <mergeCell ref="A37:B37"/>
    <mergeCell ref="AA71:AA73"/>
    <mergeCell ref="A56:D56"/>
    <mergeCell ref="A69:D69"/>
    <mergeCell ref="A61:C61"/>
    <mergeCell ref="Q72:Q73"/>
    <mergeCell ref="R72:R73"/>
    <mergeCell ref="S72:S73"/>
    <mergeCell ref="T72:T73"/>
    <mergeCell ref="O71:O73"/>
    <mergeCell ref="G72:G73"/>
    <mergeCell ref="H72:H73"/>
    <mergeCell ref="C71:C73"/>
    <mergeCell ref="Z71:Z73"/>
    <mergeCell ref="F72:F73"/>
    <mergeCell ref="E72:E73"/>
    <mergeCell ref="Y72:Y73"/>
    <mergeCell ref="K8:P8"/>
    <mergeCell ref="A4:I4"/>
    <mergeCell ref="A21:B21"/>
    <mergeCell ref="A24:B24"/>
    <mergeCell ref="H6:I6"/>
    <mergeCell ref="A6:B6"/>
    <mergeCell ref="A7:A8"/>
    <mergeCell ref="A9:A10"/>
    <mergeCell ref="A11:A12"/>
    <mergeCell ref="A13:A14"/>
    <mergeCell ref="A15:A16"/>
    <mergeCell ref="A5:I5"/>
    <mergeCell ref="A17:A18"/>
    <mergeCell ref="K5:P5"/>
  </mergeCells>
  <pageMargins left="0.25" right="0.25" top="0.75" bottom="0.75" header="0.3" footer="0.3"/>
  <pageSetup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7</vt:i4>
      </vt:variant>
    </vt:vector>
  </HeadingPairs>
  <TitlesOfParts>
    <vt:vector size="14" baseType="lpstr">
      <vt:lpstr>Summary</vt:lpstr>
      <vt:lpstr>Summary Table</vt:lpstr>
      <vt:lpstr>NPV</vt:lpstr>
      <vt:lpstr>Costs</vt:lpstr>
      <vt:lpstr>Travel Time</vt:lpstr>
      <vt:lpstr>Environmental Protection</vt:lpstr>
      <vt:lpstr>Safety</vt:lpstr>
      <vt:lpstr>Costs!Print_Area</vt:lpstr>
      <vt:lpstr>'Environmental Protection'!Print_Area</vt:lpstr>
      <vt:lpstr>NPV!Print_Area</vt:lpstr>
      <vt:lpstr>Safety!Print_Area</vt:lpstr>
      <vt:lpstr>Summary!Print_Area</vt:lpstr>
      <vt:lpstr>'Summary Table'!Print_Area</vt:lpstr>
      <vt:lpstr>'Travel Time'!Print_Area</vt:lpstr>
    </vt:vector>
  </TitlesOfParts>
  <Company>Kimley-Horn and Associates,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aaron.nathan</dc:creator>
  <cp:lastModifiedBy>Brian Comer</cp:lastModifiedBy>
  <cp:lastPrinted>2019-07-02T18:49:34Z</cp:lastPrinted>
  <dcterms:created xsi:type="dcterms:W3CDTF">2011-10-18T15:31:40Z</dcterms:created>
  <dcterms:modified xsi:type="dcterms:W3CDTF">2019-07-09T20:26:36Z</dcterms:modified>
</cp:coreProperties>
</file>