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Y:\Planning\Grants\INFRA\2020\I-40 - Douglass\Website\Benefit Cost Analysis\"/>
    </mc:Choice>
  </mc:AlternateContent>
  <bookViews>
    <workbookView xWindow="0" yWindow="0" windowWidth="23040" windowHeight="10632" tabRatio="832" firstSheet="1" activeTab="1"/>
  </bookViews>
  <sheets>
    <sheet name="Disclaimer" sheetId="6" r:id="rId1"/>
    <sheet name="Results" sheetId="7" r:id="rId2"/>
    <sheet name="Report Tables" sheetId="5" r:id="rId3"/>
    <sheet name="Inputs" sheetId="19" r:id="rId4"/>
    <sheet name="Accident Cost Saving" sheetId="11" r:id="rId5"/>
    <sheet name="Travel Time Savings" sheetId="13" r:id="rId6"/>
    <sheet name="Travel Time Saving-Interchanges" sheetId="23" r:id="rId7"/>
    <sheet name="Residual Value" sheetId="22" r:id="rId8"/>
    <sheet name="Project Data" sheetId="10" r:id="rId9"/>
    <sheet name="Project Costs" sheetId="20" r:id="rId10"/>
    <sheet name="Traffic Projection" sheetId="18" r:id="rId11"/>
    <sheet name="Deflation Factors" sheetId="24" r:id="rId12"/>
  </sheet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localSheetId="3" hidden="1">FALSE</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1</definedName>
    <definedName name="_AtRisk_SimSetting_ReportOptionReportsFileType" hidden="1">1</definedName>
    <definedName name="_AtRisk_SimSetting_ReportOptionSelectiveQR" hidden="1">FALSE</definedName>
    <definedName name="_AtRisk_SimSetting_ReportsList" localSheetId="3" hidden="1">2</definedName>
    <definedName name="_AtRisk_SimSetting_ReportsList" hidden="1">1</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localSheetId="3" hidden="1">0.95</definedName>
    <definedName name="_AtRisk_SimSetting_StdRecalcWithoutRiskStaticPercentile" hidden="1">0.5</definedName>
    <definedName name="_Fill" localSheetId="8" hidden="1">#REF!</definedName>
    <definedName name="_Fill" hidden="1">#REF!</definedName>
    <definedName name="_Key1" localSheetId="8" hidden="1">#REF!</definedName>
    <definedName name="_Key1" hidden="1">#REF!</definedName>
    <definedName name="_Key2" localSheetId="8" hidden="1">#REF!</definedName>
    <definedName name="_Key2" hidden="1">#REF!</definedName>
    <definedName name="_Order1" hidden="1">255</definedName>
    <definedName name="_Order2" hidden="1">255</definedName>
    <definedName name="_Sort" localSheetId="8" hidden="1">#REF!</definedName>
    <definedName name="_Sort" hidden="1">#REF!</definedName>
    <definedName name="AADT_current_DouglasInt">Inputs!$E$37</definedName>
    <definedName name="AADT_future_DouglasInt">Inputs!$E$38</definedName>
    <definedName name="Acc_Fatal_AndersonInt">Inputs!$E$62</definedName>
    <definedName name="Acc_Fatal_DouglasInt">Inputs!$E$68</definedName>
    <definedName name="Acc_Fatal_Mainlanes">Inputs!$E$56</definedName>
    <definedName name="Acc_IncapacitatingInj_Anderson_Int">Inputs!$E$63</definedName>
    <definedName name="Acc_IncapacitatingInj_DouglasInt">Inputs!$E$69</definedName>
    <definedName name="Acc_IncapacitatingInj_Mailanes">Inputs!$E$57</definedName>
    <definedName name="Acc_NonIncapacitatingInj_AndersonInt">Inputs!$E$64</definedName>
    <definedName name="Acc_NonIncapacitatingInj_DouglasInt">Inputs!$E$70</definedName>
    <definedName name="Acc_NonIncapacitatingInj_mainlanes">Inputs!$E$58</definedName>
    <definedName name="Acc_PDO_AndersonInt">Inputs!$E$66</definedName>
    <definedName name="Acc_PDO_DouglasInt">Inputs!$E$72</definedName>
    <definedName name="Acc_PDO_Mainlanes">Inputs!$E$60</definedName>
    <definedName name="Acc_PossibleInj_AndersonInt">Inputs!$E$65</definedName>
    <definedName name="Acc_PossibleInj_DouglasInt">Inputs!$E$71</definedName>
    <definedName name="Acc_PossibleInj_Mainlanes">Inputs!$E$59</definedName>
    <definedName name="AccidentCost_Fatality">Inputs!$E$50</definedName>
    <definedName name="AccidentCost_IncapacitatingInjury">Inputs!$E$51</definedName>
    <definedName name="AccidentCost_NonIncapacitating_Injury">Inputs!$E$52</definedName>
    <definedName name="AccidentCost_PDO">Inputs!$E$54</definedName>
    <definedName name="AccidentCost_PossibleInjury">Inputs!$E$53</definedName>
    <definedName name="Annual_Number_Weekdays">Inputs!$E$10</definedName>
    <definedName name="Avg_Delay_DouglasInterchange_Build">Inputs!#REF!</definedName>
    <definedName name="Avg_Delay_DouglasInterchange_NoBuild">Inputs!#REF!</definedName>
    <definedName name="Avg_Truck_Occ">Inputs!$E$46</definedName>
    <definedName name="Avg_Veh_Occ">Inputs!$E$45</definedName>
    <definedName name="Base.Year">Inputs!$E$17</definedName>
    <definedName name="BIG" localSheetId="8" hidden="1">{#N/A,#N/A,FALSE,"Pricing";#N/A,#N/A,FALSE,"Summary";#N/A,#N/A,FALSE,"CompProd";#N/A,#N/A,FALSE,"CompJobhrs";#N/A,#N/A,FALSE,"Escalation";#N/A,#N/A,FALSE,"Contingency";#N/A,#N/A,FALSE,"GM";#N/A,#N/A,FALSE,"CompWage";#N/A,#N/A,FALSE,"costSum"}</definedName>
    <definedName name="BIG" hidden="1">{#N/A,#N/A,FALSE,"Pricing";#N/A,#N/A,FALSE,"Summary";#N/A,#N/A,FALSE,"CompProd";#N/A,#N/A,FALSE,"CompJobhrs";#N/A,#N/A,FALSE,"Escalation";#N/A,#N/A,FALSE,"Contingency";#N/A,#N/A,FALSE,"GM";#N/A,#N/A,FALSE,"CompWage";#N/A,#N/A,FALSE,"costSum"}</definedName>
    <definedName name="CAGR_Build_TT_Anderson_I240">'Traffic Projection'!$L$76</definedName>
    <definedName name="CAGR_Build_TT_Douglas_Anderson">'Traffic Projection'!$L$63</definedName>
    <definedName name="CAGR_Build_TT_Douglas_Interchange">'Traffic Projection'!$K$177</definedName>
    <definedName name="CAGR_Build_TT_Industrial">'Traffic Projection'!$L$50</definedName>
    <definedName name="CAGR_NoBuild_TT_Anderson_I240">'Traffic Projection'!$H$76</definedName>
    <definedName name="CAGR_NoBuild_TT_Douglas_Anderson">'Traffic Projection'!$H$63</definedName>
    <definedName name="CAGR_NoBuild_TT_Douglas_Interchange">'Traffic Projection'!$G$177</definedName>
    <definedName name="CAGR_NoBuild_TT_Industrial">'Traffic Projection'!$H$50</definedName>
    <definedName name="CHUCK" localSheetId="8" hidden="1">{#N/A,#N/A,FALSE,"Pricing";#N/A,#N/A,FALSE,"Summary";#N/A,#N/A,FALSE,"CompProd";#N/A,#N/A,FALSE,"CompJobhrs";#N/A,#N/A,FALSE,"Escalation";#N/A,#N/A,FALSE,"Contingency";#N/A,#N/A,FALSE,"GM";#N/A,#N/A,FALSE,"CompWage";#N/A,#N/A,FALSE,"costSum"}</definedName>
    <definedName name="CHUCK" hidden="1">{#N/A,#N/A,FALSE,"Pricing";#N/A,#N/A,FALSE,"Summary";#N/A,#N/A,FALSE,"CompProd";#N/A,#N/A,FALSE,"CompJobhrs";#N/A,#N/A,FALSE,"Escalation";#N/A,#N/A,FALSE,"Contingency";#N/A,#N/A,FALSE,"GM";#N/A,#N/A,FALSE,"CompWage";#N/A,#N/A,FALSE,"costSum"}</definedName>
    <definedName name="Client.Name" localSheetId="0">Disclaimer!$B$4</definedName>
    <definedName name="Client.Name">Disclaimer!$B$4</definedName>
    <definedName name="days_in_year">Inputs!$E$9</definedName>
    <definedName name="DeflatorRate">Inputs!$E$12</definedName>
    <definedName name="Disclaimer1">Disclaimer!$B$14</definedName>
    <definedName name="Disclaimer2">Disclaimer!$B$17</definedName>
    <definedName name="Disclaimer3">Disclaimer!$B$20</definedName>
    <definedName name="Disclaimer4">Disclaimer!$B$22</definedName>
    <definedName name="GrowthRate_Anderson_I40">Inputs!$E$35</definedName>
    <definedName name="GrowthRate_Douglas_Anderson">Inputs!$E$31</definedName>
    <definedName name="GrowthRate_DouglasInterchange">Inputs!$E$39</definedName>
    <definedName name="GrowthRate_West_Industrial">Inputs!$E$27</definedName>
    <definedName name="HTML_CodePage" hidden="1">1252</definedName>
    <definedName name="HTML_Control" localSheetId="3" hidden="1">{"'2-35'!$A$1:$M$48"}</definedName>
    <definedName name="HTML_Control" localSheetId="8" hidden="1">{"'2-35'!$A$1:$M$48"}</definedName>
    <definedName name="HTML_Control" hidden="1">{"'2-35'!$A$1:$M$48"}</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tasks\nts2000\nts2000\HTML\Ch2_web\2-35.htm"</definedName>
    <definedName name="HTML_Title" hidden="1">"Table 2-35"</definedName>
    <definedName name="JANA" localSheetId="8" hidden="1">{#N/A,#N/A,FALSE,"Pricing";#N/A,#N/A,FALSE,"Summary";#N/A,#N/A,FALSE,"CompProd";#N/A,#N/A,FALSE,"CompJobhrs";#N/A,#N/A,FALSE,"Escalation";#N/A,#N/A,FALSE,"Contingency";#N/A,#N/A,FALSE,"GM";#N/A,#N/A,FALSE,"CompWage";#N/A,#N/A,FALSE,"costSum"}</definedName>
    <definedName name="JANA" hidden="1">{#N/A,#N/A,FALSE,"Pricing";#N/A,#N/A,FALSE,"Summary";#N/A,#N/A,FALSE,"CompProd";#N/A,#N/A,FALSE,"CompJobhrs";#N/A,#N/A,FALSE,"Escalation";#N/A,#N/A,FALSE,"Contingency";#N/A,#N/A,FALSE,"GM";#N/A,#N/A,FALSE,"CompWage";#N/A,#N/A,FALSE,"costSum"}</definedName>
    <definedName name="Miles_Anderson_I240">Inputs!$E$21</definedName>
    <definedName name="Miles_Douglas_Anderson">Inputs!$E$20</definedName>
    <definedName name="number_of_victims_accident_Fatality">Inputs!$E$74</definedName>
    <definedName name="number_of_victims_accident_incapacitating">Inputs!$E$75</definedName>
    <definedName name="number_of_victims_accident_nonincapacitating">Inputs!$E$76</definedName>
    <definedName name="number_of_victims_accident_PDO">Inputs!$E$78</definedName>
    <definedName name="number_of_victims_accident_possibleInjry">Inputs!$E$77</definedName>
    <definedName name="Pal_Workbook_GUID" localSheetId="3" hidden="1">"3XHXXQSLF67LVVUJ7F3SICY8"</definedName>
    <definedName name="Pal_Workbook_GUID" hidden="1">"6UQPV5GY3NZ6N5DC9LK87FZI"</definedName>
    <definedName name="Project.Name" localSheetId="0">Disclaimer!$B$5</definedName>
    <definedName name="Project.Name">Disclaimer!$B$5</definedName>
    <definedName name="Project_open_year">Inputs!$E$18</definedName>
    <definedName name="Project_start_year">Inputs!$E$17</definedName>
    <definedName name="Real_discount_rate">Inputs!$E$5</definedName>
    <definedName name="Real_discount_rate_Sensitivity">Inputs!$E$6</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localSheetId="3" hidden="1">1</definedName>
    <definedName name="RiskCollectDistributionSamples" hidden="1">2</definedName>
    <definedName name="RiskFixedSeed" localSheetId="3" hidden="1">1917</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localSheetId="3" hidden="1">TRUE</definedName>
    <definedName name="RiskMultipleCPUSupportEnabled" hidden="1">FALSE</definedName>
    <definedName name="RiskNumIterations" localSheetId="3" hidden="1">500</definedName>
    <definedName name="RiskNumIterations" hidden="1">10000</definedName>
    <definedName name="RiskNumSimulations" localSheetId="3" hidden="1">7</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TRUE</definedName>
    <definedName name="RiskUseMultipleCPUs" localSheetId="3" hidden="1">TRUE</definedName>
    <definedName name="RiskUseMultipleCPUs" hidden="1">FALSE</definedName>
    <definedName name="seconds_in_hour">Inputs!$E$11</definedName>
    <definedName name="Services2" localSheetId="8" hidden="1">{#N/A,#N/A,FALSE,"Pricing";#N/A,#N/A,FALSE,"Summary";#N/A,#N/A,FALSE,"CompProd";#N/A,#N/A,FALSE,"CompJobhrs";#N/A,#N/A,FALSE,"Escalation";#N/A,#N/A,FALSE,"Contingency";#N/A,#N/A,FALSE,"GM";#N/A,#N/A,FALSE,"CompWage";#N/A,#N/A,FALSE,"costSum"}</definedName>
    <definedName name="Services2" hidden="1">{#N/A,#N/A,FALSE,"Pricing";#N/A,#N/A,FALSE,"Summary";#N/A,#N/A,FALSE,"CompProd";#N/A,#N/A,FALSE,"CompJobhrs";#N/A,#N/A,FALSE,"Escalation";#N/A,#N/A,FALSE,"Contingency";#N/A,#N/A,FALSE,"GM";#N/A,#N/A,FALSE,"CompWage";#N/A,#N/A,FALSE,"costSum"}</definedName>
    <definedName name="ShareTruck">Inputs!$E$47</definedName>
    <definedName name="temp" localSheetId="8" hidden="1">{#N/A,#N/A,FALSE,"Pricing";#N/A,#N/A,FALSE,"Summary";#N/A,#N/A,FALSE,"CompProd";#N/A,#N/A,FALSE,"CompJobhrs";#N/A,#N/A,FALSE,"Escalation";#N/A,#N/A,FALSE,"Contingency";#N/A,#N/A,FALSE,"GM";#N/A,#N/A,FALSE,"CompWage";#N/A,#N/A,FALSE,"costSum"}</definedName>
    <definedName name="temp" hidden="1">{#N/A,#N/A,FALSE,"Pricing";#N/A,#N/A,FALSE,"Summary";#N/A,#N/A,FALSE,"CompProd";#N/A,#N/A,FALSE,"CompJobhrs";#N/A,#N/A,FALSE,"Escalation";#N/A,#N/A,FALSE,"Contingency";#N/A,#N/A,FALSE,"GM";#N/A,#N/A,FALSE,"CompWage";#N/A,#N/A,FALSE,"costSum"}</definedName>
    <definedName name="timevalue_auto">Inputs!$E$42</definedName>
    <definedName name="TimeValue_truck">Inputs!$E$43</definedName>
    <definedName name="wrn.all." localSheetId="8" hidden="1">{"sandu",#N/A,FALSE,"sandu";"flow",#N/A,FALSE,"base";"debt",#N/A,FALSE,"base";"subdebt",#N/A,FALSE,"subdebt";"operating",#N/A,FALSE,"base";"stress1",#N/A,FALSE,"stress1";"stress2",#N/A,FALSE,"stress2"}</definedName>
    <definedName name="wrn.all." hidden="1">{"sandu",#N/A,FALSE,"sandu";"flow",#N/A,FALSE,"base";"debt",#N/A,FALSE,"base";"subdebt",#N/A,FALSE,"subdebt";"operating",#N/A,FALSE,"base";"stress1",#N/A,FALSE,"stress1";"stress2",#N/A,FALSE,"stress2"}</definedName>
    <definedName name="wrn.ESTIMATE." localSheetId="8" hidden="1">{#N/A,#N/A,FALSE,"SUM";#N/A,#N/A,FALSE,"MECH.";#N/A,#N/A,FALSE,"PIPE";#N/A,#N/A,FALSE,"ELECT";#N/A,#N/A,FALSE,"PR CONT";#N/A,#N/A,FALSE,"STRUCT"}</definedName>
    <definedName name="wrn.ESTIMATE." hidden="1">{#N/A,#N/A,FALSE,"SUM";#N/A,#N/A,FALSE,"MECH.";#N/A,#N/A,FALSE,"PIPE";#N/A,#N/A,FALSE,"ELECT";#N/A,#N/A,FALSE,"PR CONT";#N/A,#N/A,FALSE,"STRUCT"}</definedName>
    <definedName name="wrn.Labor._.Cost._.Workbook." localSheetId="8" hidden="1">{#N/A,#N/A,FALSE,"RATES";#N/A,#N/A,FALSE,"LOADED RATES"}</definedName>
    <definedName name="wrn.Labor._.Cost._.Workbook." hidden="1">{#N/A,#N/A,FALSE,"RATES";#N/A,#N/A,FALSE,"LOADED RATES"}</definedName>
  </definedNames>
  <calcPr calcId="162913"/>
</workbook>
</file>

<file path=xl/calcChain.xml><?xml version="1.0" encoding="utf-8"?>
<calcChain xmlns="http://schemas.openxmlformats.org/spreadsheetml/2006/main">
  <c r="E29" i="20" l="1"/>
  <c r="D29" i="20"/>
  <c r="C29" i="20"/>
  <c r="B63" i="11" l="1"/>
  <c r="B79" i="11"/>
  <c r="AO24" i="22" l="1"/>
  <c r="N88" i="18" l="1"/>
  <c r="J130" i="18"/>
  <c r="F17" i="20" l="1"/>
  <c r="E103" i="5" s="1"/>
  <c r="F18" i="20"/>
  <c r="F19" i="20"/>
  <c r="B71" i="11"/>
  <c r="F88" i="18" l="1"/>
  <c r="C131" i="5" l="1"/>
  <c r="C130" i="5"/>
  <c r="C129" i="5"/>
  <c r="C128" i="5"/>
  <c r="I115" i="5"/>
  <c r="H115" i="5"/>
  <c r="G115" i="5"/>
  <c r="F115" i="5"/>
  <c r="E115" i="5"/>
  <c r="D115" i="5"/>
  <c r="C115" i="5"/>
  <c r="B115" i="5"/>
  <c r="I114" i="5"/>
  <c r="H114" i="5"/>
  <c r="G114" i="5"/>
  <c r="F114" i="5"/>
  <c r="E114" i="5"/>
  <c r="D114" i="5"/>
  <c r="C114" i="5"/>
  <c r="B114" i="5"/>
  <c r="D107" i="5"/>
  <c r="B107" i="5"/>
  <c r="D106" i="5"/>
  <c r="B106" i="5"/>
  <c r="C105" i="5"/>
  <c r="D105" i="5"/>
  <c r="B105" i="5"/>
  <c r="C104" i="5"/>
  <c r="D104" i="5"/>
  <c r="B104" i="5"/>
  <c r="C103" i="5"/>
  <c r="D103" i="5"/>
  <c r="B103" i="5"/>
  <c r="B84" i="5"/>
  <c r="B83" i="5"/>
  <c r="B82" i="5"/>
  <c r="B81" i="5"/>
  <c r="D44" i="5"/>
  <c r="E44" i="5"/>
  <c r="F44" i="5"/>
  <c r="G44" i="5"/>
  <c r="H44" i="5"/>
  <c r="I44" i="5"/>
  <c r="J44" i="5"/>
  <c r="K44" i="5"/>
  <c r="L44" i="5"/>
  <c r="M44" i="5"/>
  <c r="D45" i="5"/>
  <c r="E45" i="5"/>
  <c r="F45" i="5"/>
  <c r="G45" i="5"/>
  <c r="H45" i="5"/>
  <c r="I45" i="5"/>
  <c r="J45" i="5"/>
  <c r="K45" i="5"/>
  <c r="L45" i="5"/>
  <c r="M45" i="5"/>
  <c r="D46" i="5"/>
  <c r="E46" i="5"/>
  <c r="F46" i="5"/>
  <c r="G46" i="5"/>
  <c r="H46" i="5"/>
  <c r="I46" i="5"/>
  <c r="J46" i="5"/>
  <c r="K46" i="5"/>
  <c r="L46" i="5"/>
  <c r="M46" i="5"/>
  <c r="D47" i="5"/>
  <c r="E47" i="5"/>
  <c r="F47" i="5"/>
  <c r="G47" i="5"/>
  <c r="H47" i="5"/>
  <c r="I47" i="5"/>
  <c r="J47" i="5"/>
  <c r="K47" i="5"/>
  <c r="L47" i="5"/>
  <c r="M47" i="5"/>
  <c r="D48" i="5"/>
  <c r="E48" i="5"/>
  <c r="F48" i="5"/>
  <c r="G48" i="5"/>
  <c r="H48" i="5"/>
  <c r="I48" i="5"/>
  <c r="J48" i="5"/>
  <c r="K48" i="5"/>
  <c r="L48" i="5"/>
  <c r="M48" i="5"/>
  <c r="D49" i="5"/>
  <c r="E49" i="5"/>
  <c r="F49" i="5"/>
  <c r="G49" i="5"/>
  <c r="H49" i="5"/>
  <c r="I49" i="5"/>
  <c r="J49" i="5"/>
  <c r="K49" i="5"/>
  <c r="L49" i="5"/>
  <c r="M49" i="5"/>
  <c r="D50" i="5"/>
  <c r="E50" i="5"/>
  <c r="F50" i="5"/>
  <c r="G50" i="5"/>
  <c r="H50" i="5"/>
  <c r="I50" i="5"/>
  <c r="J50" i="5"/>
  <c r="K50" i="5"/>
  <c r="L50" i="5"/>
  <c r="M50" i="5"/>
  <c r="D51" i="5"/>
  <c r="E51" i="5"/>
  <c r="F51" i="5"/>
  <c r="G51" i="5"/>
  <c r="H51" i="5"/>
  <c r="I51" i="5"/>
  <c r="J51" i="5"/>
  <c r="K51" i="5"/>
  <c r="L51" i="5"/>
  <c r="M51" i="5"/>
  <c r="D52" i="5"/>
  <c r="E52" i="5"/>
  <c r="F52" i="5"/>
  <c r="G52" i="5"/>
  <c r="H52" i="5"/>
  <c r="I52" i="5"/>
  <c r="J52" i="5"/>
  <c r="K52" i="5"/>
  <c r="L52" i="5"/>
  <c r="M52" i="5"/>
  <c r="D53" i="5"/>
  <c r="E53" i="5"/>
  <c r="F53" i="5"/>
  <c r="G53" i="5"/>
  <c r="H53" i="5"/>
  <c r="I53" i="5"/>
  <c r="J53" i="5"/>
  <c r="K53" i="5"/>
  <c r="L53" i="5"/>
  <c r="M53" i="5"/>
  <c r="D54" i="5"/>
  <c r="E54" i="5"/>
  <c r="F54" i="5"/>
  <c r="G54" i="5"/>
  <c r="H54" i="5"/>
  <c r="I54" i="5"/>
  <c r="J54" i="5"/>
  <c r="K54" i="5"/>
  <c r="L54" i="5"/>
  <c r="M54" i="5"/>
  <c r="D55" i="5"/>
  <c r="E55" i="5"/>
  <c r="F55" i="5"/>
  <c r="G55" i="5"/>
  <c r="H55" i="5"/>
  <c r="I55" i="5"/>
  <c r="J55" i="5"/>
  <c r="K55" i="5"/>
  <c r="L55" i="5"/>
  <c r="M55" i="5"/>
  <c r="D56" i="5"/>
  <c r="E56" i="5"/>
  <c r="F56" i="5"/>
  <c r="G56" i="5"/>
  <c r="H56" i="5"/>
  <c r="I56" i="5"/>
  <c r="J56" i="5"/>
  <c r="K56" i="5"/>
  <c r="L56" i="5"/>
  <c r="M56" i="5"/>
  <c r="D57" i="5"/>
  <c r="E57" i="5"/>
  <c r="F57" i="5"/>
  <c r="G57" i="5"/>
  <c r="H57" i="5"/>
  <c r="I57" i="5"/>
  <c r="J57" i="5"/>
  <c r="K57" i="5"/>
  <c r="L57" i="5"/>
  <c r="M57" i="5"/>
  <c r="D58" i="5"/>
  <c r="E58" i="5"/>
  <c r="F58" i="5"/>
  <c r="G58" i="5"/>
  <c r="H58" i="5"/>
  <c r="I58" i="5"/>
  <c r="J58" i="5"/>
  <c r="K58" i="5"/>
  <c r="L58" i="5"/>
  <c r="M58" i="5"/>
  <c r="D59" i="5"/>
  <c r="E59" i="5"/>
  <c r="F59" i="5"/>
  <c r="G59" i="5"/>
  <c r="H59" i="5"/>
  <c r="I59" i="5"/>
  <c r="J59" i="5"/>
  <c r="K59" i="5"/>
  <c r="L59" i="5"/>
  <c r="M59" i="5"/>
  <c r="D60" i="5"/>
  <c r="E60" i="5"/>
  <c r="F60" i="5"/>
  <c r="G60" i="5"/>
  <c r="H60" i="5"/>
  <c r="I60" i="5"/>
  <c r="J60" i="5"/>
  <c r="K60" i="5"/>
  <c r="L60" i="5"/>
  <c r="M60" i="5"/>
  <c r="D61" i="5"/>
  <c r="E61" i="5"/>
  <c r="F61" i="5"/>
  <c r="G61" i="5"/>
  <c r="H61" i="5"/>
  <c r="I61" i="5"/>
  <c r="J61" i="5"/>
  <c r="K61" i="5"/>
  <c r="L61" i="5"/>
  <c r="M61" i="5"/>
  <c r="D62" i="5"/>
  <c r="E62" i="5"/>
  <c r="F62" i="5"/>
  <c r="G62" i="5"/>
  <c r="H62" i="5"/>
  <c r="I62" i="5"/>
  <c r="J62" i="5"/>
  <c r="K62" i="5"/>
  <c r="L62" i="5"/>
  <c r="M62" i="5"/>
  <c r="D63" i="5"/>
  <c r="E63" i="5"/>
  <c r="F63" i="5"/>
  <c r="G63" i="5"/>
  <c r="H63" i="5"/>
  <c r="I63" i="5"/>
  <c r="J63" i="5"/>
  <c r="K63" i="5"/>
  <c r="L63" i="5"/>
  <c r="M63" i="5"/>
  <c r="D64" i="5"/>
  <c r="E64" i="5"/>
  <c r="F64" i="5"/>
  <c r="G64" i="5"/>
  <c r="H64" i="5"/>
  <c r="I64" i="5"/>
  <c r="J64" i="5"/>
  <c r="K64" i="5"/>
  <c r="L64" i="5"/>
  <c r="M64" i="5"/>
  <c r="D65" i="5"/>
  <c r="E65" i="5"/>
  <c r="F65" i="5"/>
  <c r="G65" i="5"/>
  <c r="H65" i="5"/>
  <c r="I65" i="5"/>
  <c r="J65" i="5"/>
  <c r="K65" i="5"/>
  <c r="L65" i="5"/>
  <c r="M65" i="5"/>
  <c r="D66" i="5"/>
  <c r="E66" i="5"/>
  <c r="F66" i="5"/>
  <c r="G66" i="5"/>
  <c r="H66" i="5"/>
  <c r="I66" i="5"/>
  <c r="J66" i="5"/>
  <c r="K66" i="5"/>
  <c r="L66" i="5"/>
  <c r="M66" i="5"/>
  <c r="D67" i="5"/>
  <c r="E67" i="5"/>
  <c r="F67" i="5"/>
  <c r="G67" i="5"/>
  <c r="H67" i="5"/>
  <c r="I67" i="5"/>
  <c r="J67" i="5"/>
  <c r="K67" i="5"/>
  <c r="L67" i="5"/>
  <c r="M67" i="5"/>
  <c r="C45" i="5"/>
  <c r="C46" i="5"/>
  <c r="C47" i="5"/>
  <c r="C48" i="5"/>
  <c r="C49" i="5"/>
  <c r="C50" i="5"/>
  <c r="C51" i="5"/>
  <c r="C52" i="5"/>
  <c r="C53" i="5"/>
  <c r="C54" i="5"/>
  <c r="C55" i="5"/>
  <c r="C56" i="5"/>
  <c r="C57" i="5"/>
  <c r="C58" i="5"/>
  <c r="C59" i="5"/>
  <c r="C60" i="5"/>
  <c r="C61" i="5"/>
  <c r="C62" i="5"/>
  <c r="C63" i="5"/>
  <c r="C64" i="5"/>
  <c r="C65" i="5"/>
  <c r="C66" i="5"/>
  <c r="C67" i="5"/>
  <c r="C44" i="5"/>
  <c r="B45" i="5"/>
  <c r="B46" i="5"/>
  <c r="B47" i="5"/>
  <c r="B48" i="5"/>
  <c r="B49" i="5"/>
  <c r="B50" i="5"/>
  <c r="B51" i="5"/>
  <c r="B52" i="5"/>
  <c r="B53" i="5"/>
  <c r="B54" i="5"/>
  <c r="B55" i="5"/>
  <c r="B56" i="5"/>
  <c r="B57" i="5"/>
  <c r="B58" i="5"/>
  <c r="B59" i="5"/>
  <c r="B60" i="5"/>
  <c r="B61" i="5"/>
  <c r="B62" i="5"/>
  <c r="B63" i="5"/>
  <c r="B64" i="5"/>
  <c r="B65" i="5"/>
  <c r="B66" i="5"/>
  <c r="B67" i="5"/>
  <c r="B44" i="5"/>
  <c r="A45" i="5"/>
  <c r="A46" i="5"/>
  <c r="A47" i="5"/>
  <c r="A48" i="5"/>
  <c r="A49" i="5"/>
  <c r="A50" i="5"/>
  <c r="A51" i="5"/>
  <c r="A52" i="5"/>
  <c r="A53" i="5"/>
  <c r="A54" i="5"/>
  <c r="A55" i="5"/>
  <c r="A56" i="5"/>
  <c r="A57" i="5"/>
  <c r="A58" i="5"/>
  <c r="A59" i="5"/>
  <c r="A60" i="5"/>
  <c r="A61" i="5"/>
  <c r="A62" i="5"/>
  <c r="A63" i="5"/>
  <c r="A64" i="5"/>
  <c r="A65" i="5"/>
  <c r="A66" i="5"/>
  <c r="A67" i="5"/>
  <c r="A68" i="5"/>
  <c r="A44" i="5"/>
  <c r="D108" i="5" l="1"/>
  <c r="C108" i="5"/>
  <c r="B108" i="5"/>
  <c r="N5" i="23"/>
  <c r="O5" i="23" s="1"/>
  <c r="P5" i="23" s="1"/>
  <c r="Q5" i="23" s="1"/>
  <c r="R5" i="23" s="1"/>
  <c r="S5" i="23" s="1"/>
  <c r="T5" i="23" s="1"/>
  <c r="U5" i="23" s="1"/>
  <c r="V5" i="23" s="1"/>
  <c r="W5" i="23" s="1"/>
  <c r="X5" i="23" s="1"/>
  <c r="Y5" i="23" s="1"/>
  <c r="Z5" i="23" s="1"/>
  <c r="AA5" i="23" s="1"/>
  <c r="AB5" i="23" s="1"/>
  <c r="AC5" i="23" s="1"/>
  <c r="AD5" i="23" s="1"/>
  <c r="AE5" i="23" s="1"/>
  <c r="AF5" i="23" s="1"/>
  <c r="AG5" i="23" s="1"/>
  <c r="AH5" i="23" s="1"/>
  <c r="AI5" i="23" s="1"/>
  <c r="AJ5" i="23" s="1"/>
  <c r="AK5" i="23" s="1"/>
  <c r="AL5" i="23" s="1"/>
  <c r="AM5" i="23" s="1"/>
  <c r="AN5" i="23" s="1"/>
  <c r="AO5" i="23" s="1"/>
  <c r="M5" i="23"/>
  <c r="C95" i="24"/>
  <c r="E13" i="19"/>
  <c r="F7" i="10" l="1"/>
  <c r="F6" i="10"/>
  <c r="D75" i="20"/>
  <c r="C79" i="20"/>
  <c r="F11" i="10" l="1"/>
  <c r="K174" i="18"/>
  <c r="H174" i="18"/>
  <c r="G175" i="18"/>
  <c r="G174" i="18"/>
  <c r="N32" i="18" l="1"/>
  <c r="M68" i="5" s="1"/>
  <c r="M32" i="18"/>
  <c r="L68" i="5" s="1"/>
  <c r="L32" i="18"/>
  <c r="K68" i="5" s="1"/>
  <c r="K32" i="18"/>
  <c r="J68" i="5" s="1"/>
  <c r="J32" i="18"/>
  <c r="I68" i="5" s="1"/>
  <c r="I32" i="18"/>
  <c r="H68" i="5" s="1"/>
  <c r="H32" i="18"/>
  <c r="G68" i="5" s="1"/>
  <c r="G32" i="18"/>
  <c r="F68" i="5" s="1"/>
  <c r="F32" i="18"/>
  <c r="E68" i="5" s="1"/>
  <c r="E32" i="18"/>
  <c r="D68" i="5" s="1"/>
  <c r="D32" i="18"/>
  <c r="C68" i="5" s="1"/>
  <c r="C32" i="18"/>
  <c r="B68" i="5" s="1"/>
  <c r="AM24" i="22" l="1"/>
  <c r="AL24" i="22"/>
  <c r="AK24" i="22"/>
  <c r="AJ24" i="22"/>
  <c r="AI24" i="22"/>
  <c r="AH24" i="22"/>
  <c r="AG24" i="22"/>
  <c r="AF24" i="22"/>
  <c r="AD24" i="22"/>
  <c r="AC24" i="22"/>
  <c r="AB24" i="22"/>
  <c r="AA24" i="22"/>
  <c r="Z24" i="22"/>
  <c r="Y24" i="22"/>
  <c r="X24" i="22"/>
  <c r="W24" i="22"/>
  <c r="V24" i="22"/>
  <c r="U24" i="22"/>
  <c r="T24" i="22"/>
  <c r="S24" i="22"/>
  <c r="R24" i="22"/>
  <c r="Q24" i="22"/>
  <c r="P24" i="22"/>
  <c r="O24" i="22"/>
  <c r="N24" i="22"/>
  <c r="M24" i="22"/>
  <c r="L24" i="22"/>
  <c r="K24" i="22"/>
  <c r="J24" i="22"/>
  <c r="I24" i="22"/>
  <c r="H24" i="22"/>
  <c r="G24" i="22"/>
  <c r="F24" i="22"/>
  <c r="E24" i="22"/>
  <c r="D24" i="22"/>
  <c r="I7" i="10" l="1"/>
  <c r="H7" i="10"/>
  <c r="G7" i="10"/>
  <c r="I6" i="10"/>
  <c r="H6" i="10"/>
  <c r="G6" i="10"/>
  <c r="D78" i="20" l="1"/>
  <c r="I11" i="10" s="1"/>
  <c r="E15" i="19"/>
  <c r="D77" i="20" s="1"/>
  <c r="H11" i="10" s="1"/>
  <c r="E14" i="19"/>
  <c r="D76" i="20" s="1"/>
  <c r="G30" i="20"/>
  <c r="E12" i="19"/>
  <c r="G11" i="10" l="1"/>
  <c r="J11" i="10" s="1"/>
  <c r="D79" i="20"/>
  <c r="J29" i="10"/>
  <c r="D64" i="7" s="1"/>
  <c r="J28" i="10"/>
  <c r="J15" i="10" s="1"/>
  <c r="AN24" i="22"/>
  <c r="H63" i="20"/>
  <c r="H58" i="20"/>
  <c r="H39" i="20"/>
  <c r="D39" i="20"/>
  <c r="C39" i="20"/>
  <c r="D43" i="20"/>
  <c r="H69" i="20" l="1"/>
  <c r="D50" i="7"/>
  <c r="C12" i="22"/>
  <c r="B94" i="5"/>
  <c r="C94" i="5"/>
  <c r="D94" i="5"/>
  <c r="B95" i="5"/>
  <c r="C95" i="5"/>
  <c r="D95" i="5"/>
  <c r="B96" i="5"/>
  <c r="C96" i="5"/>
  <c r="D96" i="5"/>
  <c r="B97" i="5"/>
  <c r="C97" i="5"/>
  <c r="D97" i="5"/>
  <c r="B98" i="5"/>
  <c r="C98" i="5"/>
  <c r="D98" i="5"/>
  <c r="A94" i="5"/>
  <c r="A95" i="5"/>
  <c r="A96" i="5"/>
  <c r="A97" i="5"/>
  <c r="A98" i="5"/>
  <c r="A93" i="5"/>
  <c r="C88" i="5"/>
  <c r="D88" i="5"/>
  <c r="C89" i="5"/>
  <c r="D89" i="5"/>
  <c r="C90" i="5"/>
  <c r="D90" i="5"/>
  <c r="C91" i="5"/>
  <c r="D91" i="5"/>
  <c r="C92" i="5"/>
  <c r="D92" i="5"/>
  <c r="B89" i="5"/>
  <c r="B90" i="5"/>
  <c r="B91" i="5"/>
  <c r="B92" i="5"/>
  <c r="B88" i="5"/>
  <c r="A89" i="5"/>
  <c r="A90" i="5"/>
  <c r="A91" i="5"/>
  <c r="A92" i="5"/>
  <c r="A88" i="5"/>
  <c r="A141" i="5"/>
  <c r="A138" i="5"/>
  <c r="A139" i="5"/>
  <c r="A140" i="5"/>
  <c r="A137" i="5"/>
  <c r="L5" i="22"/>
  <c r="L175" i="18" l="1"/>
  <c r="L174" i="18"/>
  <c r="C182" i="18"/>
  <c r="K175" i="18"/>
  <c r="G176" i="18"/>
  <c r="C183" i="18"/>
  <c r="D182" i="18"/>
  <c r="L176" i="18" l="1"/>
  <c r="K176" i="18"/>
  <c r="J182" i="18"/>
  <c r="I182" i="18"/>
  <c r="H182" i="18"/>
  <c r="G182" i="18"/>
  <c r="F182" i="18"/>
  <c r="E182" i="18"/>
  <c r="I181" i="18"/>
  <c r="F82" i="18"/>
  <c r="H175" i="18" l="1"/>
  <c r="H176" i="18" s="1"/>
  <c r="G177" i="18" s="1"/>
  <c r="K177" i="18"/>
  <c r="D57" i="7"/>
  <c r="E57" i="7" s="1"/>
  <c r="F57" i="7" s="1"/>
  <c r="G57" i="7" s="1"/>
  <c r="H57" i="7" s="1"/>
  <c r="I57" i="7" s="1"/>
  <c r="J57" i="7" s="1"/>
  <c r="K57" i="7" s="1"/>
  <c r="L57" i="7" s="1"/>
  <c r="M57" i="7" s="1"/>
  <c r="N57" i="7" s="1"/>
  <c r="O57" i="7" s="1"/>
  <c r="P57" i="7" s="1"/>
  <c r="Q57" i="7" s="1"/>
  <c r="R57" i="7" s="1"/>
  <c r="S57" i="7" s="1"/>
  <c r="T57" i="7" s="1"/>
  <c r="U57" i="7" s="1"/>
  <c r="V57" i="7" s="1"/>
  <c r="W57" i="7" s="1"/>
  <c r="X57" i="7" s="1"/>
  <c r="Y57" i="7" s="1"/>
  <c r="Z57" i="7" s="1"/>
  <c r="AA57" i="7" s="1"/>
  <c r="AB57" i="7" s="1"/>
  <c r="AC57" i="7" s="1"/>
  <c r="AD57" i="7" s="1"/>
  <c r="AE57" i="7" s="1"/>
  <c r="D43" i="7"/>
  <c r="E43" i="7" s="1"/>
  <c r="F43" i="7" s="1"/>
  <c r="G43" i="7" s="1"/>
  <c r="H43" i="7" s="1"/>
  <c r="I43" i="7" s="1"/>
  <c r="J43" i="7" s="1"/>
  <c r="K43" i="7" s="1"/>
  <c r="L43" i="7" s="1"/>
  <c r="M43" i="7" s="1"/>
  <c r="N43" i="7" s="1"/>
  <c r="O43" i="7" s="1"/>
  <c r="P43" i="7" s="1"/>
  <c r="Q43" i="7" s="1"/>
  <c r="R43" i="7" s="1"/>
  <c r="S43" i="7" s="1"/>
  <c r="T43" i="7" s="1"/>
  <c r="U43" i="7" s="1"/>
  <c r="V43" i="7" s="1"/>
  <c r="W43" i="7" s="1"/>
  <c r="X43" i="7" s="1"/>
  <c r="Y43" i="7" s="1"/>
  <c r="Z43" i="7" s="1"/>
  <c r="AA43" i="7" s="1"/>
  <c r="AB43" i="7" s="1"/>
  <c r="AC43" i="7" s="1"/>
  <c r="AD43" i="7" s="1"/>
  <c r="AE43" i="7" s="1"/>
  <c r="D29" i="7"/>
  <c r="E29" i="7" s="1"/>
  <c r="F29" i="7" s="1"/>
  <c r="G29" i="7" s="1"/>
  <c r="H29" i="7" s="1"/>
  <c r="I29" i="7" s="1"/>
  <c r="J29" i="7" s="1"/>
  <c r="K29" i="7" s="1"/>
  <c r="L29" i="7" s="1"/>
  <c r="M29" i="7" s="1"/>
  <c r="N29" i="7" s="1"/>
  <c r="O29" i="7" s="1"/>
  <c r="P29" i="7" s="1"/>
  <c r="Q29" i="7" s="1"/>
  <c r="R29" i="7" s="1"/>
  <c r="S29" i="7" s="1"/>
  <c r="T29" i="7" s="1"/>
  <c r="U29" i="7" s="1"/>
  <c r="V29" i="7" s="1"/>
  <c r="W29" i="7" s="1"/>
  <c r="X29" i="7" s="1"/>
  <c r="Y29" i="7" s="1"/>
  <c r="Z29" i="7" s="1"/>
  <c r="AA29" i="7" s="1"/>
  <c r="AB29" i="7" s="1"/>
  <c r="AC29" i="7" s="1"/>
  <c r="AD29" i="7" s="1"/>
  <c r="AE29" i="7" s="1"/>
  <c r="D104" i="11"/>
  <c r="E104" i="11" s="1"/>
  <c r="F104" i="11" s="1"/>
  <c r="G104" i="11" s="1"/>
  <c r="H104" i="11" s="1"/>
  <c r="I104" i="11" s="1"/>
  <c r="J104" i="11" s="1"/>
  <c r="K104" i="11" s="1"/>
  <c r="L104" i="11" s="1"/>
  <c r="D56" i="11"/>
  <c r="E56" i="11" s="1"/>
  <c r="F56" i="11" s="1"/>
  <c r="G56" i="11" s="1"/>
  <c r="H56" i="11" s="1"/>
  <c r="I56" i="11" s="1"/>
  <c r="J56" i="11" s="1"/>
  <c r="K56" i="11" s="1"/>
  <c r="L56" i="11" s="1"/>
  <c r="M56" i="11" s="1"/>
  <c r="N56" i="11" s="1"/>
  <c r="O56" i="11" s="1"/>
  <c r="P56" i="11" s="1"/>
  <c r="Q56" i="11" s="1"/>
  <c r="R56" i="11" s="1"/>
  <c r="S56" i="11" s="1"/>
  <c r="T56" i="11" s="1"/>
  <c r="U56" i="11" s="1"/>
  <c r="V56" i="11" s="1"/>
  <c r="W56" i="11" s="1"/>
  <c r="X56" i="11" s="1"/>
  <c r="Y56" i="11" s="1"/>
  <c r="Z56" i="11" s="1"/>
  <c r="AA56" i="11" s="1"/>
  <c r="AB56" i="11" s="1"/>
  <c r="AC56" i="11" s="1"/>
  <c r="AD56" i="11" s="1"/>
  <c r="AE56" i="11" s="1"/>
  <c r="AF56" i="11" s="1"/>
  <c r="AG56" i="11" s="1"/>
  <c r="AH56" i="11" s="1"/>
  <c r="AI56" i="11" s="1"/>
  <c r="AJ56" i="11" s="1"/>
  <c r="AK56" i="11" s="1"/>
  <c r="AL56" i="11" s="1"/>
  <c r="AM56" i="11" s="1"/>
  <c r="AN56" i="11" s="1"/>
  <c r="AO56" i="11" s="1"/>
  <c r="D11" i="11"/>
  <c r="E11" i="11" s="1"/>
  <c r="F11" i="11" s="1"/>
  <c r="G11" i="11" s="1"/>
  <c r="H11" i="11" s="1"/>
  <c r="I11" i="11" s="1"/>
  <c r="J11" i="11" s="1"/>
  <c r="K11" i="11" s="1"/>
  <c r="L11" i="11" s="1"/>
  <c r="M11" i="11" s="1"/>
  <c r="N11" i="11" s="1"/>
  <c r="O11" i="11" s="1"/>
  <c r="P11" i="11" s="1"/>
  <c r="Q11" i="11" s="1"/>
  <c r="R11" i="11" s="1"/>
  <c r="S11" i="11" s="1"/>
  <c r="T11" i="11" s="1"/>
  <c r="U11" i="11" s="1"/>
  <c r="V11" i="11" s="1"/>
  <c r="W11" i="11" s="1"/>
  <c r="X11" i="11" s="1"/>
  <c r="Y11" i="11" s="1"/>
  <c r="Z11" i="11" s="1"/>
  <c r="AA11" i="11" s="1"/>
  <c r="AB11" i="11" s="1"/>
  <c r="AC11" i="11" s="1"/>
  <c r="AD11" i="11" s="1"/>
  <c r="AE11" i="11" s="1"/>
  <c r="AF11" i="11" s="1"/>
  <c r="AG11" i="11" s="1"/>
  <c r="AH11" i="11" s="1"/>
  <c r="AI11" i="11" s="1"/>
  <c r="AJ11" i="11" s="1"/>
  <c r="AK11" i="11" s="1"/>
  <c r="AL11" i="11" s="1"/>
  <c r="AM11" i="11" s="1"/>
  <c r="AN11" i="11" s="1"/>
  <c r="AO11" i="11" s="1"/>
  <c r="D23" i="22"/>
  <c r="E23" i="22" s="1"/>
  <c r="F23" i="22" s="1"/>
  <c r="G23" i="22" s="1"/>
  <c r="H23" i="22" s="1"/>
  <c r="I23" i="22" s="1"/>
  <c r="J23" i="22" s="1"/>
  <c r="K23" i="22" s="1"/>
  <c r="L23" i="22" s="1"/>
  <c r="M23" i="22" s="1"/>
  <c r="N23" i="22" s="1"/>
  <c r="O23" i="22" s="1"/>
  <c r="P23" i="22" s="1"/>
  <c r="Q23" i="22" s="1"/>
  <c r="R23" i="22" s="1"/>
  <c r="S23" i="22" s="1"/>
  <c r="T23" i="22" s="1"/>
  <c r="U23" i="22" s="1"/>
  <c r="V23" i="22" s="1"/>
  <c r="W23" i="22" s="1"/>
  <c r="X23" i="22" s="1"/>
  <c r="Y23" i="22" s="1"/>
  <c r="Z23" i="22" s="1"/>
  <c r="AA23" i="22" s="1"/>
  <c r="AB23" i="22" s="1"/>
  <c r="AC23" i="22" s="1"/>
  <c r="AD23" i="22" s="1"/>
  <c r="AE23" i="22" s="1"/>
  <c r="AF23" i="22" s="1"/>
  <c r="AG23" i="22" s="1"/>
  <c r="AH23" i="22" s="1"/>
  <c r="AI23" i="22" s="1"/>
  <c r="AJ23" i="22" s="1"/>
  <c r="AK23" i="22" s="1"/>
  <c r="AL23" i="22" s="1"/>
  <c r="AM23" i="22" s="1"/>
  <c r="AN23" i="22" s="1"/>
  <c r="AO23" i="22" s="1"/>
  <c r="D14" i="22"/>
  <c r="E14" i="22" s="1"/>
  <c r="F14" i="22" s="1"/>
  <c r="G14" i="22" s="1"/>
  <c r="H14" i="22" s="1"/>
  <c r="I14" i="22" s="1"/>
  <c r="J14" i="22" s="1"/>
  <c r="K14" i="22" s="1"/>
  <c r="L14" i="22" s="1"/>
  <c r="M14" i="22" s="1"/>
  <c r="N14" i="22" s="1"/>
  <c r="O14" i="22" s="1"/>
  <c r="P14" i="22" s="1"/>
  <c r="Q14" i="22" s="1"/>
  <c r="R14" i="22" s="1"/>
  <c r="S14" i="22" s="1"/>
  <c r="T14" i="22" s="1"/>
  <c r="U14" i="22" s="1"/>
  <c r="V14" i="22" s="1"/>
  <c r="W14" i="22" s="1"/>
  <c r="X14" i="22" s="1"/>
  <c r="Y14" i="22" s="1"/>
  <c r="Z14" i="22" s="1"/>
  <c r="AA14" i="22" s="1"/>
  <c r="AB14" i="22" s="1"/>
  <c r="AC14" i="22" s="1"/>
  <c r="AD14" i="22" s="1"/>
  <c r="AE14" i="22" s="1"/>
  <c r="AF14" i="22" s="1"/>
  <c r="AG14" i="22" s="1"/>
  <c r="AH14" i="22" s="1"/>
  <c r="AI14" i="22" s="1"/>
  <c r="AJ14" i="22" s="1"/>
  <c r="AK14" i="22" s="1"/>
  <c r="AL14" i="22" s="1"/>
  <c r="AM14" i="22" s="1"/>
  <c r="AN14" i="22" s="1"/>
  <c r="AO14" i="22" s="1"/>
  <c r="D4" i="22"/>
  <c r="E4" i="22" s="1"/>
  <c r="F4" i="22" s="1"/>
  <c r="G4" i="22" s="1"/>
  <c r="H4" i="22" s="1"/>
  <c r="I4" i="22" s="1"/>
  <c r="J4" i="22" s="1"/>
  <c r="K4" i="22" s="1"/>
  <c r="L4" i="22" s="1"/>
  <c r="M4" i="22" s="1"/>
  <c r="N4" i="22" s="1"/>
  <c r="O4" i="22" s="1"/>
  <c r="P4" i="22" s="1"/>
  <c r="Q4" i="22" s="1"/>
  <c r="R4" i="22" s="1"/>
  <c r="S4" i="22" s="1"/>
  <c r="T4" i="22" s="1"/>
  <c r="U4" i="22" s="1"/>
  <c r="V4" i="22" s="1"/>
  <c r="W4" i="22" s="1"/>
  <c r="X4" i="22" s="1"/>
  <c r="Y4" i="22" s="1"/>
  <c r="Z4" i="22" s="1"/>
  <c r="AA4" i="22" s="1"/>
  <c r="AB4" i="22" s="1"/>
  <c r="AC4" i="22" s="1"/>
  <c r="AD4" i="22" s="1"/>
  <c r="AE4" i="22" s="1"/>
  <c r="AF4" i="22" s="1"/>
  <c r="AG4" i="22" s="1"/>
  <c r="AH4" i="22" s="1"/>
  <c r="AI4" i="22" s="1"/>
  <c r="AJ4" i="22" s="1"/>
  <c r="AK4" i="22" s="1"/>
  <c r="AL4" i="22" s="1"/>
  <c r="AM4" i="22" s="1"/>
  <c r="AN4" i="22" s="1"/>
  <c r="AO4" i="22" s="1"/>
  <c r="D36" i="23"/>
  <c r="E36" i="23" s="1"/>
  <c r="F36" i="23" s="1"/>
  <c r="G36" i="23" s="1"/>
  <c r="H36" i="23" s="1"/>
  <c r="I36" i="23" s="1"/>
  <c r="J36" i="23" s="1"/>
  <c r="K36" i="23" s="1"/>
  <c r="L36" i="23" s="1"/>
  <c r="D24" i="23"/>
  <c r="E24" i="23" s="1"/>
  <c r="F24" i="23" s="1"/>
  <c r="G24" i="23" s="1"/>
  <c r="H24" i="23" s="1"/>
  <c r="I24" i="23" s="1"/>
  <c r="J24" i="23" s="1"/>
  <c r="K24" i="23" s="1"/>
  <c r="L24" i="23" s="1"/>
  <c r="D12" i="23"/>
  <c r="E12" i="23" s="1"/>
  <c r="F12" i="23" s="1"/>
  <c r="G12" i="23" s="1"/>
  <c r="H12" i="23" s="1"/>
  <c r="I12" i="23" s="1"/>
  <c r="J12" i="23" s="1"/>
  <c r="K12" i="23" s="1"/>
  <c r="L12" i="23" s="1"/>
  <c r="D4" i="23"/>
  <c r="E4" i="23" s="1"/>
  <c r="F4" i="23" s="1"/>
  <c r="G4" i="23" s="1"/>
  <c r="H4" i="23" s="1"/>
  <c r="I4" i="23" s="1"/>
  <c r="J4" i="23" s="1"/>
  <c r="K4" i="23" s="1"/>
  <c r="L4" i="23" s="1"/>
  <c r="D68" i="13"/>
  <c r="E68" i="13" s="1"/>
  <c r="F68" i="13" s="1"/>
  <c r="G68" i="13" s="1"/>
  <c r="H68" i="13" s="1"/>
  <c r="I68" i="13" s="1"/>
  <c r="J68" i="13" s="1"/>
  <c r="K68" i="13" s="1"/>
  <c r="L68" i="13" s="1"/>
  <c r="M68" i="13" s="1"/>
  <c r="N68" i="13" s="1"/>
  <c r="O68" i="13" s="1"/>
  <c r="P68" i="13" s="1"/>
  <c r="Q68" i="13" s="1"/>
  <c r="R68" i="13" s="1"/>
  <c r="S68" i="13" s="1"/>
  <c r="T68" i="13" s="1"/>
  <c r="U68" i="13" s="1"/>
  <c r="V68" i="13" s="1"/>
  <c r="W68" i="13" s="1"/>
  <c r="X68" i="13" s="1"/>
  <c r="Y68" i="13" s="1"/>
  <c r="Z68" i="13" s="1"/>
  <c r="AA68" i="13" s="1"/>
  <c r="AB68" i="13" s="1"/>
  <c r="AC68" i="13" s="1"/>
  <c r="AD68" i="13" s="1"/>
  <c r="AE68" i="13" s="1"/>
  <c r="AF68" i="13" s="1"/>
  <c r="AG68" i="13" s="1"/>
  <c r="AH68" i="13" s="1"/>
  <c r="AI68" i="13" s="1"/>
  <c r="AJ68" i="13" s="1"/>
  <c r="AK68" i="13" s="1"/>
  <c r="AL68" i="13" s="1"/>
  <c r="AM68" i="13" s="1"/>
  <c r="AN68" i="13" s="1"/>
  <c r="AO68" i="13" s="1"/>
  <c r="D40" i="13"/>
  <c r="E40" i="13" s="1"/>
  <c r="F40" i="13" s="1"/>
  <c r="G40" i="13" s="1"/>
  <c r="H40" i="13" s="1"/>
  <c r="I40" i="13" s="1"/>
  <c r="J40" i="13" s="1"/>
  <c r="K40" i="13" s="1"/>
  <c r="L40" i="13" s="1"/>
  <c r="D12" i="13"/>
  <c r="E12" i="13" s="1"/>
  <c r="F12" i="13" s="1"/>
  <c r="G12" i="13" s="1"/>
  <c r="H12" i="13" s="1"/>
  <c r="I12" i="13" s="1"/>
  <c r="J12" i="13" s="1"/>
  <c r="K12" i="13" s="1"/>
  <c r="L12" i="13" s="1"/>
  <c r="E4" i="13"/>
  <c r="F4" i="13" s="1"/>
  <c r="G4" i="13" s="1"/>
  <c r="H4" i="13" s="1"/>
  <c r="I4" i="13" s="1"/>
  <c r="J4" i="13" s="1"/>
  <c r="K4" i="13" s="1"/>
  <c r="F139" i="18"/>
  <c r="L4" i="13" l="1"/>
  <c r="M4" i="13" s="1"/>
  <c r="N4" i="13" s="1"/>
  <c r="O4" i="13" s="1"/>
  <c r="P4" i="13" s="1"/>
  <c r="Q4" i="13" s="1"/>
  <c r="R4" i="13" s="1"/>
  <c r="S4" i="13" s="1"/>
  <c r="T4" i="13" s="1"/>
  <c r="U4" i="13" s="1"/>
  <c r="V4" i="13" s="1"/>
  <c r="W4" i="13" s="1"/>
  <c r="X4" i="13" s="1"/>
  <c r="Y4" i="13" s="1"/>
  <c r="Z4" i="13" s="1"/>
  <c r="AA4" i="13" s="1"/>
  <c r="AB4" i="13" s="1"/>
  <c r="AC4" i="13" s="1"/>
  <c r="AD4" i="13" s="1"/>
  <c r="AE4" i="13" s="1"/>
  <c r="AF4" i="13" s="1"/>
  <c r="AG4" i="13" s="1"/>
  <c r="AH4" i="13" s="1"/>
  <c r="AI4" i="13" s="1"/>
  <c r="AJ4" i="13" s="1"/>
  <c r="AK4" i="13" s="1"/>
  <c r="AL4" i="13" s="1"/>
  <c r="AM4" i="13" s="1"/>
  <c r="AN4" i="13" s="1"/>
  <c r="AO4" i="13" s="1"/>
  <c r="D14" i="23"/>
  <c r="E14" i="23" s="1"/>
  <c r="F14" i="23" s="1"/>
  <c r="G14" i="23" s="1"/>
  <c r="H14" i="23" s="1"/>
  <c r="I14" i="23" s="1"/>
  <c r="J14" i="23" s="1"/>
  <c r="K14" i="23" s="1"/>
  <c r="L14" i="23" s="1"/>
  <c r="M14" i="23" s="1"/>
  <c r="N14" i="23" s="1"/>
  <c r="O14" i="23" s="1"/>
  <c r="P14" i="23" s="1"/>
  <c r="Q14" i="23" s="1"/>
  <c r="R14" i="23" s="1"/>
  <c r="S14" i="23" s="1"/>
  <c r="T14" i="23" s="1"/>
  <c r="U14" i="23" s="1"/>
  <c r="V14" i="23" s="1"/>
  <c r="W14" i="23" s="1"/>
  <c r="X14" i="23" s="1"/>
  <c r="Y14" i="23" s="1"/>
  <c r="Z14" i="23" s="1"/>
  <c r="AA14" i="23" s="1"/>
  <c r="AB14" i="23" s="1"/>
  <c r="AC14" i="23" s="1"/>
  <c r="AD14" i="23" s="1"/>
  <c r="AE14" i="23" s="1"/>
  <c r="AF14" i="23" s="1"/>
  <c r="AG14" i="23" s="1"/>
  <c r="AH14" i="23" s="1"/>
  <c r="AI14" i="23" s="1"/>
  <c r="AJ14" i="23" s="1"/>
  <c r="AK14" i="23" s="1"/>
  <c r="AL14" i="23" s="1"/>
  <c r="AM14" i="23" s="1"/>
  <c r="AN14" i="23" s="1"/>
  <c r="AO14" i="23" s="1"/>
  <c r="D26" i="23"/>
  <c r="E26" i="23" s="1"/>
  <c r="F26" i="23" s="1"/>
  <c r="G26" i="23" s="1"/>
  <c r="H26" i="23" s="1"/>
  <c r="I26" i="23" s="1"/>
  <c r="J26" i="23" s="1"/>
  <c r="K26" i="23" s="1"/>
  <c r="M12" i="13"/>
  <c r="N12" i="13" s="1"/>
  <c r="O12" i="13" s="1"/>
  <c r="P12" i="13" s="1"/>
  <c r="Q12" i="13" s="1"/>
  <c r="R12" i="13" s="1"/>
  <c r="S12" i="13" s="1"/>
  <c r="T12" i="13" s="1"/>
  <c r="U12" i="13" s="1"/>
  <c r="V12" i="13" s="1"/>
  <c r="W12" i="13" s="1"/>
  <c r="X12" i="13" s="1"/>
  <c r="Y12" i="13" s="1"/>
  <c r="Z12" i="13" s="1"/>
  <c r="AA12" i="13" s="1"/>
  <c r="AB12" i="13" s="1"/>
  <c r="AC12" i="13" s="1"/>
  <c r="AD12" i="13" s="1"/>
  <c r="AE12" i="13" s="1"/>
  <c r="AF12" i="13" s="1"/>
  <c r="AG12" i="13" s="1"/>
  <c r="AH12" i="13" s="1"/>
  <c r="AI12" i="13" s="1"/>
  <c r="AJ12" i="13" s="1"/>
  <c r="AK12" i="13" s="1"/>
  <c r="AL12" i="13" s="1"/>
  <c r="AM12" i="13" s="1"/>
  <c r="AN12" i="13" s="1"/>
  <c r="AO12" i="13" s="1"/>
  <c r="M24" i="23"/>
  <c r="N24" i="23" s="1"/>
  <c r="O24" i="23" s="1"/>
  <c r="P24" i="23" s="1"/>
  <c r="Q24" i="23" s="1"/>
  <c r="R24" i="23" s="1"/>
  <c r="S24" i="23" s="1"/>
  <c r="T24" i="23" s="1"/>
  <c r="U24" i="23" s="1"/>
  <c r="V24" i="23" s="1"/>
  <c r="W24" i="23" s="1"/>
  <c r="X24" i="23" s="1"/>
  <c r="Y24" i="23" s="1"/>
  <c r="Z24" i="23" s="1"/>
  <c r="AA24" i="23" s="1"/>
  <c r="AB24" i="23" s="1"/>
  <c r="AC24" i="23" s="1"/>
  <c r="AD24" i="23" s="1"/>
  <c r="AE24" i="23" s="1"/>
  <c r="AF24" i="23" s="1"/>
  <c r="AG24" i="23" s="1"/>
  <c r="AH24" i="23" s="1"/>
  <c r="AI24" i="23" s="1"/>
  <c r="AJ24" i="23" s="1"/>
  <c r="AK24" i="23" s="1"/>
  <c r="AL24" i="23" s="1"/>
  <c r="AM24" i="23" s="1"/>
  <c r="AN24" i="23" s="1"/>
  <c r="AO24" i="23" s="1"/>
  <c r="L26" i="23"/>
  <c r="M12" i="23"/>
  <c r="N12" i="23" s="1"/>
  <c r="O12" i="23" s="1"/>
  <c r="P12" i="23" s="1"/>
  <c r="Q12" i="23" s="1"/>
  <c r="R12" i="23" s="1"/>
  <c r="S12" i="23" s="1"/>
  <c r="T12" i="23" s="1"/>
  <c r="U12" i="23" s="1"/>
  <c r="V12" i="23" s="1"/>
  <c r="W12" i="23" s="1"/>
  <c r="X12" i="23" s="1"/>
  <c r="Y12" i="23" s="1"/>
  <c r="Z12" i="23" s="1"/>
  <c r="AA12" i="23" s="1"/>
  <c r="AB12" i="23" s="1"/>
  <c r="AC12" i="23" s="1"/>
  <c r="AD12" i="23" s="1"/>
  <c r="AE12" i="23" s="1"/>
  <c r="AF12" i="23" s="1"/>
  <c r="AG12" i="23" s="1"/>
  <c r="AH12" i="23" s="1"/>
  <c r="AI12" i="23" s="1"/>
  <c r="AJ12" i="23" s="1"/>
  <c r="AK12" i="23" s="1"/>
  <c r="AL12" i="23" s="1"/>
  <c r="AM12" i="23" s="1"/>
  <c r="AN12" i="23" s="1"/>
  <c r="AO12" i="23" s="1"/>
  <c r="AO7" i="22"/>
  <c r="AO6" i="22"/>
  <c r="M104" i="11"/>
  <c r="N104" i="11" s="1"/>
  <c r="O104" i="11" s="1"/>
  <c r="P104" i="11" s="1"/>
  <c r="Q104" i="11" s="1"/>
  <c r="R104" i="11" s="1"/>
  <c r="S104" i="11" s="1"/>
  <c r="T104" i="11" s="1"/>
  <c r="U104" i="11" s="1"/>
  <c r="V104" i="11" s="1"/>
  <c r="W104" i="11" s="1"/>
  <c r="X104" i="11" s="1"/>
  <c r="Y104" i="11" s="1"/>
  <c r="Z104" i="11" s="1"/>
  <c r="AA104" i="11" s="1"/>
  <c r="AB104" i="11" s="1"/>
  <c r="AC104" i="11" s="1"/>
  <c r="AD104" i="11" s="1"/>
  <c r="AE104" i="11" s="1"/>
  <c r="AF104" i="11" s="1"/>
  <c r="AG104" i="11" s="1"/>
  <c r="AH104" i="11" s="1"/>
  <c r="AI104" i="11" s="1"/>
  <c r="AJ104" i="11" s="1"/>
  <c r="AK104" i="11" s="1"/>
  <c r="AL104" i="11" s="1"/>
  <c r="AM104" i="11" s="1"/>
  <c r="AN104" i="11" s="1"/>
  <c r="AO104" i="11" s="1"/>
  <c r="M4" i="23"/>
  <c r="N4" i="23" s="1"/>
  <c r="O4" i="23" s="1"/>
  <c r="P4" i="23" s="1"/>
  <c r="Q4" i="23" s="1"/>
  <c r="R4" i="23" s="1"/>
  <c r="S4" i="23" s="1"/>
  <c r="T4" i="23" s="1"/>
  <c r="U4" i="23" s="1"/>
  <c r="V4" i="23" s="1"/>
  <c r="W4" i="23" s="1"/>
  <c r="X4" i="23" s="1"/>
  <c r="Y4" i="23" s="1"/>
  <c r="Z4" i="23" s="1"/>
  <c r="AA4" i="23" s="1"/>
  <c r="AB4" i="23" s="1"/>
  <c r="AC4" i="23" s="1"/>
  <c r="AD4" i="23" s="1"/>
  <c r="AE4" i="23" s="1"/>
  <c r="AF4" i="23" s="1"/>
  <c r="AG4" i="23" s="1"/>
  <c r="AH4" i="23" s="1"/>
  <c r="AI4" i="23" s="1"/>
  <c r="AJ4" i="23" s="1"/>
  <c r="AK4" i="23" s="1"/>
  <c r="AL4" i="23" s="1"/>
  <c r="AM4" i="23" s="1"/>
  <c r="AN4" i="23" s="1"/>
  <c r="AO4" i="23" s="1"/>
  <c r="M40" i="13"/>
  <c r="N40" i="13" s="1"/>
  <c r="O40" i="13" s="1"/>
  <c r="P40" i="13" s="1"/>
  <c r="Q40" i="13" s="1"/>
  <c r="R40" i="13" s="1"/>
  <c r="S40" i="13" s="1"/>
  <c r="T40" i="13" s="1"/>
  <c r="U40" i="13" s="1"/>
  <c r="V40" i="13" s="1"/>
  <c r="W40" i="13" s="1"/>
  <c r="X40" i="13" s="1"/>
  <c r="Y40" i="13" s="1"/>
  <c r="Z40" i="13" s="1"/>
  <c r="AA40" i="13" s="1"/>
  <c r="AB40" i="13" s="1"/>
  <c r="AC40" i="13" s="1"/>
  <c r="AD40" i="13" s="1"/>
  <c r="AE40" i="13" s="1"/>
  <c r="AF40" i="13" s="1"/>
  <c r="AG40" i="13" s="1"/>
  <c r="AH40" i="13" s="1"/>
  <c r="AI40" i="13" s="1"/>
  <c r="AJ40" i="13" s="1"/>
  <c r="AK40" i="13" s="1"/>
  <c r="AL40" i="13" s="1"/>
  <c r="AM40" i="13" s="1"/>
  <c r="AN40" i="13" s="1"/>
  <c r="AO40" i="13" s="1"/>
  <c r="M36" i="23"/>
  <c r="N36" i="23" s="1"/>
  <c r="O36" i="23" s="1"/>
  <c r="P36" i="23" s="1"/>
  <c r="Q36" i="23" s="1"/>
  <c r="R36" i="23" s="1"/>
  <c r="S36" i="23" s="1"/>
  <c r="T36" i="23" s="1"/>
  <c r="U36" i="23" s="1"/>
  <c r="V36" i="23" s="1"/>
  <c r="W36" i="23" s="1"/>
  <c r="X36" i="23" s="1"/>
  <c r="Y36" i="23" s="1"/>
  <c r="Z36" i="23" s="1"/>
  <c r="AA36" i="23" s="1"/>
  <c r="AB36" i="23" s="1"/>
  <c r="AC36" i="23" s="1"/>
  <c r="AD36" i="23" s="1"/>
  <c r="AE36" i="23" s="1"/>
  <c r="AF36" i="23" s="1"/>
  <c r="AG36" i="23" s="1"/>
  <c r="AH36" i="23" s="1"/>
  <c r="AI36" i="23" s="1"/>
  <c r="AJ36" i="23" s="1"/>
  <c r="AK36" i="23" s="1"/>
  <c r="AL36" i="23" s="1"/>
  <c r="AM36" i="23" s="1"/>
  <c r="AN36" i="23" s="1"/>
  <c r="AO36" i="23" s="1"/>
  <c r="F158" i="18"/>
  <c r="F159" i="18"/>
  <c r="F157" i="18"/>
  <c r="F156" i="18"/>
  <c r="F155" i="18"/>
  <c r="F153" i="18"/>
  <c r="F154" i="18"/>
  <c r="F152" i="18"/>
  <c r="F151" i="18"/>
  <c r="F150" i="18"/>
  <c r="F146" i="18"/>
  <c r="F147" i="18"/>
  <c r="F145" i="18"/>
  <c r="F144" i="18"/>
  <c r="F143" i="18"/>
  <c r="F141" i="18"/>
  <c r="F142" i="18"/>
  <c r="F140" i="18"/>
  <c r="F138" i="18"/>
  <c r="N159" i="18"/>
  <c r="K159" i="18"/>
  <c r="P159" i="18" s="1"/>
  <c r="J159" i="18"/>
  <c r="O159" i="18" s="1"/>
  <c r="N158" i="18"/>
  <c r="K158" i="18"/>
  <c r="J158" i="18"/>
  <c r="N157" i="18"/>
  <c r="K157" i="18"/>
  <c r="J157" i="18"/>
  <c r="N156" i="18"/>
  <c r="K156" i="18"/>
  <c r="J156" i="18"/>
  <c r="N155" i="18"/>
  <c r="K155" i="18"/>
  <c r="J155" i="18"/>
  <c r="N154" i="18"/>
  <c r="K154" i="18"/>
  <c r="J154" i="18"/>
  <c r="N153" i="18"/>
  <c r="K153" i="18"/>
  <c r="P153" i="18" s="1"/>
  <c r="J153" i="18"/>
  <c r="N152" i="18"/>
  <c r="K152" i="18"/>
  <c r="J152" i="18"/>
  <c r="N151" i="18"/>
  <c r="K151" i="18"/>
  <c r="J151" i="18"/>
  <c r="N150" i="18"/>
  <c r="K150" i="18"/>
  <c r="J150" i="18"/>
  <c r="N147" i="18"/>
  <c r="K147" i="18"/>
  <c r="J147" i="18"/>
  <c r="N146" i="18"/>
  <c r="K146" i="18"/>
  <c r="J146" i="18"/>
  <c r="N145" i="18"/>
  <c r="K145" i="18"/>
  <c r="J145" i="18"/>
  <c r="N144" i="18"/>
  <c r="K144" i="18"/>
  <c r="J144" i="18"/>
  <c r="N143" i="18"/>
  <c r="K143" i="18"/>
  <c r="J143" i="18"/>
  <c r="N142" i="18"/>
  <c r="K142" i="18"/>
  <c r="J142" i="18"/>
  <c r="M142" i="18" s="1"/>
  <c r="N141" i="18"/>
  <c r="K141" i="18"/>
  <c r="J141" i="18"/>
  <c r="N140" i="18"/>
  <c r="K140" i="18"/>
  <c r="J140" i="18"/>
  <c r="N139" i="18"/>
  <c r="K139" i="18"/>
  <c r="P139" i="18" s="1"/>
  <c r="J139" i="18"/>
  <c r="N138" i="18"/>
  <c r="K138" i="18"/>
  <c r="J138" i="18"/>
  <c r="F133" i="18"/>
  <c r="F134" i="18"/>
  <c r="F132" i="18"/>
  <c r="F131" i="18"/>
  <c r="F130" i="18"/>
  <c r="F128" i="18"/>
  <c r="F129" i="18"/>
  <c r="F127" i="18"/>
  <c r="F126" i="18"/>
  <c r="F125" i="18"/>
  <c r="F122" i="18"/>
  <c r="F121" i="18"/>
  <c r="F120" i="18"/>
  <c r="F119" i="18"/>
  <c r="F118" i="18"/>
  <c r="F116" i="18"/>
  <c r="F117" i="18"/>
  <c r="F115" i="18"/>
  <c r="F114" i="18"/>
  <c r="F113" i="18"/>
  <c r="K134" i="18"/>
  <c r="J134" i="18"/>
  <c r="K133" i="18"/>
  <c r="J133" i="18"/>
  <c r="K132" i="18"/>
  <c r="J132" i="18"/>
  <c r="K131" i="18"/>
  <c r="J131" i="18"/>
  <c r="K130" i="18"/>
  <c r="K129" i="18"/>
  <c r="J129" i="18"/>
  <c r="K128" i="18"/>
  <c r="J128" i="18"/>
  <c r="K127" i="18"/>
  <c r="J127" i="18"/>
  <c r="K126" i="18"/>
  <c r="J126" i="18"/>
  <c r="K125" i="18"/>
  <c r="J125" i="18"/>
  <c r="K122" i="18"/>
  <c r="J122" i="18"/>
  <c r="K121" i="18"/>
  <c r="J121" i="18"/>
  <c r="K120" i="18"/>
  <c r="J120" i="18"/>
  <c r="K119" i="18"/>
  <c r="J119" i="18"/>
  <c r="K118" i="18"/>
  <c r="J118" i="18"/>
  <c r="K117" i="18"/>
  <c r="J117" i="18"/>
  <c r="K116" i="18"/>
  <c r="J116" i="18"/>
  <c r="K115" i="18"/>
  <c r="J115" i="18"/>
  <c r="K114" i="18"/>
  <c r="J114" i="18"/>
  <c r="K113" i="18"/>
  <c r="J113" i="18"/>
  <c r="K88" i="18"/>
  <c r="K89" i="18"/>
  <c r="J89" i="18"/>
  <c r="J88" i="18"/>
  <c r="O88" i="18" s="1"/>
  <c r="R88" i="18" s="1"/>
  <c r="U88" i="18" s="1"/>
  <c r="W88" i="18" s="1"/>
  <c r="K109" i="18"/>
  <c r="N134" i="18"/>
  <c r="N133" i="18"/>
  <c r="N132" i="18"/>
  <c r="N131" i="18"/>
  <c r="N130" i="18"/>
  <c r="N129" i="18"/>
  <c r="N128" i="18"/>
  <c r="N127" i="18"/>
  <c r="N126" i="18"/>
  <c r="N125" i="18"/>
  <c r="N122" i="18"/>
  <c r="N121" i="18"/>
  <c r="N120" i="18"/>
  <c r="N119" i="18"/>
  <c r="N118" i="18"/>
  <c r="N117" i="18"/>
  <c r="N116" i="18"/>
  <c r="N115" i="18"/>
  <c r="N114" i="18"/>
  <c r="N113" i="18"/>
  <c r="N89" i="18"/>
  <c r="N90" i="18"/>
  <c r="N91" i="18"/>
  <c r="N92" i="18"/>
  <c r="N93" i="18"/>
  <c r="N94" i="18"/>
  <c r="N95" i="18"/>
  <c r="N96" i="18"/>
  <c r="N97" i="18"/>
  <c r="N100" i="18"/>
  <c r="N101" i="18"/>
  <c r="N102" i="18"/>
  <c r="N103" i="18"/>
  <c r="N104" i="18"/>
  <c r="N105" i="18"/>
  <c r="N106" i="18"/>
  <c r="N107" i="18"/>
  <c r="N108" i="18"/>
  <c r="N109" i="18"/>
  <c r="AO6" i="13" l="1"/>
  <c r="AO7" i="13"/>
  <c r="AO7" i="23"/>
  <c r="AO6" i="23"/>
  <c r="AO16" i="23"/>
  <c r="AO20" i="23" s="1"/>
  <c r="AO15" i="23"/>
  <c r="AO19" i="23" s="1"/>
  <c r="M26" i="23"/>
  <c r="N26" i="23" s="1"/>
  <c r="O26" i="23" s="1"/>
  <c r="P26" i="23" s="1"/>
  <c r="Q26" i="23" s="1"/>
  <c r="R26" i="23" s="1"/>
  <c r="S26" i="23" s="1"/>
  <c r="T26" i="23" s="1"/>
  <c r="U26" i="23" s="1"/>
  <c r="V26" i="23" s="1"/>
  <c r="W26" i="23" s="1"/>
  <c r="X26" i="23" s="1"/>
  <c r="Y26" i="23" s="1"/>
  <c r="Z26" i="23" s="1"/>
  <c r="AA26" i="23" s="1"/>
  <c r="AB26" i="23" s="1"/>
  <c r="AC26" i="23" s="1"/>
  <c r="AD26" i="23" s="1"/>
  <c r="AE26" i="23" s="1"/>
  <c r="AF26" i="23" s="1"/>
  <c r="AG26" i="23" s="1"/>
  <c r="AH26" i="23" s="1"/>
  <c r="AI26" i="23" s="1"/>
  <c r="AJ26" i="23" s="1"/>
  <c r="AK26" i="23" s="1"/>
  <c r="AL26" i="23" s="1"/>
  <c r="AM26" i="23" s="1"/>
  <c r="AN26" i="23" s="1"/>
  <c r="AO26" i="23" s="1"/>
  <c r="L27" i="23"/>
  <c r="M155" i="18"/>
  <c r="P146" i="18"/>
  <c r="M151" i="18"/>
  <c r="O154" i="18"/>
  <c r="P144" i="18"/>
  <c r="O147" i="18"/>
  <c r="M128" i="18"/>
  <c r="M125" i="18"/>
  <c r="M132" i="18"/>
  <c r="M143" i="18"/>
  <c r="O134" i="18"/>
  <c r="M118" i="18"/>
  <c r="O157" i="18"/>
  <c r="P157" i="18"/>
  <c r="M129" i="18"/>
  <c r="M133" i="18"/>
  <c r="O138" i="18"/>
  <c r="O120" i="18"/>
  <c r="P154" i="18"/>
  <c r="M115" i="18"/>
  <c r="M119" i="18"/>
  <c r="O121" i="18"/>
  <c r="O116" i="18"/>
  <c r="O130" i="18"/>
  <c r="P156" i="18"/>
  <c r="O156" i="18"/>
  <c r="O117" i="18"/>
  <c r="O127" i="18"/>
  <c r="O131" i="18"/>
  <c r="P89" i="18"/>
  <c r="S89" i="18" s="1"/>
  <c r="P121" i="18"/>
  <c r="M145" i="18"/>
  <c r="M150" i="18"/>
  <c r="O152" i="18"/>
  <c r="O146" i="18"/>
  <c r="O153" i="18"/>
  <c r="P158" i="18"/>
  <c r="O114" i="18"/>
  <c r="O118" i="18"/>
  <c r="O122" i="18"/>
  <c r="O128" i="18"/>
  <c r="O132" i="18"/>
  <c r="P142" i="18"/>
  <c r="O145" i="18"/>
  <c r="M154" i="18"/>
  <c r="P113" i="18"/>
  <c r="M131" i="18"/>
  <c r="O151" i="18"/>
  <c r="M121" i="18"/>
  <c r="P109" i="18"/>
  <c r="S109" i="18" s="1"/>
  <c r="P114" i="18"/>
  <c r="M122" i="18"/>
  <c r="P140" i="18"/>
  <c r="P152" i="18"/>
  <c r="O113" i="18"/>
  <c r="M127" i="18"/>
  <c r="O115" i="18"/>
  <c r="O119" i="18"/>
  <c r="O125" i="18"/>
  <c r="O129" i="18"/>
  <c r="O133" i="18"/>
  <c r="O143" i="18"/>
  <c r="P150" i="18"/>
  <c r="O155" i="18"/>
  <c r="P117" i="18"/>
  <c r="M147" i="18"/>
  <c r="M117" i="18"/>
  <c r="P115" i="18"/>
  <c r="P119" i="18"/>
  <c r="P125" i="18"/>
  <c r="P129" i="18"/>
  <c r="P133" i="18"/>
  <c r="P138" i="18"/>
  <c r="O141" i="18"/>
  <c r="M158" i="18"/>
  <c r="O126" i="18"/>
  <c r="P141" i="18"/>
  <c r="M116" i="18"/>
  <c r="M120" i="18"/>
  <c r="M126" i="18"/>
  <c r="M130" i="18"/>
  <c r="M134" i="18"/>
  <c r="O139" i="18"/>
  <c r="M141" i="18"/>
  <c r="O144" i="18"/>
  <c r="M156" i="18"/>
  <c r="P155" i="18"/>
  <c r="P132" i="18"/>
  <c r="P128" i="18"/>
  <c r="P122" i="18"/>
  <c r="P118" i="18"/>
  <c r="O142" i="18"/>
  <c r="M139" i="18"/>
  <c r="M146" i="18"/>
  <c r="P151" i="18"/>
  <c r="P145" i="18"/>
  <c r="P131" i="18"/>
  <c r="P127" i="18"/>
  <c r="M159" i="18"/>
  <c r="M140" i="18"/>
  <c r="M144" i="18"/>
  <c r="M157" i="18"/>
  <c r="P134" i="18"/>
  <c r="P130" i="18"/>
  <c r="P126" i="18"/>
  <c r="P120" i="18"/>
  <c r="P116" i="18"/>
  <c r="M138" i="18"/>
  <c r="M153" i="18"/>
  <c r="O158" i="18"/>
  <c r="O150" i="18"/>
  <c r="O140" i="18"/>
  <c r="P147" i="18"/>
  <c r="P143" i="18"/>
  <c r="P88" i="18"/>
  <c r="S88" i="18" s="1"/>
  <c r="M152" i="18"/>
  <c r="M113" i="18"/>
  <c r="M114" i="18"/>
  <c r="O89" i="18"/>
  <c r="R89" i="18" s="1"/>
  <c r="J108" i="18"/>
  <c r="O108" i="18" s="1"/>
  <c r="R108" i="18" s="1"/>
  <c r="K108" i="18"/>
  <c r="J109" i="18"/>
  <c r="O109" i="18" s="1"/>
  <c r="R109" i="18" s="1"/>
  <c r="K107" i="18"/>
  <c r="P107" i="18" s="1"/>
  <c r="S107" i="18" s="1"/>
  <c r="J107" i="18"/>
  <c r="O107" i="18" s="1"/>
  <c r="R107" i="18" s="1"/>
  <c r="J106" i="18"/>
  <c r="O106" i="18" s="1"/>
  <c r="R106" i="18" s="1"/>
  <c r="K106" i="18"/>
  <c r="K105" i="18"/>
  <c r="P105" i="18" s="1"/>
  <c r="S105" i="18" s="1"/>
  <c r="J105" i="18"/>
  <c r="O105" i="18" s="1"/>
  <c r="R105" i="18" s="1"/>
  <c r="J103" i="18"/>
  <c r="O103" i="18" s="1"/>
  <c r="R103" i="18" s="1"/>
  <c r="K103" i="18"/>
  <c r="J104" i="18"/>
  <c r="O104" i="18" s="1"/>
  <c r="R104" i="18" s="1"/>
  <c r="K104" i="18"/>
  <c r="P104" i="18" s="1"/>
  <c r="S104" i="18" s="1"/>
  <c r="K102" i="18"/>
  <c r="P102" i="18" s="1"/>
  <c r="S102" i="18" s="1"/>
  <c r="J102" i="18"/>
  <c r="O102" i="18" s="1"/>
  <c r="R102" i="18" s="1"/>
  <c r="J101" i="18"/>
  <c r="O101" i="18" s="1"/>
  <c r="R101" i="18" s="1"/>
  <c r="K101" i="18"/>
  <c r="K100" i="18"/>
  <c r="P100" i="18" s="1"/>
  <c r="S100" i="18" s="1"/>
  <c r="J100" i="18"/>
  <c r="O100" i="18" s="1"/>
  <c r="R100" i="18" s="1"/>
  <c r="J96" i="18"/>
  <c r="K96" i="18"/>
  <c r="P96" i="18" s="1"/>
  <c r="S96" i="18" s="1"/>
  <c r="J97" i="18"/>
  <c r="O97" i="18" s="1"/>
  <c r="R97" i="18" s="1"/>
  <c r="K97" i="18"/>
  <c r="K95" i="18"/>
  <c r="P95" i="18" s="1"/>
  <c r="S95" i="18" s="1"/>
  <c r="J95" i="18"/>
  <c r="O95" i="18" s="1"/>
  <c r="R95" i="18" s="1"/>
  <c r="J94" i="18"/>
  <c r="O94" i="18" s="1"/>
  <c r="R94" i="18" s="1"/>
  <c r="K94" i="18"/>
  <c r="P94" i="18" s="1"/>
  <c r="S94" i="18" s="1"/>
  <c r="K93" i="18"/>
  <c r="J93" i="18"/>
  <c r="O93" i="18" s="1"/>
  <c r="R93" i="18" s="1"/>
  <c r="J91" i="18"/>
  <c r="O91" i="18" s="1"/>
  <c r="R91" i="18" s="1"/>
  <c r="K91" i="18"/>
  <c r="J92" i="18"/>
  <c r="K92" i="18"/>
  <c r="P92" i="18" s="1"/>
  <c r="S92" i="18" s="1"/>
  <c r="K90" i="18"/>
  <c r="P90" i="18" s="1"/>
  <c r="S90" i="18" s="1"/>
  <c r="J90" i="18"/>
  <c r="O90" i="18" s="1"/>
  <c r="R90" i="18" s="1"/>
  <c r="M89" i="18"/>
  <c r="M88" i="18"/>
  <c r="F108" i="18"/>
  <c r="F109" i="18"/>
  <c r="F107" i="18"/>
  <c r="F106" i="18"/>
  <c r="F105" i="18"/>
  <c r="F103" i="18"/>
  <c r="F104" i="18"/>
  <c r="F102" i="18"/>
  <c r="F101" i="18"/>
  <c r="F100" i="18"/>
  <c r="F96" i="18"/>
  <c r="F97" i="18"/>
  <c r="F95" i="18"/>
  <c r="F94" i="18"/>
  <c r="F93" i="18"/>
  <c r="F91" i="18"/>
  <c r="F92" i="18"/>
  <c r="F90" i="18"/>
  <c r="F89" i="18"/>
  <c r="E26" i="19"/>
  <c r="E25" i="19"/>
  <c r="E29" i="19"/>
  <c r="M5" i="22"/>
  <c r="N5" i="22" s="1"/>
  <c r="AO18" i="23" l="1"/>
  <c r="AO22" i="23" s="1"/>
  <c r="AO28" i="23"/>
  <c r="AO32" i="23" s="1"/>
  <c r="AO27" i="23"/>
  <c r="AO31" i="23" s="1"/>
  <c r="V105" i="18"/>
  <c r="X105" i="18" s="1"/>
  <c r="M44" i="18" s="1"/>
  <c r="P93" i="18"/>
  <c r="S93" i="18" s="1"/>
  <c r="V93" i="18" s="1"/>
  <c r="X93" i="18" s="1"/>
  <c r="L44" i="18" s="1"/>
  <c r="M93" i="18"/>
  <c r="V89" i="18"/>
  <c r="X89" i="18" s="1"/>
  <c r="L40" i="18" s="1"/>
  <c r="V109" i="18"/>
  <c r="X109" i="18" s="1"/>
  <c r="M48" i="18" s="1"/>
  <c r="V107" i="18"/>
  <c r="X107" i="18" s="1"/>
  <c r="M46" i="18" s="1"/>
  <c r="V90" i="18"/>
  <c r="X90" i="18" s="1"/>
  <c r="L41" i="18" s="1"/>
  <c r="M104" i="18"/>
  <c r="V100" i="18"/>
  <c r="U104" i="18"/>
  <c r="W104" i="18" s="1"/>
  <c r="I43" i="18" s="1"/>
  <c r="U95" i="18"/>
  <c r="W95" i="18" s="1"/>
  <c r="H46" i="18" s="1"/>
  <c r="U105" i="18"/>
  <c r="W105" i="18" s="1"/>
  <c r="I44" i="18" s="1"/>
  <c r="V95" i="18"/>
  <c r="X95" i="18" s="1"/>
  <c r="L46" i="18" s="1"/>
  <c r="V94" i="18"/>
  <c r="X94" i="18" s="1"/>
  <c r="L45" i="18" s="1"/>
  <c r="V102" i="18"/>
  <c r="X102" i="18" s="1"/>
  <c r="M41" i="18" s="1"/>
  <c r="U91" i="18"/>
  <c r="W91" i="18" s="1"/>
  <c r="H42" i="18" s="1"/>
  <c r="V96" i="18"/>
  <c r="X96" i="18" s="1"/>
  <c r="L47" i="18" s="1"/>
  <c r="V104" i="18"/>
  <c r="X104" i="18" s="1"/>
  <c r="V92" i="18"/>
  <c r="X92" i="18" s="1"/>
  <c r="L43" i="18" s="1"/>
  <c r="M96" i="18"/>
  <c r="O96" i="18"/>
  <c r="R96" i="18" s="1"/>
  <c r="U96" i="18" s="1"/>
  <c r="W96" i="18" s="1"/>
  <c r="U90" i="18"/>
  <c r="W90" i="18" s="1"/>
  <c r="U100" i="18"/>
  <c r="W100" i="18" s="1"/>
  <c r="M103" i="18"/>
  <c r="P103" i="18"/>
  <c r="S103" i="18" s="1"/>
  <c r="V103" i="18" s="1"/>
  <c r="X103" i="18" s="1"/>
  <c r="M42" i="18" s="1"/>
  <c r="U109" i="18"/>
  <c r="W109" i="18" s="1"/>
  <c r="U94" i="18"/>
  <c r="W94" i="18" s="1"/>
  <c r="U103" i="18"/>
  <c r="W103" i="18" s="1"/>
  <c r="I42" i="18" s="1"/>
  <c r="U108" i="18"/>
  <c r="W108" i="18" s="1"/>
  <c r="I47" i="18" s="1"/>
  <c r="V88" i="18"/>
  <c r="X88" i="18" s="1"/>
  <c r="M101" i="18"/>
  <c r="P101" i="18"/>
  <c r="S101" i="18" s="1"/>
  <c r="V101" i="18" s="1"/>
  <c r="X101" i="18" s="1"/>
  <c r="M92" i="18"/>
  <c r="O92" i="18"/>
  <c r="R92" i="18" s="1"/>
  <c r="U92" i="18" s="1"/>
  <c r="W92" i="18" s="1"/>
  <c r="U101" i="18"/>
  <c r="W101" i="18" s="1"/>
  <c r="M109" i="18"/>
  <c r="M91" i="18"/>
  <c r="P91" i="18"/>
  <c r="S91" i="18" s="1"/>
  <c r="V91" i="18" s="1"/>
  <c r="X91" i="18" s="1"/>
  <c r="M97" i="18"/>
  <c r="P97" i="18"/>
  <c r="S97" i="18" s="1"/>
  <c r="V97" i="18" s="1"/>
  <c r="X97" i="18" s="1"/>
  <c r="L48" i="18" s="1"/>
  <c r="U102" i="18"/>
  <c r="W102" i="18" s="1"/>
  <c r="M106" i="18"/>
  <c r="P106" i="18"/>
  <c r="S106" i="18" s="1"/>
  <c r="V106" i="18" s="1"/>
  <c r="X106" i="18" s="1"/>
  <c r="M45" i="18" s="1"/>
  <c r="U89" i="18"/>
  <c r="W89" i="18" s="1"/>
  <c r="U97" i="18"/>
  <c r="W97" i="18" s="1"/>
  <c r="H48" i="18" s="1"/>
  <c r="U106" i="18"/>
  <c r="W106" i="18" s="1"/>
  <c r="I45" i="18" s="1"/>
  <c r="M94" i="18"/>
  <c r="U93" i="18"/>
  <c r="W93" i="18" s="1"/>
  <c r="U107" i="18"/>
  <c r="W107" i="18" s="1"/>
  <c r="M108" i="18"/>
  <c r="P108" i="18"/>
  <c r="S108" i="18" s="1"/>
  <c r="M107" i="18"/>
  <c r="M105" i="18"/>
  <c r="M102" i="18"/>
  <c r="M100" i="18"/>
  <c r="M95" i="18"/>
  <c r="M90" i="18"/>
  <c r="E27" i="19"/>
  <c r="X100" i="18" l="1"/>
  <c r="X110" i="18" s="1"/>
  <c r="W110" i="18"/>
  <c r="X99" i="18"/>
  <c r="AO30" i="23"/>
  <c r="AO34" i="23" s="1"/>
  <c r="AO37" i="23" s="1"/>
  <c r="M40" i="18"/>
  <c r="L39" i="18"/>
  <c r="I40" i="18"/>
  <c r="Z95" i="18"/>
  <c r="Z105" i="18"/>
  <c r="Z104" i="18"/>
  <c r="M43" i="18"/>
  <c r="Z109" i="18"/>
  <c r="I48" i="18"/>
  <c r="I39" i="18"/>
  <c r="Z107" i="18"/>
  <c r="I46" i="18"/>
  <c r="Z102" i="18"/>
  <c r="I41" i="18"/>
  <c r="Z91" i="18"/>
  <c r="L42" i="18"/>
  <c r="Z96" i="18"/>
  <c r="H47" i="18"/>
  <c r="Z94" i="18"/>
  <c r="H45" i="18"/>
  <c r="Z90" i="18"/>
  <c r="H41" i="18"/>
  <c r="Z92" i="18"/>
  <c r="H43" i="18"/>
  <c r="Z89" i="18"/>
  <c r="H40" i="18"/>
  <c r="Z93" i="18"/>
  <c r="H44" i="18"/>
  <c r="Z97" i="18"/>
  <c r="Z101" i="18"/>
  <c r="Z103" i="18"/>
  <c r="Z106" i="18"/>
  <c r="V108" i="18"/>
  <c r="X108" i="18" s="1"/>
  <c r="M5" i="13"/>
  <c r="N5" i="13" s="1"/>
  <c r="O5" i="13" s="1"/>
  <c r="M5" i="11"/>
  <c r="N5" i="11" s="1"/>
  <c r="O5" i="11" s="1"/>
  <c r="P5" i="11" s="1"/>
  <c r="Q5" i="11" s="1"/>
  <c r="R5" i="11" s="1"/>
  <c r="S5" i="11" s="1"/>
  <c r="T5" i="11" s="1"/>
  <c r="U5" i="11" s="1"/>
  <c r="V5" i="11" s="1"/>
  <c r="W5" i="11" s="1"/>
  <c r="X5" i="11" s="1"/>
  <c r="Y5" i="11" s="1"/>
  <c r="Z5" i="11" s="1"/>
  <c r="AA5" i="11" s="1"/>
  <c r="AB5" i="11" s="1"/>
  <c r="AC5" i="11" s="1"/>
  <c r="AD5" i="11" s="1"/>
  <c r="AE5" i="11" s="1"/>
  <c r="AF5" i="11" s="1"/>
  <c r="AG5" i="11" s="1"/>
  <c r="AH5" i="11" s="1"/>
  <c r="AI5" i="11" s="1"/>
  <c r="AJ5" i="11" s="1"/>
  <c r="AK5" i="11" s="1"/>
  <c r="AL5" i="11" s="1"/>
  <c r="AM5" i="11" s="1"/>
  <c r="AN5" i="11" s="1"/>
  <c r="AO5" i="11" s="1"/>
  <c r="E8" i="19"/>
  <c r="Z100" i="18" l="1"/>
  <c r="M39" i="18"/>
  <c r="Z88" i="18"/>
  <c r="W99" i="18"/>
  <c r="AO38" i="23"/>
  <c r="AO42" i="23"/>
  <c r="AO39" i="23"/>
  <c r="L49" i="18"/>
  <c r="H39" i="18"/>
  <c r="H49" i="18" s="1"/>
  <c r="I49" i="18"/>
  <c r="Z108" i="18"/>
  <c r="M47" i="18"/>
  <c r="M49" i="18" s="1"/>
  <c r="H50" i="18" l="1"/>
  <c r="L50" i="18"/>
  <c r="AJ29" i="22"/>
  <c r="AK29" i="22"/>
  <c r="AL29" i="22"/>
  <c r="AI29" i="22" l="1"/>
  <c r="AM29" i="22"/>
  <c r="AG29" i="22" l="1"/>
  <c r="E39" i="19" l="1"/>
  <c r="E33" i="7" l="1"/>
  <c r="F33" i="7"/>
  <c r="G33" i="7"/>
  <c r="H33" i="7"/>
  <c r="I33" i="7"/>
  <c r="J33" i="7"/>
  <c r="K33" i="7"/>
  <c r="L33" i="7"/>
  <c r="M33" i="7"/>
  <c r="N33" i="7"/>
  <c r="O33" i="7"/>
  <c r="P33" i="7"/>
  <c r="Q33" i="7"/>
  <c r="R33" i="7"/>
  <c r="S33" i="7"/>
  <c r="T33" i="7"/>
  <c r="U33" i="7"/>
  <c r="V33" i="7"/>
  <c r="W33" i="7"/>
  <c r="X33" i="7"/>
  <c r="Y33" i="7"/>
  <c r="Z33" i="7"/>
  <c r="AA33" i="7"/>
  <c r="AB33" i="7"/>
  <c r="AC33" i="7"/>
  <c r="AD33" i="7"/>
  <c r="D33" i="7"/>
  <c r="F28" i="23" l="1"/>
  <c r="F32" i="23" s="1"/>
  <c r="D29" i="22"/>
  <c r="E29" i="22"/>
  <c r="C10" i="22"/>
  <c r="E6" i="22"/>
  <c r="E25" i="22" s="1"/>
  <c r="E47" i="7" s="1"/>
  <c r="E7" i="22"/>
  <c r="E26" i="22" s="1"/>
  <c r="E61" i="7" s="1"/>
  <c r="D7" i="22"/>
  <c r="D26" i="22" s="1"/>
  <c r="D61" i="7" s="1"/>
  <c r="D6" i="22"/>
  <c r="D25" i="22" s="1"/>
  <c r="D47" i="7" l="1"/>
  <c r="G27" i="23"/>
  <c r="G31" i="23" s="1"/>
  <c r="F27" i="23"/>
  <c r="F31" i="23" s="1"/>
  <c r="G28" i="23" l="1"/>
  <c r="G32" i="23" s="1"/>
  <c r="H27" i="23"/>
  <c r="H31" i="23" s="1"/>
  <c r="AH29" i="22"/>
  <c r="B10" i="23"/>
  <c r="B9" i="23"/>
  <c r="E7" i="23"/>
  <c r="D7" i="23"/>
  <c r="E6" i="23"/>
  <c r="D6" i="23"/>
  <c r="F7" i="23"/>
  <c r="E6" i="13"/>
  <c r="E7" i="13"/>
  <c r="D7" i="13"/>
  <c r="D6" i="13"/>
  <c r="G36" i="20"/>
  <c r="I20" i="20"/>
  <c r="I21" i="20"/>
  <c r="I22" i="20"/>
  <c r="I23" i="20"/>
  <c r="I24" i="20"/>
  <c r="I25" i="20"/>
  <c r="I26" i="20"/>
  <c r="I27" i="20"/>
  <c r="I28" i="20"/>
  <c r="G38" i="20"/>
  <c r="G37" i="20"/>
  <c r="B17" i="20"/>
  <c r="H28" i="23" l="1"/>
  <c r="H32" i="23" s="1"/>
  <c r="I28" i="23"/>
  <c r="I32" i="23" s="1"/>
  <c r="AN29" i="22"/>
  <c r="B18" i="20"/>
  <c r="G39" i="20"/>
  <c r="G69" i="20" s="1"/>
  <c r="AC29" i="22"/>
  <c r="AB29" i="22"/>
  <c r="AF29" i="22"/>
  <c r="F6" i="23"/>
  <c r="AD29" i="22"/>
  <c r="I27" i="23" l="1"/>
  <c r="I31" i="23" s="1"/>
  <c r="J28" i="23"/>
  <c r="J32" i="23" s="1"/>
  <c r="I17" i="20"/>
  <c r="B19" i="20"/>
  <c r="G7" i="23"/>
  <c r="G6" i="23"/>
  <c r="K27" i="23" l="1"/>
  <c r="K31" i="23" s="1"/>
  <c r="J27" i="23"/>
  <c r="J31" i="23" s="1"/>
  <c r="I19" i="20"/>
  <c r="I18" i="20"/>
  <c r="G29" i="20"/>
  <c r="G31" i="20" s="1"/>
  <c r="H6" i="23"/>
  <c r="H7" i="23"/>
  <c r="K28" i="23" l="1"/>
  <c r="K32" i="23" s="1"/>
  <c r="I6" i="23"/>
  <c r="I7" i="23"/>
  <c r="L31" i="23" l="1"/>
  <c r="M28" i="23"/>
  <c r="M32" i="23" s="1"/>
  <c r="M27" i="23"/>
  <c r="M31" i="23" s="1"/>
  <c r="J6" i="23"/>
  <c r="J7" i="23"/>
  <c r="L28" i="23" l="1"/>
  <c r="L32" i="23" s="1"/>
  <c r="N28" i="23"/>
  <c r="N32" i="23" s="1"/>
  <c r="N27" i="23"/>
  <c r="N31" i="23" s="1"/>
  <c r="K6" i="23"/>
  <c r="K7" i="23"/>
  <c r="O27" i="23" l="1"/>
  <c r="O31" i="23" s="1"/>
  <c r="O28" i="23"/>
  <c r="O32" i="23" s="1"/>
  <c r="L6" i="23"/>
  <c r="L7" i="23"/>
  <c r="P28" i="23" l="1"/>
  <c r="P32" i="23" s="1"/>
  <c r="P27" i="23"/>
  <c r="P31" i="23" s="1"/>
  <c r="M7" i="23"/>
  <c r="M6" i="23"/>
  <c r="Q28" i="23" l="1"/>
  <c r="Q32" i="23" s="1"/>
  <c r="Q27" i="23"/>
  <c r="Q31" i="23" s="1"/>
  <c r="N7" i="23"/>
  <c r="N6" i="23"/>
  <c r="R28" i="23" l="1"/>
  <c r="R32" i="23" s="1"/>
  <c r="R27" i="23"/>
  <c r="R31" i="23" s="1"/>
  <c r="O7" i="23"/>
  <c r="O6" i="23"/>
  <c r="S27" i="23" l="1"/>
  <c r="S31" i="23" s="1"/>
  <c r="S28" i="23"/>
  <c r="S32" i="23" s="1"/>
  <c r="P6" i="23"/>
  <c r="P7" i="23"/>
  <c r="T27" i="23" l="1"/>
  <c r="T31" i="23" s="1"/>
  <c r="T28" i="23"/>
  <c r="T32" i="23" s="1"/>
  <c r="Q7" i="23"/>
  <c r="Q6" i="23"/>
  <c r="U27" i="23" l="1"/>
  <c r="U31" i="23" s="1"/>
  <c r="U28" i="23"/>
  <c r="U32" i="23" s="1"/>
  <c r="R6" i="23"/>
  <c r="R7" i="23"/>
  <c r="V28" i="23" l="1"/>
  <c r="V32" i="23" s="1"/>
  <c r="V27" i="23"/>
  <c r="V31" i="23" s="1"/>
  <c r="S6" i="23"/>
  <c r="S7" i="23"/>
  <c r="W27" i="23" l="1"/>
  <c r="W31" i="23" s="1"/>
  <c r="W28" i="23"/>
  <c r="W32" i="23" s="1"/>
  <c r="T6" i="23"/>
  <c r="T7" i="23"/>
  <c r="X27" i="23" l="1"/>
  <c r="X31" i="23" s="1"/>
  <c r="X28" i="23"/>
  <c r="X32" i="23" s="1"/>
  <c r="U7" i="23"/>
  <c r="U6" i="23"/>
  <c r="Y28" i="23" l="1"/>
  <c r="Y32" i="23" s="1"/>
  <c r="Y27" i="23"/>
  <c r="Y31" i="23" s="1"/>
  <c r="V7" i="23"/>
  <c r="V6" i="23"/>
  <c r="Z28" i="23" l="1"/>
  <c r="Z32" i="23" s="1"/>
  <c r="Z27" i="23"/>
  <c r="Z31" i="23" s="1"/>
  <c r="W7" i="23"/>
  <c r="W6" i="23"/>
  <c r="AA28" i="23" l="1"/>
  <c r="AA32" i="23" s="1"/>
  <c r="AA27" i="23"/>
  <c r="AA31" i="23" s="1"/>
  <c r="X6" i="23"/>
  <c r="X7" i="23"/>
  <c r="AB28" i="23" l="1"/>
  <c r="AB32" i="23" s="1"/>
  <c r="AB27" i="23"/>
  <c r="AB31" i="23" s="1"/>
  <c r="Y6" i="23"/>
  <c r="Y7" i="23"/>
  <c r="AC28" i="23" l="1"/>
  <c r="AC32" i="23" s="1"/>
  <c r="AC27" i="23"/>
  <c r="AC31" i="23" s="1"/>
  <c r="Z6" i="23"/>
  <c r="Z7" i="23"/>
  <c r="AD28" i="23" l="1"/>
  <c r="AD32" i="23" s="1"/>
  <c r="AD27" i="23"/>
  <c r="AD31" i="23" s="1"/>
  <c r="AA6" i="23"/>
  <c r="AA7" i="23"/>
  <c r="AE27" i="23" l="1"/>
  <c r="AE31" i="23" s="1"/>
  <c r="AE28" i="23"/>
  <c r="AE32" i="23" s="1"/>
  <c r="AB6" i="23"/>
  <c r="AB7" i="23"/>
  <c r="AF27" i="23" l="1"/>
  <c r="AF31" i="23" s="1"/>
  <c r="AF28" i="23"/>
  <c r="AF32" i="23" s="1"/>
  <c r="AC7" i="23"/>
  <c r="AC6" i="23"/>
  <c r="AG28" i="23" l="1"/>
  <c r="AG32" i="23" s="1"/>
  <c r="AG27" i="23"/>
  <c r="AG31" i="23" s="1"/>
  <c r="AD7" i="23"/>
  <c r="AD6" i="23"/>
  <c r="AH28" i="23" l="1"/>
  <c r="AH32" i="23" s="1"/>
  <c r="AH27" i="23"/>
  <c r="AH31" i="23" s="1"/>
  <c r="AG15" i="23"/>
  <c r="AG19" i="23" s="1"/>
  <c r="AG16" i="23"/>
  <c r="AG20" i="23" s="1"/>
  <c r="AE7" i="23"/>
  <c r="AE6" i="23"/>
  <c r="AG6" i="23" l="1"/>
  <c r="AG7" i="23"/>
  <c r="AG30" i="23"/>
  <c r="AG34" i="23" s="1"/>
  <c r="AG18" i="23"/>
  <c r="AG22" i="23" s="1"/>
  <c r="AH16" i="23"/>
  <c r="AH20" i="23" s="1"/>
  <c r="AH15" i="23"/>
  <c r="AH19" i="23" s="1"/>
  <c r="AF6" i="23"/>
  <c r="AF7" i="23"/>
  <c r="AH6" i="23" l="1"/>
  <c r="AH7" i="23"/>
  <c r="AI27" i="23"/>
  <c r="AI31" i="23" s="1"/>
  <c r="AI28" i="23"/>
  <c r="AI32" i="23" s="1"/>
  <c r="AI15" i="23"/>
  <c r="AI19" i="23" s="1"/>
  <c r="AI16" i="23"/>
  <c r="AI20" i="23" s="1"/>
  <c r="AG37" i="23"/>
  <c r="AI6" i="23" l="1"/>
  <c r="AI7" i="23"/>
  <c r="AJ16" i="23"/>
  <c r="AJ20" i="23" s="1"/>
  <c r="AJ15" i="23"/>
  <c r="AJ19" i="23" s="1"/>
  <c r="AI18" i="23"/>
  <c r="AI22" i="23" s="1"/>
  <c r="AJ27" i="23"/>
  <c r="AJ31" i="23" s="1"/>
  <c r="AJ28" i="23"/>
  <c r="AJ32" i="23" s="1"/>
  <c r="AI30" i="23"/>
  <c r="AI34" i="23" s="1"/>
  <c r="AH30" i="23"/>
  <c r="AH34" i="23" s="1"/>
  <c r="AG38" i="23"/>
  <c r="AG42" i="23"/>
  <c r="AG39" i="23"/>
  <c r="AH18" i="23"/>
  <c r="AH22" i="23" s="1"/>
  <c r="B10" i="13"/>
  <c r="B9" i="13"/>
  <c r="AJ6" i="23" l="1"/>
  <c r="AJ7" i="23"/>
  <c r="AH37" i="23"/>
  <c r="AH42" i="23" s="1"/>
  <c r="AJ18" i="23"/>
  <c r="AJ22" i="23" s="1"/>
  <c r="AJ30" i="23"/>
  <c r="AJ34" i="23" s="1"/>
  <c r="AI37" i="23"/>
  <c r="AK15" i="23"/>
  <c r="AK19" i="23" s="1"/>
  <c r="AK16" i="23"/>
  <c r="AK20" i="23" s="1"/>
  <c r="AK28" i="23"/>
  <c r="AK32" i="23" s="1"/>
  <c r="AK27" i="23"/>
  <c r="AK31" i="23" s="1"/>
  <c r="O5" i="22"/>
  <c r="P5" i="22" s="1"/>
  <c r="Q5" i="22" s="1"/>
  <c r="R5" i="22" s="1"/>
  <c r="S5" i="22" s="1"/>
  <c r="T5" i="22" s="1"/>
  <c r="U5" i="22" s="1"/>
  <c r="V5" i="22" s="1"/>
  <c r="W5" i="22" s="1"/>
  <c r="X5" i="22" s="1"/>
  <c r="Y5" i="22" s="1"/>
  <c r="Z5" i="22" s="1"/>
  <c r="AA5" i="22" s="1"/>
  <c r="AB5" i="22" s="1"/>
  <c r="AC5" i="22" s="1"/>
  <c r="AD5" i="22" s="1"/>
  <c r="AE5" i="22" s="1"/>
  <c r="AF5" i="22" s="1"/>
  <c r="AG5" i="22" s="1"/>
  <c r="AH5" i="22" s="1"/>
  <c r="AI5" i="22" s="1"/>
  <c r="AJ5" i="22" s="1"/>
  <c r="AK5" i="22" s="1"/>
  <c r="AL5" i="22" s="1"/>
  <c r="AM5" i="22" s="1"/>
  <c r="AN5" i="22" s="1"/>
  <c r="AO5" i="22" s="1"/>
  <c r="AH38" i="23" l="1"/>
  <c r="AH39" i="23"/>
  <c r="AJ37" i="23"/>
  <c r="AK7" i="23"/>
  <c r="AK6" i="23"/>
  <c r="AL27" i="23"/>
  <c r="AL31" i="23" s="1"/>
  <c r="AL28" i="23"/>
  <c r="AL32" i="23" s="1"/>
  <c r="AK18" i="23"/>
  <c r="AK22" i="23" s="1"/>
  <c r="AI39" i="23"/>
  <c r="AI42" i="23"/>
  <c r="AI38" i="23"/>
  <c r="AL15" i="23"/>
  <c r="AL19" i="23" s="1"/>
  <c r="AL16" i="23"/>
  <c r="AL20" i="23" s="1"/>
  <c r="AK30" i="23"/>
  <c r="AK34" i="23" s="1"/>
  <c r="F6" i="22"/>
  <c r="F7" i="22"/>
  <c r="AJ39" i="23" l="1"/>
  <c r="AJ38" i="23"/>
  <c r="AJ42" i="23"/>
  <c r="AL6" i="23"/>
  <c r="AL7" i="23"/>
  <c r="AK37" i="23"/>
  <c r="AM28" i="23"/>
  <c r="AM32" i="23" s="1"/>
  <c r="AM27" i="23"/>
  <c r="AM31" i="23" s="1"/>
  <c r="AL30" i="23"/>
  <c r="AL34" i="23" s="1"/>
  <c r="AL18" i="23"/>
  <c r="AL22" i="23" s="1"/>
  <c r="AM16" i="23"/>
  <c r="AM20" i="23" s="1"/>
  <c r="AM15" i="23"/>
  <c r="AM19" i="23" s="1"/>
  <c r="G6" i="22"/>
  <c r="G7" i="22"/>
  <c r="AM6" i="23" l="1"/>
  <c r="AM7" i="23"/>
  <c r="AM18" i="23"/>
  <c r="AM22" i="23" s="1"/>
  <c r="AM30" i="23"/>
  <c r="AM34" i="23" s="1"/>
  <c r="AN27" i="23"/>
  <c r="AN31" i="23" s="1"/>
  <c r="AN28" i="23"/>
  <c r="AN32" i="23" s="1"/>
  <c r="AL37" i="23"/>
  <c r="AN15" i="23"/>
  <c r="AN19" i="23" s="1"/>
  <c r="AN16" i="23"/>
  <c r="AN20" i="23" s="1"/>
  <c r="AK39" i="23"/>
  <c r="AK38" i="23"/>
  <c r="AK42" i="23"/>
  <c r="H7" i="22"/>
  <c r="H6" i="22"/>
  <c r="AN7" i="23" l="1"/>
  <c r="AN6" i="23"/>
  <c r="AM37" i="23"/>
  <c r="AN18" i="23"/>
  <c r="AN22" i="23" s="1"/>
  <c r="AL42" i="23"/>
  <c r="AL38" i="23"/>
  <c r="AL39" i="23"/>
  <c r="AN30" i="23"/>
  <c r="AN34" i="23" s="1"/>
  <c r="I7" i="22"/>
  <c r="I6" i="22"/>
  <c r="AN37" i="23" l="1"/>
  <c r="AM38" i="23"/>
  <c r="AM39" i="23"/>
  <c r="AM42" i="23"/>
  <c r="J7" i="22"/>
  <c r="J6" i="22"/>
  <c r="AN42" i="23" l="1"/>
  <c r="AN38" i="23"/>
  <c r="AN39" i="23"/>
  <c r="K7" i="22"/>
  <c r="K6" i="22"/>
  <c r="L6" i="22" l="1"/>
  <c r="L7" i="22"/>
  <c r="M6" i="22" l="1"/>
  <c r="M7" i="22"/>
  <c r="N6" i="22" l="1"/>
  <c r="N7" i="22"/>
  <c r="O6" i="22" l="1"/>
  <c r="O7" i="22"/>
  <c r="P6" i="22" l="1"/>
  <c r="P7" i="22"/>
  <c r="Q7" i="22" l="1"/>
  <c r="Q6" i="22"/>
  <c r="R7" i="22" l="1"/>
  <c r="R6" i="22"/>
  <c r="S7" i="22" l="1"/>
  <c r="S6" i="22"/>
  <c r="T7" i="22" l="1"/>
  <c r="T6" i="22"/>
  <c r="U6" i="22" l="1"/>
  <c r="U7" i="22"/>
  <c r="V6" i="22" l="1"/>
  <c r="V7" i="22"/>
  <c r="W6" i="22" l="1"/>
  <c r="W7" i="22"/>
  <c r="X6" i="22" l="1"/>
  <c r="X7" i="22"/>
  <c r="Y6" i="22" l="1"/>
  <c r="Y7" i="22"/>
  <c r="Z7" i="22" l="1"/>
  <c r="Z6" i="22"/>
  <c r="AA7" i="22" l="1"/>
  <c r="AA6" i="22"/>
  <c r="AC7" i="22" l="1"/>
  <c r="AC26" i="22" s="1"/>
  <c r="AC61" i="7" s="1"/>
  <c r="AC6" i="22"/>
  <c r="AC25" i="22" s="1"/>
  <c r="AC47" i="7" s="1"/>
  <c r="AB7" i="22"/>
  <c r="AB26" i="22" s="1"/>
  <c r="AB61" i="7" s="1"/>
  <c r="AB6" i="22"/>
  <c r="AB25" i="22" s="1"/>
  <c r="AB47" i="7" s="1"/>
  <c r="AD6" i="22" l="1"/>
  <c r="AD25" i="22" s="1"/>
  <c r="AD47" i="7" s="1"/>
  <c r="AD7" i="22"/>
  <c r="AD26" i="22" s="1"/>
  <c r="AD61" i="7" s="1"/>
  <c r="AE6" i="22" l="1"/>
  <c r="AE7" i="22"/>
  <c r="AG6" i="22" l="1"/>
  <c r="AG25" i="22" s="1"/>
  <c r="AG7" i="22"/>
  <c r="AG26" i="22" s="1"/>
  <c r="AF6" i="22"/>
  <c r="AF7" i="22"/>
  <c r="F81" i="18"/>
  <c r="F79" i="18"/>
  <c r="R134" i="18" s="1"/>
  <c r="R145" i="18" l="1"/>
  <c r="U145" i="18" s="1"/>
  <c r="W145" i="18" s="1"/>
  <c r="H72" i="18" s="1"/>
  <c r="R142" i="18"/>
  <c r="U142" i="18" s="1"/>
  <c r="W142" i="18" s="1"/>
  <c r="H69" i="18" s="1"/>
  <c r="S146" i="18"/>
  <c r="V146" i="18" s="1"/>
  <c r="X146" i="18" s="1"/>
  <c r="L73" i="18" s="1"/>
  <c r="S152" i="18"/>
  <c r="V152" i="18" s="1"/>
  <c r="X152" i="18" s="1"/>
  <c r="M67" i="18" s="1"/>
  <c r="S156" i="18"/>
  <c r="V156" i="18" s="1"/>
  <c r="X156" i="18" s="1"/>
  <c r="M71" i="18" s="1"/>
  <c r="R138" i="18"/>
  <c r="U138" i="18" s="1"/>
  <c r="W138" i="18" s="1"/>
  <c r="R152" i="18"/>
  <c r="U152" i="18" s="1"/>
  <c r="W152" i="18" s="1"/>
  <c r="S138" i="18"/>
  <c r="V138" i="18" s="1"/>
  <c r="X138" i="18" s="1"/>
  <c r="S142" i="18"/>
  <c r="V142" i="18" s="1"/>
  <c r="X142" i="18" s="1"/>
  <c r="L69" i="18" s="1"/>
  <c r="R147" i="18"/>
  <c r="U147" i="18" s="1"/>
  <c r="W147" i="18" s="1"/>
  <c r="H74" i="18" s="1"/>
  <c r="R153" i="18"/>
  <c r="U153" i="18" s="1"/>
  <c r="W153" i="18" s="1"/>
  <c r="I68" i="18" s="1"/>
  <c r="R157" i="18"/>
  <c r="U157" i="18" s="1"/>
  <c r="W157" i="18" s="1"/>
  <c r="I72" i="18" s="1"/>
  <c r="S141" i="18"/>
  <c r="V141" i="18" s="1"/>
  <c r="X141" i="18" s="1"/>
  <c r="L68" i="18" s="1"/>
  <c r="R139" i="18"/>
  <c r="U139" i="18" s="1"/>
  <c r="W139" i="18" s="1"/>
  <c r="H66" i="18" s="1"/>
  <c r="R143" i="18"/>
  <c r="U143" i="18" s="1"/>
  <c r="W143" i="18" s="1"/>
  <c r="S147" i="18"/>
  <c r="V147" i="18" s="1"/>
  <c r="X147" i="18" s="1"/>
  <c r="L74" i="18" s="1"/>
  <c r="S153" i="18"/>
  <c r="V153" i="18" s="1"/>
  <c r="X153" i="18" s="1"/>
  <c r="M68" i="18" s="1"/>
  <c r="S157" i="18"/>
  <c r="V157" i="18" s="1"/>
  <c r="X157" i="18" s="1"/>
  <c r="M72" i="18" s="1"/>
  <c r="S139" i="18"/>
  <c r="V139" i="18" s="1"/>
  <c r="X139" i="18" s="1"/>
  <c r="L66" i="18" s="1"/>
  <c r="S143" i="18"/>
  <c r="V143" i="18" s="1"/>
  <c r="X143" i="18" s="1"/>
  <c r="L70" i="18" s="1"/>
  <c r="R150" i="18"/>
  <c r="U150" i="18" s="1"/>
  <c r="W150" i="18" s="1"/>
  <c r="R154" i="18"/>
  <c r="U154" i="18" s="1"/>
  <c r="W154" i="18" s="1"/>
  <c r="I69" i="18" s="1"/>
  <c r="R158" i="18"/>
  <c r="U158" i="18" s="1"/>
  <c r="W158" i="18" s="1"/>
  <c r="I73" i="18" s="1"/>
  <c r="R156" i="18"/>
  <c r="U156" i="18" s="1"/>
  <c r="W156" i="18" s="1"/>
  <c r="I71" i="18" s="1"/>
  <c r="R140" i="18"/>
  <c r="U140" i="18" s="1"/>
  <c r="W140" i="18" s="1"/>
  <c r="H67" i="18" s="1"/>
  <c r="R144" i="18"/>
  <c r="U144" i="18" s="1"/>
  <c r="W144" i="18" s="1"/>
  <c r="H71" i="18" s="1"/>
  <c r="S150" i="18"/>
  <c r="V150" i="18" s="1"/>
  <c r="X150" i="18" s="1"/>
  <c r="S154" i="18"/>
  <c r="V154" i="18" s="1"/>
  <c r="X154" i="18" s="1"/>
  <c r="M69" i="18" s="1"/>
  <c r="S158" i="18"/>
  <c r="V158" i="18" s="1"/>
  <c r="X158" i="18" s="1"/>
  <c r="M73" i="18" s="1"/>
  <c r="R141" i="18"/>
  <c r="U141" i="18" s="1"/>
  <c r="W141" i="18" s="1"/>
  <c r="H68" i="18" s="1"/>
  <c r="S151" i="18"/>
  <c r="V151" i="18" s="1"/>
  <c r="X151" i="18" s="1"/>
  <c r="M66" i="18" s="1"/>
  <c r="S159" i="18"/>
  <c r="V159" i="18" s="1"/>
  <c r="X159" i="18" s="1"/>
  <c r="M74" i="18" s="1"/>
  <c r="R146" i="18"/>
  <c r="U146" i="18" s="1"/>
  <c r="W146" i="18" s="1"/>
  <c r="H73" i="18" s="1"/>
  <c r="S140" i="18"/>
  <c r="V140" i="18" s="1"/>
  <c r="X140" i="18" s="1"/>
  <c r="L67" i="18" s="1"/>
  <c r="S144" i="18"/>
  <c r="V144" i="18" s="1"/>
  <c r="X144" i="18" s="1"/>
  <c r="L71" i="18" s="1"/>
  <c r="R151" i="18"/>
  <c r="U151" i="18" s="1"/>
  <c r="W151" i="18" s="1"/>
  <c r="I66" i="18" s="1"/>
  <c r="R155" i="18"/>
  <c r="U155" i="18" s="1"/>
  <c r="W155" i="18" s="1"/>
  <c r="R159" i="18"/>
  <c r="U159" i="18" s="1"/>
  <c r="W159" i="18" s="1"/>
  <c r="S145" i="18"/>
  <c r="V145" i="18" s="1"/>
  <c r="X145" i="18" s="1"/>
  <c r="L72" i="18" s="1"/>
  <c r="S155" i="18"/>
  <c r="V155" i="18" s="1"/>
  <c r="X155" i="18" s="1"/>
  <c r="M70" i="18" s="1"/>
  <c r="R115" i="18"/>
  <c r="U115" i="18" s="1"/>
  <c r="W115" i="18" s="1"/>
  <c r="H54" i="18" s="1"/>
  <c r="R119" i="18"/>
  <c r="U119" i="18" s="1"/>
  <c r="W119" i="18" s="1"/>
  <c r="H58" i="18" s="1"/>
  <c r="R125" i="18"/>
  <c r="U125" i="18" s="1"/>
  <c r="W125" i="18" s="1"/>
  <c r="R129" i="18"/>
  <c r="U129" i="18" s="1"/>
  <c r="W129" i="18" s="1"/>
  <c r="I56" i="18" s="1"/>
  <c r="R133" i="18"/>
  <c r="U133" i="18" s="1"/>
  <c r="W133" i="18" s="1"/>
  <c r="I60" i="18" s="1"/>
  <c r="S128" i="18"/>
  <c r="S115" i="18"/>
  <c r="S119" i="18"/>
  <c r="S125" i="18"/>
  <c r="S129" i="18"/>
  <c r="S133" i="18"/>
  <c r="R116" i="18"/>
  <c r="U116" i="18" s="1"/>
  <c r="W116" i="18" s="1"/>
  <c r="H55" i="18" s="1"/>
  <c r="R120" i="18"/>
  <c r="U120" i="18" s="1"/>
  <c r="W120" i="18" s="1"/>
  <c r="H59" i="18" s="1"/>
  <c r="R126" i="18"/>
  <c r="U126" i="18" s="1"/>
  <c r="W126" i="18" s="1"/>
  <c r="I53" i="18" s="1"/>
  <c r="R130" i="18"/>
  <c r="U130" i="18" s="1"/>
  <c r="W130" i="18" s="1"/>
  <c r="I57" i="18" s="1"/>
  <c r="U134" i="18"/>
  <c r="W134" i="18" s="1"/>
  <c r="I61" i="18" s="1"/>
  <c r="S116" i="18"/>
  <c r="S120" i="18"/>
  <c r="S126" i="18"/>
  <c r="S130" i="18"/>
  <c r="S134" i="18"/>
  <c r="R117" i="18"/>
  <c r="U117" i="18" s="1"/>
  <c r="W117" i="18" s="1"/>
  <c r="H56" i="18" s="1"/>
  <c r="R121" i="18"/>
  <c r="U121" i="18" s="1"/>
  <c r="W121" i="18" s="1"/>
  <c r="H60" i="18" s="1"/>
  <c r="R127" i="18"/>
  <c r="U127" i="18" s="1"/>
  <c r="W127" i="18" s="1"/>
  <c r="I54" i="18" s="1"/>
  <c r="R131" i="18"/>
  <c r="U131" i="18" s="1"/>
  <c r="W131" i="18" s="1"/>
  <c r="I58" i="18" s="1"/>
  <c r="S113" i="18"/>
  <c r="S132" i="18"/>
  <c r="S117" i="18"/>
  <c r="S121" i="18"/>
  <c r="S127" i="18"/>
  <c r="S131" i="18"/>
  <c r="R113" i="18"/>
  <c r="U113" i="18" s="1"/>
  <c r="W113" i="18" s="1"/>
  <c r="S114" i="18"/>
  <c r="S122" i="18"/>
  <c r="R114" i="18"/>
  <c r="U114" i="18" s="1"/>
  <c r="W114" i="18" s="1"/>
  <c r="H53" i="18" s="1"/>
  <c r="R118" i="18"/>
  <c r="U118" i="18" s="1"/>
  <c r="W118" i="18" s="1"/>
  <c r="H57" i="18" s="1"/>
  <c r="R122" i="18"/>
  <c r="U122" i="18" s="1"/>
  <c r="W122" i="18" s="1"/>
  <c r="H61" i="18" s="1"/>
  <c r="R128" i="18"/>
  <c r="U128" i="18" s="1"/>
  <c r="W128" i="18" s="1"/>
  <c r="I55" i="18" s="1"/>
  <c r="R132" i="18"/>
  <c r="U132" i="18" s="1"/>
  <c r="W132" i="18" s="1"/>
  <c r="I59" i="18" s="1"/>
  <c r="S118" i="18"/>
  <c r="AF26" i="22"/>
  <c r="AF25" i="22"/>
  <c r="AH6" i="22"/>
  <c r="AH25" i="22" s="1"/>
  <c r="AH7" i="22"/>
  <c r="AH26" i="22" s="1"/>
  <c r="W160" i="18" l="1"/>
  <c r="L65" i="18"/>
  <c r="X148" i="18"/>
  <c r="I52" i="18"/>
  <c r="I62" i="18" s="1"/>
  <c r="W135" i="18"/>
  <c r="W148" i="18"/>
  <c r="H52" i="18"/>
  <c r="H62" i="18" s="1"/>
  <c r="W123" i="18"/>
  <c r="M65" i="18"/>
  <c r="X160" i="18"/>
  <c r="Z143" i="18"/>
  <c r="H70" i="18"/>
  <c r="Z152" i="18"/>
  <c r="I67" i="18"/>
  <c r="Z159" i="18"/>
  <c r="I74" i="18"/>
  <c r="Z138" i="18"/>
  <c r="H65" i="18"/>
  <c r="Z155" i="18"/>
  <c r="I70" i="18"/>
  <c r="Z150" i="18"/>
  <c r="I65" i="18"/>
  <c r="M75" i="18"/>
  <c r="L75" i="18"/>
  <c r="Z141" i="18"/>
  <c r="Z147" i="18"/>
  <c r="Z158" i="18"/>
  <c r="Z153" i="18"/>
  <c r="Z139" i="18"/>
  <c r="Z157" i="18"/>
  <c r="Z146" i="18"/>
  <c r="V121" i="18"/>
  <c r="X121" i="18" s="1"/>
  <c r="V134" i="18"/>
  <c r="X134" i="18" s="1"/>
  <c r="Z154" i="18"/>
  <c r="V117" i="18"/>
  <c r="X117" i="18" s="1"/>
  <c r="V130" i="18"/>
  <c r="X130" i="18" s="1"/>
  <c r="V132" i="18"/>
  <c r="X132" i="18" s="1"/>
  <c r="Z151" i="18"/>
  <c r="V128" i="18"/>
  <c r="X128" i="18" s="1"/>
  <c r="V133" i="18"/>
  <c r="X133" i="18" s="1"/>
  <c r="V122" i="18"/>
  <c r="X122" i="18" s="1"/>
  <c r="V113" i="18"/>
  <c r="X113" i="18" s="1"/>
  <c r="Z113" i="18" s="1"/>
  <c r="V120" i="18"/>
  <c r="X120" i="18" s="1"/>
  <c r="V129" i="18"/>
  <c r="X129" i="18" s="1"/>
  <c r="V127" i="18"/>
  <c r="X127" i="18" s="1"/>
  <c r="V126" i="18"/>
  <c r="X126" i="18" s="1"/>
  <c r="V114" i="18"/>
  <c r="X114" i="18" s="1"/>
  <c r="V116" i="18"/>
  <c r="X116" i="18" s="1"/>
  <c r="V125" i="18"/>
  <c r="X125" i="18" s="1"/>
  <c r="Z144" i="18"/>
  <c r="Z142" i="18"/>
  <c r="V118" i="18"/>
  <c r="X118" i="18" s="1"/>
  <c r="V119" i="18"/>
  <c r="X119" i="18" s="1"/>
  <c r="Z140" i="18"/>
  <c r="Z145" i="18"/>
  <c r="V131" i="18"/>
  <c r="X131" i="18" s="1"/>
  <c r="V115" i="18"/>
  <c r="X115" i="18" s="1"/>
  <c r="Z156" i="18"/>
  <c r="AI7" i="22"/>
  <c r="AI26" i="22" s="1"/>
  <c r="AI6" i="22"/>
  <c r="AI25" i="22" s="1"/>
  <c r="X161" i="18" l="1"/>
  <c r="H75" i="18"/>
  <c r="W136" i="18"/>
  <c r="D18" i="13" s="1"/>
  <c r="E18" i="13" s="1"/>
  <c r="F18" i="13" s="1"/>
  <c r="G18" i="13" s="1"/>
  <c r="H18" i="13" s="1"/>
  <c r="I18" i="13" s="1"/>
  <c r="J18" i="13" s="1"/>
  <c r="K18" i="13" s="1"/>
  <c r="L18" i="13" s="1"/>
  <c r="M18" i="13" s="1"/>
  <c r="N18" i="13" s="1"/>
  <c r="O18" i="13" s="1"/>
  <c r="P18" i="13" s="1"/>
  <c r="Q18" i="13" s="1"/>
  <c r="R18" i="13" s="1"/>
  <c r="S18" i="13" s="1"/>
  <c r="T18" i="13" s="1"/>
  <c r="U18" i="13" s="1"/>
  <c r="V18" i="13" s="1"/>
  <c r="W18" i="13" s="1"/>
  <c r="X18" i="13" s="1"/>
  <c r="Y18" i="13" s="1"/>
  <c r="Z18" i="13" s="1"/>
  <c r="AA18" i="13" s="1"/>
  <c r="AB18" i="13" s="1"/>
  <c r="AC18" i="13" s="1"/>
  <c r="AD18" i="13" s="1"/>
  <c r="AE18" i="13" s="1"/>
  <c r="AF18" i="13" s="1"/>
  <c r="AG18" i="13" s="1"/>
  <c r="AH18" i="13" s="1"/>
  <c r="AI18" i="13" s="1"/>
  <c r="AJ18" i="13" s="1"/>
  <c r="AK18" i="13" s="1"/>
  <c r="AL18" i="13" s="1"/>
  <c r="AM18" i="13" s="1"/>
  <c r="AN18" i="13" s="1"/>
  <c r="AO18" i="13" s="1"/>
  <c r="X135" i="18"/>
  <c r="X123" i="18"/>
  <c r="W161" i="18"/>
  <c r="D22" i="13" s="1"/>
  <c r="E22" i="13" s="1"/>
  <c r="F22" i="13" s="1"/>
  <c r="G22" i="13" s="1"/>
  <c r="H22" i="13" s="1"/>
  <c r="I22" i="13" s="1"/>
  <c r="J22" i="13" s="1"/>
  <c r="K22" i="13" s="1"/>
  <c r="L22" i="13" s="1"/>
  <c r="M22" i="13" s="1"/>
  <c r="N22" i="13" s="1"/>
  <c r="O22" i="13" s="1"/>
  <c r="P22" i="13" s="1"/>
  <c r="Q22" i="13" s="1"/>
  <c r="R22" i="13" s="1"/>
  <c r="S22" i="13" s="1"/>
  <c r="T22" i="13" s="1"/>
  <c r="U22" i="13" s="1"/>
  <c r="V22" i="13" s="1"/>
  <c r="W22" i="13" s="1"/>
  <c r="X22" i="13" s="1"/>
  <c r="Y22" i="13" s="1"/>
  <c r="Z22" i="13" s="1"/>
  <c r="AA22" i="13" s="1"/>
  <c r="AB22" i="13" s="1"/>
  <c r="AC22" i="13" s="1"/>
  <c r="AD22" i="13" s="1"/>
  <c r="AE22" i="13" s="1"/>
  <c r="AF22" i="13" s="1"/>
  <c r="AG22" i="13" s="1"/>
  <c r="AH22" i="13" s="1"/>
  <c r="AI22" i="13" s="1"/>
  <c r="AJ22" i="13" s="1"/>
  <c r="AK22" i="13" s="1"/>
  <c r="AL22" i="13" s="1"/>
  <c r="AM22" i="13" s="1"/>
  <c r="AN22" i="13" s="1"/>
  <c r="AO22" i="13" s="1"/>
  <c r="L76" i="18"/>
  <c r="L50" i="13" s="1"/>
  <c r="I75" i="18"/>
  <c r="Z132" i="18"/>
  <c r="M59" i="18"/>
  <c r="Z129" i="18"/>
  <c r="M56" i="18"/>
  <c r="Z120" i="18"/>
  <c r="L59" i="18"/>
  <c r="Z117" i="18"/>
  <c r="L56" i="18"/>
  <c r="Z127" i="18"/>
  <c r="M54" i="18"/>
  <c r="Z118" i="18"/>
  <c r="L57" i="18"/>
  <c r="Z115" i="18"/>
  <c r="L54" i="18"/>
  <c r="Z125" i="18"/>
  <c r="M52" i="18"/>
  <c r="Z122" i="18"/>
  <c r="L61" i="18"/>
  <c r="Z134" i="18"/>
  <c r="M61" i="18"/>
  <c r="Z126" i="18"/>
  <c r="M53" i="18"/>
  <c r="Z119" i="18"/>
  <c r="L58" i="18"/>
  <c r="Z130" i="18"/>
  <c r="M57" i="18"/>
  <c r="L52" i="18"/>
  <c r="L62" i="18" s="1"/>
  <c r="Z131" i="18"/>
  <c r="M58" i="18"/>
  <c r="Z116" i="18"/>
  <c r="L55" i="18"/>
  <c r="Z133" i="18"/>
  <c r="M60" i="18"/>
  <c r="Z121" i="18"/>
  <c r="L60" i="18"/>
  <c r="Z114" i="18"/>
  <c r="Z123" i="18" s="1"/>
  <c r="L53" i="18"/>
  <c r="Z128" i="18"/>
  <c r="M55" i="18"/>
  <c r="H63" i="18"/>
  <c r="D46" i="13" s="1"/>
  <c r="E46" i="13" s="1"/>
  <c r="AJ6" i="22"/>
  <c r="AJ25" i="22" s="1"/>
  <c r="AJ7" i="22"/>
  <c r="AJ26" i="22" s="1"/>
  <c r="Z135" i="18" l="1"/>
  <c r="AO24" i="13"/>
  <c r="AO36" i="13" s="1"/>
  <c r="AO23" i="13"/>
  <c r="AO35" i="13" s="1"/>
  <c r="AO20" i="13"/>
  <c r="AO32" i="13" s="1"/>
  <c r="AO19" i="13"/>
  <c r="AO31" i="13" s="1"/>
  <c r="X136" i="18"/>
  <c r="H76" i="18"/>
  <c r="M62" i="18"/>
  <c r="AK7" i="22"/>
  <c r="AK26" i="22" s="1"/>
  <c r="AK6" i="22"/>
  <c r="AK25" i="22" s="1"/>
  <c r="AO34" i="13" l="1"/>
  <c r="AO30" i="13"/>
  <c r="L63" i="18"/>
  <c r="L46" i="13" s="1"/>
  <c r="D50" i="13"/>
  <c r="AL7" i="22"/>
  <c r="AL26" i="22" s="1"/>
  <c r="AL6" i="22"/>
  <c r="AL25" i="22" s="1"/>
  <c r="D19" i="13" l="1"/>
  <c r="D31" i="13" s="1"/>
  <c r="AM6" i="22"/>
  <c r="AM25" i="22" s="1"/>
  <c r="AM7" i="22"/>
  <c r="AM26" i="22" s="1"/>
  <c r="F46" i="13"/>
  <c r="G46" i="13" s="1"/>
  <c r="H46" i="13" s="1"/>
  <c r="I46" i="13" s="1"/>
  <c r="J46" i="13" s="1"/>
  <c r="K46" i="13" s="1"/>
  <c r="D47" i="13"/>
  <c r="D59" i="13" s="1"/>
  <c r="D48" i="13"/>
  <c r="D60" i="13" s="1"/>
  <c r="E16" i="23"/>
  <c r="E20" i="23" s="1"/>
  <c r="E15" i="23"/>
  <c r="E19" i="23" s="1"/>
  <c r="D23" i="13"/>
  <c r="D35" i="13" s="1"/>
  <c r="D24" i="13"/>
  <c r="D36" i="13" s="1"/>
  <c r="E50" i="13"/>
  <c r="D51" i="13"/>
  <c r="D63" i="13" s="1"/>
  <c r="D52" i="13"/>
  <c r="D64" i="13" s="1"/>
  <c r="E19" i="13" l="1"/>
  <c r="E31" i="13" s="1"/>
  <c r="D20" i="13"/>
  <c r="D32" i="13" s="1"/>
  <c r="D30" i="13" s="1"/>
  <c r="D58" i="13"/>
  <c r="D34" i="13"/>
  <c r="AN6" i="22"/>
  <c r="AN25" i="22" s="1"/>
  <c r="AN7" i="22"/>
  <c r="AN26" i="22" s="1"/>
  <c r="E20" i="13"/>
  <c r="E32" i="13" s="1"/>
  <c r="E48" i="13"/>
  <c r="E60" i="13" s="1"/>
  <c r="E47" i="13"/>
  <c r="E59" i="13" s="1"/>
  <c r="F47" i="13"/>
  <c r="F59" i="13" s="1"/>
  <c r="F48" i="13"/>
  <c r="F60" i="13" s="1"/>
  <c r="D62" i="13"/>
  <c r="F16" i="23"/>
  <c r="F20" i="23" s="1"/>
  <c r="F15" i="23"/>
  <c r="F19" i="23" s="1"/>
  <c r="D15" i="23"/>
  <c r="D19" i="23" s="1"/>
  <c r="D16" i="23"/>
  <c r="D20" i="23" s="1"/>
  <c r="E24" i="13"/>
  <c r="E36" i="13" s="1"/>
  <c r="E23" i="13"/>
  <c r="E35" i="13" s="1"/>
  <c r="D28" i="23"/>
  <c r="D32" i="23" s="1"/>
  <c r="D27" i="23"/>
  <c r="D31" i="23" s="1"/>
  <c r="E28" i="23"/>
  <c r="E32" i="23" s="1"/>
  <c r="E27" i="23"/>
  <c r="E31" i="23" s="1"/>
  <c r="G24" i="13"/>
  <c r="G36" i="13" s="1"/>
  <c r="E51" i="13"/>
  <c r="E63" i="13" s="1"/>
  <c r="F50" i="13"/>
  <c r="E52" i="13"/>
  <c r="E64" i="13" s="1"/>
  <c r="G47" i="13"/>
  <c r="G59" i="13" s="1"/>
  <c r="G48" i="13"/>
  <c r="G60" i="13" s="1"/>
  <c r="K47" i="13" l="1"/>
  <c r="K59" i="13" s="1"/>
  <c r="K48" i="13"/>
  <c r="K60" i="13" s="1"/>
  <c r="M46" i="13"/>
  <c r="E30" i="13"/>
  <c r="F58" i="13"/>
  <c r="E58" i="13"/>
  <c r="E18" i="23"/>
  <c r="E22" i="23" s="1"/>
  <c r="F20" i="13"/>
  <c r="F32" i="13" s="1"/>
  <c r="F19" i="13"/>
  <c r="F31" i="13" s="1"/>
  <c r="D30" i="23"/>
  <c r="D34" i="23" s="1"/>
  <c r="D18" i="23"/>
  <c r="E34" i="13"/>
  <c r="G23" i="13"/>
  <c r="G35" i="13" s="1"/>
  <c r="G34" i="13" s="1"/>
  <c r="E62" i="13"/>
  <c r="F24" i="13"/>
  <c r="F36" i="13" s="1"/>
  <c r="F23" i="13"/>
  <c r="F35" i="13" s="1"/>
  <c r="G50" i="13"/>
  <c r="F52" i="13"/>
  <c r="F64" i="13" s="1"/>
  <c r="F51" i="13"/>
  <c r="F63" i="13" s="1"/>
  <c r="E30" i="23"/>
  <c r="G16" i="23"/>
  <c r="G20" i="23" s="1"/>
  <c r="G15" i="23"/>
  <c r="G19" i="23" s="1"/>
  <c r="G58" i="13"/>
  <c r="H48" i="13"/>
  <c r="H60" i="13" s="1"/>
  <c r="H47" i="13"/>
  <c r="H59" i="13" s="1"/>
  <c r="K58" i="13" l="1"/>
  <c r="M48" i="13"/>
  <c r="N46" i="13"/>
  <c r="M47" i="13"/>
  <c r="F62" i="13"/>
  <c r="F30" i="13"/>
  <c r="F18" i="23"/>
  <c r="F22" i="23" s="1"/>
  <c r="G20" i="13"/>
  <c r="G32" i="13" s="1"/>
  <c r="G19" i="13"/>
  <c r="G31" i="13" s="1"/>
  <c r="E34" i="23"/>
  <c r="E37" i="23" s="1"/>
  <c r="E32" i="7" s="1"/>
  <c r="G18" i="23"/>
  <c r="G22" i="23" s="1"/>
  <c r="D22" i="23"/>
  <c r="F34" i="13"/>
  <c r="F30" i="23"/>
  <c r="F34" i="23" s="1"/>
  <c r="H15" i="23"/>
  <c r="H19" i="23" s="1"/>
  <c r="H16" i="23"/>
  <c r="H20" i="23" s="1"/>
  <c r="H24" i="13"/>
  <c r="H36" i="13" s="1"/>
  <c r="H50" i="13"/>
  <c r="G51" i="13"/>
  <c r="G63" i="13" s="1"/>
  <c r="G52" i="13"/>
  <c r="G64" i="13" s="1"/>
  <c r="I24" i="13"/>
  <c r="I36" i="13" s="1"/>
  <c r="I23" i="13"/>
  <c r="I35" i="13" s="1"/>
  <c r="H23" i="13"/>
  <c r="H35" i="13" s="1"/>
  <c r="H58" i="13"/>
  <c r="I48" i="13"/>
  <c r="I60" i="13" s="1"/>
  <c r="I47" i="13"/>
  <c r="I59" i="13" s="1"/>
  <c r="J24" i="13"/>
  <c r="J36" i="13" s="1"/>
  <c r="J23" i="13"/>
  <c r="J35" i="13" s="1"/>
  <c r="O46" i="13" l="1"/>
  <c r="N48" i="13"/>
  <c r="N47" i="13"/>
  <c r="D37" i="23"/>
  <c r="D38" i="23" s="1"/>
  <c r="G30" i="13"/>
  <c r="H19" i="13"/>
  <c r="H31" i="13" s="1"/>
  <c r="H20" i="13"/>
  <c r="H32" i="13" s="1"/>
  <c r="E39" i="23"/>
  <c r="E60" i="7" s="1"/>
  <c r="E38" i="23"/>
  <c r="E46" i="7" s="1"/>
  <c r="E42" i="23"/>
  <c r="H30" i="23"/>
  <c r="H34" i="23" s="1"/>
  <c r="F37" i="23"/>
  <c r="G62" i="13"/>
  <c r="I34" i="13"/>
  <c r="G30" i="23"/>
  <c r="G34" i="23" s="1"/>
  <c r="J34" i="13"/>
  <c r="H34" i="13"/>
  <c r="I50" i="13"/>
  <c r="H51" i="13"/>
  <c r="H63" i="13" s="1"/>
  <c r="H52" i="13"/>
  <c r="H64" i="13" s="1"/>
  <c r="I16" i="23"/>
  <c r="I20" i="23" s="1"/>
  <c r="I15" i="23"/>
  <c r="I19" i="23" s="1"/>
  <c r="I58" i="13"/>
  <c r="J47" i="13"/>
  <c r="J59" i="13" s="1"/>
  <c r="J48" i="13"/>
  <c r="J60" i="13" s="1"/>
  <c r="K24" i="13"/>
  <c r="K36" i="13" s="1"/>
  <c r="K23" i="13"/>
  <c r="K35" i="13" s="1"/>
  <c r="D46" i="7" l="1"/>
  <c r="P46" i="13"/>
  <c r="Q46" i="13" s="1"/>
  <c r="R46" i="13" s="1"/>
  <c r="S46" i="13" s="1"/>
  <c r="T46" i="13" s="1"/>
  <c r="U46" i="13" s="1"/>
  <c r="V46" i="13" s="1"/>
  <c r="W46" i="13" s="1"/>
  <c r="X46" i="13" s="1"/>
  <c r="Y46" i="13" s="1"/>
  <c r="Z46" i="13" s="1"/>
  <c r="AA46" i="13" s="1"/>
  <c r="AB46" i="13" s="1"/>
  <c r="AC46" i="13" s="1"/>
  <c r="AD46" i="13" s="1"/>
  <c r="AE46" i="13" s="1"/>
  <c r="AF46" i="13" s="1"/>
  <c r="AG46" i="13" s="1"/>
  <c r="AH46" i="13" s="1"/>
  <c r="AI46" i="13" s="1"/>
  <c r="AJ46" i="13" s="1"/>
  <c r="AK46" i="13" s="1"/>
  <c r="AL46" i="13" s="1"/>
  <c r="AM46" i="13" s="1"/>
  <c r="AN46" i="13" s="1"/>
  <c r="AO46" i="13" s="1"/>
  <c r="O48" i="13"/>
  <c r="O47" i="13"/>
  <c r="D42" i="23"/>
  <c r="D39" i="23"/>
  <c r="D60" i="7" s="1"/>
  <c r="D32" i="7"/>
  <c r="I20" i="13"/>
  <c r="I32" i="13" s="1"/>
  <c r="I19" i="13"/>
  <c r="I31" i="13" s="1"/>
  <c r="H30" i="13"/>
  <c r="H18" i="23"/>
  <c r="H22" i="23" s="1"/>
  <c r="H37" i="23" s="1"/>
  <c r="H32" i="7" s="1"/>
  <c r="F42" i="23"/>
  <c r="F32" i="7"/>
  <c r="F39" i="23"/>
  <c r="F60" i="7" s="1"/>
  <c r="F38" i="23"/>
  <c r="F46" i="7" s="1"/>
  <c r="G37" i="23"/>
  <c r="J50" i="13"/>
  <c r="K50" i="13" s="1"/>
  <c r="I52" i="13"/>
  <c r="I64" i="13" s="1"/>
  <c r="I51" i="13"/>
  <c r="I63" i="13" s="1"/>
  <c r="J16" i="23"/>
  <c r="J20" i="23" s="1"/>
  <c r="J15" i="23"/>
  <c r="J19" i="23" s="1"/>
  <c r="H62" i="13"/>
  <c r="J58" i="13"/>
  <c r="K34" i="13"/>
  <c r="L24" i="13"/>
  <c r="L36" i="13" s="1"/>
  <c r="L23" i="13"/>
  <c r="L35" i="13" s="1"/>
  <c r="AO48" i="13" l="1"/>
  <c r="AO60" i="13" s="1"/>
  <c r="AO47" i="13"/>
  <c r="AO59" i="13" s="1"/>
  <c r="I30" i="13"/>
  <c r="J20" i="13"/>
  <c r="J32" i="13" s="1"/>
  <c r="J19" i="13"/>
  <c r="J31" i="13" s="1"/>
  <c r="G38" i="23"/>
  <c r="G46" i="7" s="1"/>
  <c r="G32" i="7"/>
  <c r="I18" i="23"/>
  <c r="I22" i="23" s="1"/>
  <c r="J18" i="23"/>
  <c r="J22" i="23" s="1"/>
  <c r="I30" i="23"/>
  <c r="G39" i="23"/>
  <c r="G60" i="7" s="1"/>
  <c r="G42" i="23"/>
  <c r="H42" i="23"/>
  <c r="H38" i="23"/>
  <c r="H46" i="7" s="1"/>
  <c r="H39" i="23"/>
  <c r="H60" i="7" s="1"/>
  <c r="K15" i="23"/>
  <c r="K19" i="23" s="1"/>
  <c r="K16" i="23"/>
  <c r="K20" i="23" s="1"/>
  <c r="I62" i="13"/>
  <c r="J51" i="13"/>
  <c r="J63" i="13" s="1"/>
  <c r="J52" i="13"/>
  <c r="J64" i="13" s="1"/>
  <c r="L34" i="13"/>
  <c r="L47" i="13"/>
  <c r="L59" i="13" s="1"/>
  <c r="L48" i="13"/>
  <c r="L60" i="13" s="1"/>
  <c r="M24" i="13"/>
  <c r="M36" i="13" s="1"/>
  <c r="M23" i="13"/>
  <c r="M35" i="13" s="1"/>
  <c r="AO58" i="13" l="1"/>
  <c r="K51" i="13"/>
  <c r="K63" i="13" s="1"/>
  <c r="K52" i="13"/>
  <c r="K64" i="13" s="1"/>
  <c r="M50" i="13"/>
  <c r="J30" i="13"/>
  <c r="K19" i="13"/>
  <c r="K31" i="13" s="1"/>
  <c r="K20" i="13"/>
  <c r="K32" i="13" s="1"/>
  <c r="I34" i="23"/>
  <c r="I37" i="23" s="1"/>
  <c r="I32" i="7" s="1"/>
  <c r="J30" i="23"/>
  <c r="L16" i="23"/>
  <c r="L20" i="23" s="1"/>
  <c r="L15" i="23"/>
  <c r="L19" i="23" s="1"/>
  <c r="J62" i="13"/>
  <c r="L58" i="13"/>
  <c r="M34" i="13"/>
  <c r="M60" i="13"/>
  <c r="M59" i="13"/>
  <c r="N23" i="13"/>
  <c r="N35" i="13" s="1"/>
  <c r="N24" i="13"/>
  <c r="N36" i="13" s="1"/>
  <c r="K62" i="13" l="1"/>
  <c r="M52" i="13"/>
  <c r="M64" i="13" s="1"/>
  <c r="M51" i="13"/>
  <c r="M63" i="13" s="1"/>
  <c r="N50" i="13"/>
  <c r="L19" i="13"/>
  <c r="L31" i="13" s="1"/>
  <c r="L20" i="13"/>
  <c r="L32" i="13" s="1"/>
  <c r="K30" i="13"/>
  <c r="K18" i="23"/>
  <c r="K22" i="23" s="1"/>
  <c r="I39" i="23"/>
  <c r="I60" i="7" s="1"/>
  <c r="I42" i="23"/>
  <c r="I38" i="23"/>
  <c r="J34" i="23"/>
  <c r="J37" i="23" s="1"/>
  <c r="J32" i="7" s="1"/>
  <c r="K30" i="23"/>
  <c r="K34" i="23" s="1"/>
  <c r="L30" i="23"/>
  <c r="L34" i="23" s="1"/>
  <c r="M15" i="23"/>
  <c r="M19" i="23" s="1"/>
  <c r="M16" i="23"/>
  <c r="M20" i="23" s="1"/>
  <c r="L51" i="13"/>
  <c r="L63" i="13" s="1"/>
  <c r="L52" i="13"/>
  <c r="L64" i="13" s="1"/>
  <c r="N34" i="13"/>
  <c r="M58" i="13"/>
  <c r="N60" i="13"/>
  <c r="N59" i="13"/>
  <c r="O23" i="13"/>
  <c r="O35" i="13" s="1"/>
  <c r="O24" i="13"/>
  <c r="O36" i="13" s="1"/>
  <c r="I46" i="7" l="1"/>
  <c r="O50" i="13"/>
  <c r="N52" i="13"/>
  <c r="N51" i="13"/>
  <c r="N63" i="13" s="1"/>
  <c r="M62" i="13"/>
  <c r="N64" i="13"/>
  <c r="L18" i="23"/>
  <c r="L22" i="23" s="1"/>
  <c r="L37" i="23" s="1"/>
  <c r="M19" i="13"/>
  <c r="M31" i="13" s="1"/>
  <c r="M20" i="13"/>
  <c r="M32" i="13" s="1"/>
  <c r="L30" i="13"/>
  <c r="K37" i="23"/>
  <c r="K39" i="23" s="1"/>
  <c r="K60" i="7" s="1"/>
  <c r="J38" i="23"/>
  <c r="J46" i="7" s="1"/>
  <c r="J42" i="23"/>
  <c r="J39" i="23"/>
  <c r="J60" i="7" s="1"/>
  <c r="L62" i="13"/>
  <c r="N16" i="23"/>
  <c r="N20" i="23" s="1"/>
  <c r="N15" i="23"/>
  <c r="N19" i="23" s="1"/>
  <c r="N58" i="13"/>
  <c r="O34" i="13"/>
  <c r="O60" i="13"/>
  <c r="O59" i="13"/>
  <c r="P23" i="13"/>
  <c r="P35" i="13" s="1"/>
  <c r="P24" i="13"/>
  <c r="P36" i="13" s="1"/>
  <c r="L42" i="23" l="1"/>
  <c r="P50" i="13"/>
  <c r="O51" i="13"/>
  <c r="O63" i="13" s="1"/>
  <c r="O52" i="13"/>
  <c r="O64" i="13" s="1"/>
  <c r="N62" i="13"/>
  <c r="K38" i="23"/>
  <c r="K46" i="7" s="1"/>
  <c r="K42" i="23"/>
  <c r="K32" i="7"/>
  <c r="N19" i="13"/>
  <c r="N31" i="13" s="1"/>
  <c r="N20" i="13"/>
  <c r="N32" i="13" s="1"/>
  <c r="M30" i="13"/>
  <c r="M30" i="23"/>
  <c r="M34" i="23" s="1"/>
  <c r="L39" i="23"/>
  <c r="L60" i="7" s="1"/>
  <c r="L32" i="7"/>
  <c r="L38" i="23"/>
  <c r="L46" i="7" s="1"/>
  <c r="M18" i="23"/>
  <c r="M22" i="23" s="1"/>
  <c r="N18" i="23"/>
  <c r="N22" i="23" s="1"/>
  <c r="O15" i="23"/>
  <c r="O19" i="23" s="1"/>
  <c r="O16" i="23"/>
  <c r="O20" i="23" s="1"/>
  <c r="O58" i="13"/>
  <c r="P34" i="13"/>
  <c r="P47" i="13"/>
  <c r="P59" i="13" s="1"/>
  <c r="P48" i="13"/>
  <c r="P60" i="13" s="1"/>
  <c r="Q23" i="13"/>
  <c r="Q35" i="13" s="1"/>
  <c r="Q24" i="13"/>
  <c r="Q36" i="13" s="1"/>
  <c r="O62" i="13" l="1"/>
  <c r="P51" i="13"/>
  <c r="P63" i="13" s="1"/>
  <c r="P52" i="13"/>
  <c r="P64" i="13" s="1"/>
  <c r="Q50" i="13"/>
  <c r="N30" i="13"/>
  <c r="O19" i="13"/>
  <c r="O31" i="13" s="1"/>
  <c r="O20" i="13"/>
  <c r="O32" i="13" s="1"/>
  <c r="M37" i="23"/>
  <c r="M32" i="7" s="1"/>
  <c r="O30" i="23"/>
  <c r="O34" i="23" s="1"/>
  <c r="N30" i="23"/>
  <c r="P15" i="23"/>
  <c r="P19" i="23" s="1"/>
  <c r="P16" i="23"/>
  <c r="P20" i="23" s="1"/>
  <c r="Q34" i="13"/>
  <c r="P58" i="13"/>
  <c r="Q47" i="13"/>
  <c r="Q59" i="13" s="1"/>
  <c r="Q48" i="13"/>
  <c r="Q60" i="13" s="1"/>
  <c r="R24" i="13"/>
  <c r="R36" i="13" s="1"/>
  <c r="R23" i="13"/>
  <c r="R35" i="13" s="1"/>
  <c r="P62" i="13" l="1"/>
  <c r="Q51" i="13"/>
  <c r="Q63" i="13" s="1"/>
  <c r="Q52" i="13"/>
  <c r="Q64" i="13" s="1"/>
  <c r="R50" i="13"/>
  <c r="M39" i="23"/>
  <c r="M60" i="7" s="1"/>
  <c r="O30" i="13"/>
  <c r="M38" i="23"/>
  <c r="M46" i="7" s="1"/>
  <c r="O18" i="23"/>
  <c r="O22" i="23" s="1"/>
  <c r="O37" i="23" s="1"/>
  <c r="O32" i="7" s="1"/>
  <c r="M42" i="23"/>
  <c r="P20" i="13"/>
  <c r="P32" i="13" s="1"/>
  <c r="P19" i="13"/>
  <c r="P31" i="13" s="1"/>
  <c r="N34" i="23"/>
  <c r="N37" i="23" s="1"/>
  <c r="P30" i="23"/>
  <c r="P34" i="23" s="1"/>
  <c r="R34" i="13"/>
  <c r="Q15" i="23"/>
  <c r="Q19" i="23" s="1"/>
  <c r="Q16" i="23"/>
  <c r="Q20" i="23" s="1"/>
  <c r="Q58" i="13"/>
  <c r="R47" i="13"/>
  <c r="R59" i="13" s="1"/>
  <c r="R48" i="13"/>
  <c r="R60" i="13" s="1"/>
  <c r="S24" i="13"/>
  <c r="S36" i="13" s="1"/>
  <c r="S23" i="13"/>
  <c r="S35" i="13" s="1"/>
  <c r="Q62" i="13" l="1"/>
  <c r="R51" i="13"/>
  <c r="R63" i="13" s="1"/>
  <c r="R52" i="13"/>
  <c r="R64" i="13" s="1"/>
  <c r="S50" i="13"/>
  <c r="P30" i="13"/>
  <c r="P18" i="23"/>
  <c r="P22" i="23" s="1"/>
  <c r="P37" i="23" s="1"/>
  <c r="Q20" i="13"/>
  <c r="Q32" i="13" s="1"/>
  <c r="Q19" i="13"/>
  <c r="Q31" i="13" s="1"/>
  <c r="N39" i="23"/>
  <c r="N60" i="7" s="1"/>
  <c r="N32" i="7"/>
  <c r="N42" i="23"/>
  <c r="N38" i="23"/>
  <c r="N46" i="7" s="1"/>
  <c r="Q30" i="23"/>
  <c r="Q34" i="23" s="1"/>
  <c r="O42" i="23"/>
  <c r="O38" i="23"/>
  <c r="O46" i="7" s="1"/>
  <c r="O39" i="23"/>
  <c r="O60" i="7" s="1"/>
  <c r="S34" i="13"/>
  <c r="R16" i="23"/>
  <c r="R20" i="23" s="1"/>
  <c r="R15" i="23"/>
  <c r="R19" i="23" s="1"/>
  <c r="R58" i="13"/>
  <c r="S47" i="13"/>
  <c r="S59" i="13" s="1"/>
  <c r="S48" i="13"/>
  <c r="S60" i="13" s="1"/>
  <c r="T24" i="13"/>
  <c r="T36" i="13" s="1"/>
  <c r="T23" i="13"/>
  <c r="T35" i="13" s="1"/>
  <c r="T50" i="13" l="1"/>
  <c r="S52" i="13"/>
  <c r="S64" i="13" s="1"/>
  <c r="S51" i="13"/>
  <c r="S63" i="13" s="1"/>
  <c r="R62" i="13"/>
  <c r="Q30" i="13"/>
  <c r="Q18" i="23"/>
  <c r="Q22" i="23" s="1"/>
  <c r="Q37" i="23" s="1"/>
  <c r="Q32" i="7" s="1"/>
  <c r="R19" i="13"/>
  <c r="R31" i="13" s="1"/>
  <c r="R20" i="13"/>
  <c r="R32" i="13" s="1"/>
  <c r="P38" i="23"/>
  <c r="P46" i="7" s="1"/>
  <c r="P32" i="7"/>
  <c r="P39" i="23"/>
  <c r="P60" i="7" s="1"/>
  <c r="P42" i="23"/>
  <c r="S16" i="23"/>
  <c r="S20" i="23" s="1"/>
  <c r="S15" i="23"/>
  <c r="S19" i="23" s="1"/>
  <c r="S58" i="13"/>
  <c r="T34" i="13"/>
  <c r="T47" i="13"/>
  <c r="T59" i="13" s="1"/>
  <c r="T48" i="13"/>
  <c r="T60" i="13" s="1"/>
  <c r="U24" i="13"/>
  <c r="U36" i="13" s="1"/>
  <c r="U23" i="13"/>
  <c r="U35" i="13" s="1"/>
  <c r="S62" i="13" l="1"/>
  <c r="T51" i="13"/>
  <c r="T63" i="13" s="1"/>
  <c r="T52" i="13"/>
  <c r="T64" i="13" s="1"/>
  <c r="U50" i="13"/>
  <c r="R18" i="23"/>
  <c r="R22" i="23" s="1"/>
  <c r="R30" i="13"/>
  <c r="S20" i="13"/>
  <c r="S32" i="13" s="1"/>
  <c r="S19" i="13"/>
  <c r="S31" i="13" s="1"/>
  <c r="R30" i="23"/>
  <c r="R34" i="23" s="1"/>
  <c r="S30" i="23"/>
  <c r="S34" i="23" s="1"/>
  <c r="Q42" i="23"/>
  <c r="Q38" i="23"/>
  <c r="Q46" i="7" s="1"/>
  <c r="Q39" i="23"/>
  <c r="Q60" i="7" s="1"/>
  <c r="T16" i="23"/>
  <c r="T20" i="23" s="1"/>
  <c r="T15" i="23"/>
  <c r="T19" i="23" s="1"/>
  <c r="U34" i="13"/>
  <c r="T58" i="13"/>
  <c r="U48" i="13"/>
  <c r="U60" i="13" s="1"/>
  <c r="U47" i="13"/>
  <c r="U59" i="13" s="1"/>
  <c r="V23" i="13"/>
  <c r="V35" i="13" s="1"/>
  <c r="V24" i="13"/>
  <c r="V36" i="13" s="1"/>
  <c r="V50" i="13" l="1"/>
  <c r="U52" i="13"/>
  <c r="U64" i="13" s="1"/>
  <c r="U51" i="13"/>
  <c r="U63" i="13" s="1"/>
  <c r="T62" i="13"/>
  <c r="S30" i="13"/>
  <c r="R37" i="23"/>
  <c r="R32" i="7" s="1"/>
  <c r="T20" i="13"/>
  <c r="T32" i="13" s="1"/>
  <c r="T19" i="13"/>
  <c r="T31" i="13" s="1"/>
  <c r="S18" i="23"/>
  <c r="S22" i="23" s="1"/>
  <c r="S37" i="23" s="1"/>
  <c r="S42" i="23" s="1"/>
  <c r="U16" i="23"/>
  <c r="U20" i="23" s="1"/>
  <c r="U15" i="23"/>
  <c r="U19" i="23" s="1"/>
  <c r="V34" i="13"/>
  <c r="U58" i="13"/>
  <c r="V48" i="13"/>
  <c r="V60" i="13" s="1"/>
  <c r="V47" i="13"/>
  <c r="V59" i="13" s="1"/>
  <c r="W23" i="13"/>
  <c r="W35" i="13" s="1"/>
  <c r="W24" i="13"/>
  <c r="W36" i="13" s="1"/>
  <c r="U62" i="13" l="1"/>
  <c r="V52" i="13"/>
  <c r="V64" i="13" s="1"/>
  <c r="W50" i="13"/>
  <c r="V51" i="13"/>
  <c r="V63" i="13" s="1"/>
  <c r="R39" i="23"/>
  <c r="R60" i="7" s="1"/>
  <c r="R38" i="23"/>
  <c r="R46" i="7" s="1"/>
  <c r="T30" i="13"/>
  <c r="R42" i="23"/>
  <c r="S38" i="23"/>
  <c r="S46" i="7" s="1"/>
  <c r="U20" i="13"/>
  <c r="U32" i="13" s="1"/>
  <c r="U19" i="13"/>
  <c r="U31" i="13" s="1"/>
  <c r="S39" i="23"/>
  <c r="S60" i="7" s="1"/>
  <c r="S32" i="7"/>
  <c r="T18" i="23"/>
  <c r="T22" i="23" s="1"/>
  <c r="U30" i="23"/>
  <c r="U34" i="23" s="1"/>
  <c r="T30" i="23"/>
  <c r="V15" i="23"/>
  <c r="V19" i="23" s="1"/>
  <c r="V16" i="23"/>
  <c r="V20" i="23" s="1"/>
  <c r="V58" i="13"/>
  <c r="W34" i="13"/>
  <c r="W47" i="13"/>
  <c r="W59" i="13" s="1"/>
  <c r="W48" i="13"/>
  <c r="W60" i="13" s="1"/>
  <c r="X23" i="13"/>
  <c r="X35" i="13" s="1"/>
  <c r="X24" i="13"/>
  <c r="X36" i="13" s="1"/>
  <c r="V62" i="13" l="1"/>
  <c r="W52" i="13"/>
  <c r="W64" i="13" s="1"/>
  <c r="W51" i="13"/>
  <c r="W63" i="13" s="1"/>
  <c r="X50" i="13"/>
  <c r="U30" i="13"/>
  <c r="U18" i="23"/>
  <c r="U22" i="23" s="1"/>
  <c r="U37" i="23" s="1"/>
  <c r="U32" i="7" s="1"/>
  <c r="V20" i="13"/>
  <c r="V32" i="13" s="1"/>
  <c r="V19" i="13"/>
  <c r="V31" i="13" s="1"/>
  <c r="T34" i="23"/>
  <c r="T37" i="23" s="1"/>
  <c r="V18" i="23"/>
  <c r="V22" i="23" s="1"/>
  <c r="V30" i="23"/>
  <c r="V34" i="23" s="1"/>
  <c r="W15" i="23"/>
  <c r="W19" i="23" s="1"/>
  <c r="W16" i="23"/>
  <c r="W20" i="23" s="1"/>
  <c r="W58" i="13"/>
  <c r="X34" i="13"/>
  <c r="X48" i="13"/>
  <c r="X60" i="13" s="1"/>
  <c r="X47" i="13"/>
  <c r="X59" i="13" s="1"/>
  <c r="Y23" i="13"/>
  <c r="Y35" i="13" s="1"/>
  <c r="Y24" i="13"/>
  <c r="Y36" i="13" s="1"/>
  <c r="W62" i="13" l="1"/>
  <c r="Y50" i="13"/>
  <c r="X51" i="13"/>
  <c r="X63" i="13" s="1"/>
  <c r="X52" i="13"/>
  <c r="X64" i="13" s="1"/>
  <c r="V30" i="13"/>
  <c r="U38" i="23"/>
  <c r="U46" i="7" s="1"/>
  <c r="U42" i="23"/>
  <c r="U39" i="23"/>
  <c r="U60" i="7" s="1"/>
  <c r="W20" i="13"/>
  <c r="W32" i="13" s="1"/>
  <c r="W19" i="13"/>
  <c r="W31" i="13" s="1"/>
  <c r="T39" i="23"/>
  <c r="T60" i="7" s="1"/>
  <c r="T42" i="23"/>
  <c r="T38" i="23"/>
  <c r="T46" i="7" s="1"/>
  <c r="T32" i="7"/>
  <c r="W30" i="23"/>
  <c r="W34" i="23" s="1"/>
  <c r="V37" i="23"/>
  <c r="X15" i="23"/>
  <c r="X19" i="23" s="1"/>
  <c r="X16" i="23"/>
  <c r="X20" i="23" s="1"/>
  <c r="X58" i="13"/>
  <c r="Y34" i="13"/>
  <c r="Y47" i="13"/>
  <c r="Y59" i="13" s="1"/>
  <c r="Y48" i="13"/>
  <c r="Y60" i="13" s="1"/>
  <c r="Z24" i="13"/>
  <c r="Z36" i="13" s="1"/>
  <c r="Z23" i="13"/>
  <c r="Z35" i="13" s="1"/>
  <c r="X62" i="13" l="1"/>
  <c r="Z50" i="13"/>
  <c r="Y52" i="13"/>
  <c r="Y64" i="13" s="1"/>
  <c r="Y51" i="13"/>
  <c r="Y63" i="13" s="1"/>
  <c r="W30" i="13"/>
  <c r="X20" i="13"/>
  <c r="X32" i="13" s="1"/>
  <c r="X19" i="13"/>
  <c r="X31" i="13" s="1"/>
  <c r="V38" i="23"/>
  <c r="V46" i="7" s="1"/>
  <c r="V32" i="7"/>
  <c r="W18" i="23"/>
  <c r="W22" i="23" s="1"/>
  <c r="W37" i="23" s="1"/>
  <c r="W32" i="7" s="1"/>
  <c r="V42" i="23"/>
  <c r="V39" i="23"/>
  <c r="V60" i="7" s="1"/>
  <c r="Y16" i="23"/>
  <c r="Y20" i="23" s="1"/>
  <c r="Y15" i="23"/>
  <c r="Y19" i="23" s="1"/>
  <c r="AB24" i="13"/>
  <c r="AB36" i="13" s="1"/>
  <c r="AB23" i="13"/>
  <c r="AB35" i="13" s="1"/>
  <c r="Y58" i="13"/>
  <c r="Z34" i="13"/>
  <c r="Z47" i="13"/>
  <c r="Z59" i="13" s="1"/>
  <c r="Z48" i="13"/>
  <c r="Z60" i="13" s="1"/>
  <c r="AA24" i="13"/>
  <c r="AA36" i="13" s="1"/>
  <c r="AA23" i="13"/>
  <c r="AA35" i="13" s="1"/>
  <c r="Y62" i="13" l="1"/>
  <c r="Z51" i="13"/>
  <c r="Z63" i="13" s="1"/>
  <c r="Z52" i="13"/>
  <c r="Z64" i="13" s="1"/>
  <c r="AA50" i="13"/>
  <c r="X30" i="13"/>
  <c r="Y20" i="13"/>
  <c r="Y32" i="13" s="1"/>
  <c r="Y19" i="13"/>
  <c r="Y31" i="13" s="1"/>
  <c r="W39" i="23"/>
  <c r="W60" i="7" s="1"/>
  <c r="W38" i="23"/>
  <c r="W46" i="7" s="1"/>
  <c r="W42" i="23"/>
  <c r="X18" i="23"/>
  <c r="X22" i="23" s="1"/>
  <c r="X30" i="23"/>
  <c r="Z16" i="23"/>
  <c r="Z20" i="23" s="1"/>
  <c r="Z15" i="23"/>
  <c r="Z19" i="23" s="1"/>
  <c r="AB47" i="13"/>
  <c r="AB59" i="13" s="1"/>
  <c r="AB48" i="13"/>
  <c r="AB60" i="13" s="1"/>
  <c r="AB34" i="13"/>
  <c r="AA34" i="13"/>
  <c r="AC23" i="13"/>
  <c r="AC35" i="13" s="1"/>
  <c r="AC24" i="13"/>
  <c r="AC36" i="13" s="1"/>
  <c r="Z58" i="13"/>
  <c r="AA48" i="13"/>
  <c r="AA60" i="13" s="1"/>
  <c r="AA47" i="13"/>
  <c r="AA59" i="13" s="1"/>
  <c r="AB50" i="13" l="1"/>
  <c r="AA52" i="13"/>
  <c r="AA64" i="13" s="1"/>
  <c r="AA51" i="13"/>
  <c r="AA63" i="13" s="1"/>
  <c r="Z62" i="13"/>
  <c r="Y30" i="13"/>
  <c r="Y18" i="23"/>
  <c r="Y22" i="23" s="1"/>
  <c r="Z20" i="13"/>
  <c r="Z32" i="13" s="1"/>
  <c r="Z19" i="13"/>
  <c r="Z31" i="13" s="1"/>
  <c r="Y30" i="23"/>
  <c r="Y34" i="23" s="1"/>
  <c r="X34" i="23"/>
  <c r="X37" i="23" s="1"/>
  <c r="AA16" i="23"/>
  <c r="AA20" i="23" s="1"/>
  <c r="AA15" i="23"/>
  <c r="AA19" i="23" s="1"/>
  <c r="AA58" i="13"/>
  <c r="AC48" i="13"/>
  <c r="AC60" i="13" s="1"/>
  <c r="AC47" i="13"/>
  <c r="AC59" i="13" s="1"/>
  <c r="AB58" i="13"/>
  <c r="AC34" i="13"/>
  <c r="AD24" i="13"/>
  <c r="AD36" i="13" s="1"/>
  <c r="AD23" i="13"/>
  <c r="AD35" i="13" s="1"/>
  <c r="AA62" i="13" l="1"/>
  <c r="AB51" i="13"/>
  <c r="AB63" i="13" s="1"/>
  <c r="AB52" i="13"/>
  <c r="AB64" i="13" s="1"/>
  <c r="AC50" i="13"/>
  <c r="Y37" i="23"/>
  <c r="Y42" i="23" s="1"/>
  <c r="Z30" i="13"/>
  <c r="AD34" i="13"/>
  <c r="AA20" i="13"/>
  <c r="AA32" i="13" s="1"/>
  <c r="AA19" i="13"/>
  <c r="AA31" i="13" s="1"/>
  <c r="X32" i="7"/>
  <c r="X38" i="23"/>
  <c r="X46" i="7" s="1"/>
  <c r="X42" i="23"/>
  <c r="X39" i="23"/>
  <c r="X60" i="7" s="1"/>
  <c r="Z18" i="23"/>
  <c r="Z22" i="23" s="1"/>
  <c r="Z30" i="23"/>
  <c r="Z34" i="23" s="1"/>
  <c r="AC58" i="13"/>
  <c r="AB16" i="23"/>
  <c r="AB20" i="23" s="1"/>
  <c r="AB15" i="23"/>
  <c r="AB19" i="23" s="1"/>
  <c r="AD47" i="13"/>
  <c r="AD59" i="13" s="1"/>
  <c r="AD48" i="13"/>
  <c r="AD60" i="13" s="1"/>
  <c r="AE23" i="13"/>
  <c r="AE35" i="13" s="1"/>
  <c r="AE24" i="13"/>
  <c r="AE36" i="13" s="1"/>
  <c r="E34" i="19"/>
  <c r="E33" i="19"/>
  <c r="E30" i="19"/>
  <c r="E35" i="19" l="1"/>
  <c r="AC52" i="13"/>
  <c r="AC64" i="13" s="1"/>
  <c r="AD50" i="13"/>
  <c r="AC51" i="13"/>
  <c r="AC63" i="13" s="1"/>
  <c r="AB62" i="13"/>
  <c r="E31" i="19"/>
  <c r="B9" i="11" s="1"/>
  <c r="Y38" i="23"/>
  <c r="Y46" i="7" s="1"/>
  <c r="Y32" i="7"/>
  <c r="Y39" i="23"/>
  <c r="Y60" i="7" s="1"/>
  <c r="AG23" i="13"/>
  <c r="AG35" i="13" s="1"/>
  <c r="AG24" i="13"/>
  <c r="AG36" i="13" s="1"/>
  <c r="AA30" i="13"/>
  <c r="AB19" i="13"/>
  <c r="AB31" i="13" s="1"/>
  <c r="AB20" i="13"/>
  <c r="AB32" i="13" s="1"/>
  <c r="AA18" i="23"/>
  <c r="AA22" i="23" s="1"/>
  <c r="Z37" i="23"/>
  <c r="Z39" i="23" s="1"/>
  <c r="Z60" i="7" s="1"/>
  <c r="AA30" i="23"/>
  <c r="AA34" i="23" s="1"/>
  <c r="AC16" i="23"/>
  <c r="AC20" i="23" s="1"/>
  <c r="AC15" i="23"/>
  <c r="AC19" i="23" s="1"/>
  <c r="AE48" i="13"/>
  <c r="AE60" i="13" s="1"/>
  <c r="AE47" i="13"/>
  <c r="AE59" i="13" s="1"/>
  <c r="AD58" i="13"/>
  <c r="AE34" i="13"/>
  <c r="AF23" i="13"/>
  <c r="AF35" i="13" s="1"/>
  <c r="AF24" i="13"/>
  <c r="AF36" i="13" s="1"/>
  <c r="AC62" i="13" l="1"/>
  <c r="AD52" i="13"/>
  <c r="AD64" i="13" s="1"/>
  <c r="AE50" i="13"/>
  <c r="AD51" i="13"/>
  <c r="AD63" i="13" s="1"/>
  <c r="AG34" i="13"/>
  <c r="AH24" i="13"/>
  <c r="AH36" i="13" s="1"/>
  <c r="AH23" i="13"/>
  <c r="AH35" i="13" s="1"/>
  <c r="AC19" i="13"/>
  <c r="AC31" i="13" s="1"/>
  <c r="AC20" i="13"/>
  <c r="AC32" i="13" s="1"/>
  <c r="AB30" i="13"/>
  <c r="AG47" i="13"/>
  <c r="AG59" i="13" s="1"/>
  <c r="AG48" i="13"/>
  <c r="AG60" i="13" s="1"/>
  <c r="Z42" i="23"/>
  <c r="Z32" i="7"/>
  <c r="AB18" i="23"/>
  <c r="AB22" i="23" s="1"/>
  <c r="Z38" i="23"/>
  <c r="Z46" i="7" s="1"/>
  <c r="AC30" i="23"/>
  <c r="AC34" i="23" s="1"/>
  <c r="AA37" i="23"/>
  <c r="AB30" i="23"/>
  <c r="AD15" i="23"/>
  <c r="AD19" i="23" s="1"/>
  <c r="AD16" i="23"/>
  <c r="AD20" i="23" s="1"/>
  <c r="AE58" i="13"/>
  <c r="AF47" i="13"/>
  <c r="AF59" i="13" s="1"/>
  <c r="AF48" i="13"/>
  <c r="AF60" i="13" s="1"/>
  <c r="AF34" i="13"/>
  <c r="AD62" i="13" l="1"/>
  <c r="AE51" i="13"/>
  <c r="AE63" i="13" s="1"/>
  <c r="AE52" i="13"/>
  <c r="AE64" i="13" s="1"/>
  <c r="AF50" i="13"/>
  <c r="D29" i="11"/>
  <c r="D50" i="11" s="1"/>
  <c r="D31" i="11"/>
  <c r="D52" i="11" s="1"/>
  <c r="D75" i="11"/>
  <c r="D97" i="11" s="1"/>
  <c r="D22" i="11"/>
  <c r="D43" i="11" s="1"/>
  <c r="D28" i="11"/>
  <c r="D49" i="11" s="1"/>
  <c r="AH34" i="13"/>
  <c r="AI47" i="13"/>
  <c r="AI59" i="13" s="1"/>
  <c r="AI48" i="13"/>
  <c r="AI60" i="13" s="1"/>
  <c r="AI23" i="13"/>
  <c r="AI35" i="13" s="1"/>
  <c r="AI24" i="13"/>
  <c r="AI36" i="13" s="1"/>
  <c r="AC18" i="23"/>
  <c r="AC22" i="23" s="1"/>
  <c r="AC37" i="23" s="1"/>
  <c r="AC32" i="7" s="1"/>
  <c r="AD20" i="13"/>
  <c r="AD32" i="13" s="1"/>
  <c r="AD19" i="13"/>
  <c r="AD31" i="13" s="1"/>
  <c r="AC30" i="13"/>
  <c r="AH47" i="13"/>
  <c r="AH59" i="13" s="1"/>
  <c r="AH48" i="13"/>
  <c r="AH60" i="13" s="1"/>
  <c r="AG58" i="13"/>
  <c r="AB34" i="23"/>
  <c r="AB37" i="23" s="1"/>
  <c r="AA39" i="23"/>
  <c r="AA60" i="7" s="1"/>
  <c r="AA32" i="7"/>
  <c r="AA42" i="23"/>
  <c r="AA38" i="23"/>
  <c r="AA46" i="7" s="1"/>
  <c r="AE15" i="23"/>
  <c r="AE19" i="23" s="1"/>
  <c r="AE16" i="23"/>
  <c r="AE20" i="23" s="1"/>
  <c r="AF58" i="13"/>
  <c r="D68" i="11" l="1"/>
  <c r="D91" i="11" s="1"/>
  <c r="D78" i="11"/>
  <c r="D100" i="11" s="1"/>
  <c r="D74" i="11"/>
  <c r="D96" i="11" s="1"/>
  <c r="D67" i="11"/>
  <c r="D30" i="11"/>
  <c r="D51" i="11" s="1"/>
  <c r="D24" i="11"/>
  <c r="D45" i="11" s="1"/>
  <c r="D23" i="11"/>
  <c r="D44" i="11" s="1"/>
  <c r="AG50" i="13"/>
  <c r="AF51" i="13"/>
  <c r="AF63" i="13" s="1"/>
  <c r="AF52" i="13"/>
  <c r="AF64" i="13" s="1"/>
  <c r="D76" i="11"/>
  <c r="D98" i="11" s="1"/>
  <c r="D69" i="11"/>
  <c r="D92" i="11" s="1"/>
  <c r="AE62" i="13"/>
  <c r="D14" i="11"/>
  <c r="D35" i="11" s="1"/>
  <c r="D27" i="11"/>
  <c r="D48" i="11" s="1"/>
  <c r="D77" i="11"/>
  <c r="D99" i="11" s="1"/>
  <c r="D21" i="11"/>
  <c r="D42" i="11" s="1"/>
  <c r="D20" i="11"/>
  <c r="D41" i="11" s="1"/>
  <c r="D70" i="11"/>
  <c r="D93" i="11" s="1"/>
  <c r="E67" i="11"/>
  <c r="E90" i="11" s="1"/>
  <c r="D90" i="11"/>
  <c r="D58" i="11"/>
  <c r="D17" i="11"/>
  <c r="D38" i="11" s="1"/>
  <c r="D13" i="11"/>
  <c r="D15" i="11"/>
  <c r="D36" i="11" s="1"/>
  <c r="D62" i="11"/>
  <c r="D86" i="11" s="1"/>
  <c r="D61" i="11"/>
  <c r="D85" i="11" s="1"/>
  <c r="D16" i="11"/>
  <c r="D37" i="11" s="1"/>
  <c r="D60" i="11"/>
  <c r="D84" i="11" s="1"/>
  <c r="D66" i="11"/>
  <c r="D59" i="11"/>
  <c r="D83" i="11" s="1"/>
  <c r="E75" i="11"/>
  <c r="E97" i="11" s="1"/>
  <c r="E68" i="11"/>
  <c r="E91" i="11" s="1"/>
  <c r="E31" i="11"/>
  <c r="E52" i="11" s="1"/>
  <c r="E29" i="11"/>
  <c r="E50" i="11" s="1"/>
  <c r="E28" i="11"/>
  <c r="E49" i="11" s="1"/>
  <c r="E22" i="11"/>
  <c r="E43" i="11" s="1"/>
  <c r="AH58" i="13"/>
  <c r="AI58" i="13"/>
  <c r="AI34" i="13"/>
  <c r="AJ24" i="13"/>
  <c r="AJ36" i="13" s="1"/>
  <c r="AJ23" i="13"/>
  <c r="AJ35" i="13" s="1"/>
  <c r="AJ47" i="13"/>
  <c r="AJ59" i="13" s="1"/>
  <c r="AJ48" i="13"/>
  <c r="AJ60" i="13" s="1"/>
  <c r="AD18" i="23"/>
  <c r="AD22" i="23" s="1"/>
  <c r="AE20" i="13"/>
  <c r="AE32" i="13" s="1"/>
  <c r="AE19" i="13"/>
  <c r="AE31" i="13" s="1"/>
  <c r="AD30" i="13"/>
  <c r="AB32" i="7"/>
  <c r="AB42" i="23"/>
  <c r="AB38" i="23"/>
  <c r="AB46" i="7" s="1"/>
  <c r="AB39" i="23"/>
  <c r="AB60" i="7" s="1"/>
  <c r="AD30" i="23"/>
  <c r="AD34" i="23" s="1"/>
  <c r="AE18" i="23"/>
  <c r="AC39" i="23"/>
  <c r="AC60" i="7" s="1"/>
  <c r="AC42" i="23"/>
  <c r="AC38" i="23"/>
  <c r="AC46" i="7" s="1"/>
  <c r="AF15" i="23"/>
  <c r="AF19" i="23" s="1"/>
  <c r="AF16" i="23"/>
  <c r="AF20" i="23" s="1"/>
  <c r="E77" i="11" l="1"/>
  <c r="E99" i="11" s="1"/>
  <c r="E24" i="11"/>
  <c r="E45" i="11" s="1"/>
  <c r="E23" i="11"/>
  <c r="E44" i="11" s="1"/>
  <c r="E74" i="11"/>
  <c r="E96" i="11" s="1"/>
  <c r="E21" i="11"/>
  <c r="E42" i="11" s="1"/>
  <c r="E30" i="11"/>
  <c r="E51" i="11" s="1"/>
  <c r="E69" i="11"/>
  <c r="E92" i="11" s="1"/>
  <c r="AF62" i="13"/>
  <c r="E78" i="11"/>
  <c r="E100" i="11" s="1"/>
  <c r="E61" i="11"/>
  <c r="E85" i="11" s="1"/>
  <c r="AG51" i="13"/>
  <c r="AG63" i="13" s="1"/>
  <c r="AH50" i="13"/>
  <c r="AG52" i="13"/>
  <c r="AG64" i="13" s="1"/>
  <c r="E27" i="11"/>
  <c r="E48" i="11" s="1"/>
  <c r="E76" i="11"/>
  <c r="E98" i="11" s="1"/>
  <c r="E14" i="11"/>
  <c r="E35" i="11" s="1"/>
  <c r="E17" i="11"/>
  <c r="E38" i="11" s="1"/>
  <c r="E20" i="11"/>
  <c r="E41" i="11" s="1"/>
  <c r="E70" i="11"/>
  <c r="E93" i="11" s="1"/>
  <c r="F74" i="11"/>
  <c r="F96" i="11" s="1"/>
  <c r="E15" i="11"/>
  <c r="E36" i="11" s="1"/>
  <c r="E59" i="11"/>
  <c r="E83" i="11" s="1"/>
  <c r="E16" i="11"/>
  <c r="E37" i="11" s="1"/>
  <c r="E13" i="11"/>
  <c r="E34" i="11" s="1"/>
  <c r="D34" i="11"/>
  <c r="D54" i="11" s="1"/>
  <c r="E60" i="11"/>
  <c r="E84" i="11" s="1"/>
  <c r="E62" i="11"/>
  <c r="E86" i="11" s="1"/>
  <c r="E58" i="11"/>
  <c r="E82" i="11" s="1"/>
  <c r="D82" i="11"/>
  <c r="E66" i="11"/>
  <c r="E89" i="11" s="1"/>
  <c r="D89" i="11"/>
  <c r="F67" i="11"/>
  <c r="F75" i="11"/>
  <c r="F68" i="11"/>
  <c r="F28" i="11"/>
  <c r="F77" i="11"/>
  <c r="AD37" i="23"/>
  <c r="AD39" i="23" s="1"/>
  <c r="AD60" i="7" s="1"/>
  <c r="AE30" i="13"/>
  <c r="AJ34" i="13"/>
  <c r="AJ58" i="13"/>
  <c r="AK24" i="13"/>
  <c r="AK36" i="13" s="1"/>
  <c r="AK23" i="13"/>
  <c r="AK35" i="13" s="1"/>
  <c r="AK47" i="13"/>
  <c r="AK59" i="13" s="1"/>
  <c r="AK48" i="13"/>
  <c r="AK60" i="13" s="1"/>
  <c r="AF19" i="13"/>
  <c r="AF31" i="13" s="1"/>
  <c r="AF20" i="13"/>
  <c r="AF32" i="13" s="1"/>
  <c r="AE30" i="23"/>
  <c r="AE34" i="23" s="1"/>
  <c r="AE22" i="23"/>
  <c r="F30" i="11"/>
  <c r="F24" i="11"/>
  <c r="F45" i="11" s="1"/>
  <c r="F29" i="11"/>
  <c r="F21" i="11"/>
  <c r="F22" i="11"/>
  <c r="F43" i="11" s="1"/>
  <c r="F15" i="11"/>
  <c r="F36" i="11" s="1"/>
  <c r="F31" i="11"/>
  <c r="F52" i="11" s="1"/>
  <c r="G74" i="11" l="1"/>
  <c r="F23" i="11"/>
  <c r="F44" i="11" s="1"/>
  <c r="F59" i="11"/>
  <c r="F83" i="11" s="1"/>
  <c r="F78" i="11"/>
  <c r="F69" i="11"/>
  <c r="F61" i="11"/>
  <c r="G61" i="11" s="1"/>
  <c r="F76" i="11"/>
  <c r="F98" i="11" s="1"/>
  <c r="F17" i="11"/>
  <c r="F38" i="11" s="1"/>
  <c r="E54" i="11"/>
  <c r="F70" i="11"/>
  <c r="G70" i="11" s="1"/>
  <c r="F20" i="11"/>
  <c r="G20" i="11" s="1"/>
  <c r="F14" i="11"/>
  <c r="G14" i="11" s="1"/>
  <c r="F27" i="11"/>
  <c r="G27" i="11" s="1"/>
  <c r="AI50" i="13"/>
  <c r="AH52" i="13"/>
  <c r="AH64" i="13" s="1"/>
  <c r="AH51" i="13"/>
  <c r="AH63" i="13" s="1"/>
  <c r="AG62" i="13"/>
  <c r="F13" i="11"/>
  <c r="F34" i="11" s="1"/>
  <c r="D102" i="11"/>
  <c r="D105" i="11" s="1"/>
  <c r="F60" i="11"/>
  <c r="G60" i="11" s="1"/>
  <c r="E102" i="11"/>
  <c r="F58" i="11"/>
  <c r="F82" i="11" s="1"/>
  <c r="F16" i="11"/>
  <c r="G16" i="11" s="1"/>
  <c r="G68" i="11"/>
  <c r="F91" i="11"/>
  <c r="G77" i="11"/>
  <c r="F99" i="11"/>
  <c r="G67" i="11"/>
  <c r="F90" i="11"/>
  <c r="G75" i="11"/>
  <c r="F97" i="11"/>
  <c r="G28" i="11"/>
  <c r="F49" i="11"/>
  <c r="G21" i="11"/>
  <c r="F42" i="11"/>
  <c r="F62" i="11"/>
  <c r="F86" i="11" s="1"/>
  <c r="G69" i="11"/>
  <c r="G92" i="11" s="1"/>
  <c r="F92" i="11"/>
  <c r="G29" i="11"/>
  <c r="F50" i="11"/>
  <c r="G30" i="11"/>
  <c r="F51" i="11"/>
  <c r="G78" i="11"/>
  <c r="G100" i="11" s="1"/>
  <c r="F100" i="11"/>
  <c r="F66" i="11"/>
  <c r="F89" i="11" s="1"/>
  <c r="H74" i="11"/>
  <c r="G96" i="11"/>
  <c r="F85" i="11"/>
  <c r="F84" i="11"/>
  <c r="AD38" i="23"/>
  <c r="AD46" i="7" s="1"/>
  <c r="AD32" i="7"/>
  <c r="AD42" i="23"/>
  <c r="AK34" i="13"/>
  <c r="AE37" i="23"/>
  <c r="AE32" i="7" s="1"/>
  <c r="AL48" i="13"/>
  <c r="AL60" i="13" s="1"/>
  <c r="AL47" i="13"/>
  <c r="AL59" i="13" s="1"/>
  <c r="AK58" i="13"/>
  <c r="AL24" i="13"/>
  <c r="AL36" i="13" s="1"/>
  <c r="AL23" i="13"/>
  <c r="AL35" i="13" s="1"/>
  <c r="AF30" i="13"/>
  <c r="AG19" i="13"/>
  <c r="AG31" i="13" s="1"/>
  <c r="AG20" i="13"/>
  <c r="AG32" i="13" s="1"/>
  <c r="AF18" i="23"/>
  <c r="AF22" i="23" s="1"/>
  <c r="AF30" i="23"/>
  <c r="AF34" i="23" s="1"/>
  <c r="G31" i="11"/>
  <c r="G15" i="11"/>
  <c r="G36" i="11" s="1"/>
  <c r="G76" i="11"/>
  <c r="G98" i="11" s="1"/>
  <c r="G24" i="11"/>
  <c r="G45" i="11" s="1"/>
  <c r="G22" i="11"/>
  <c r="G43" i="11" s="1"/>
  <c r="E105" i="11" l="1"/>
  <c r="G23" i="11"/>
  <c r="G44" i="11" s="1"/>
  <c r="G59" i="11"/>
  <c r="G83" i="11" s="1"/>
  <c r="F93" i="11"/>
  <c r="F102" i="11" s="1"/>
  <c r="G17" i="11"/>
  <c r="G38" i="11" s="1"/>
  <c r="G58" i="11"/>
  <c r="G82" i="11" s="1"/>
  <c r="F35" i="11"/>
  <c r="F41" i="11"/>
  <c r="F48" i="11"/>
  <c r="F37" i="11"/>
  <c r="G13" i="11"/>
  <c r="G34" i="11" s="1"/>
  <c r="AH62" i="13"/>
  <c r="AJ50" i="13"/>
  <c r="AI51" i="13"/>
  <c r="AI63" i="13" s="1"/>
  <c r="AI52" i="13"/>
  <c r="AI64" i="13" s="1"/>
  <c r="G62" i="11"/>
  <c r="G86" i="11" s="1"/>
  <c r="H69" i="11"/>
  <c r="H92" i="11" s="1"/>
  <c r="G66" i="11"/>
  <c r="G89" i="11" s="1"/>
  <c r="H30" i="11"/>
  <c r="G51" i="11"/>
  <c r="H75" i="11"/>
  <c r="G97" i="11"/>
  <c r="H28" i="11"/>
  <c r="G49" i="11"/>
  <c r="H78" i="11"/>
  <c r="H100" i="11" s="1"/>
  <c r="I74" i="11"/>
  <c r="H96" i="11"/>
  <c r="H67" i="11"/>
  <c r="G90" i="11"/>
  <c r="H31" i="11"/>
  <c r="G52" i="11"/>
  <c r="H21" i="11"/>
  <c r="G42" i="11"/>
  <c r="H77" i="11"/>
  <c r="G99" i="11"/>
  <c r="H70" i="11"/>
  <c r="G93" i="11"/>
  <c r="H20" i="11"/>
  <c r="G41" i="11"/>
  <c r="H29" i="11"/>
  <c r="G50" i="11"/>
  <c r="H27" i="11"/>
  <c r="G48" i="11"/>
  <c r="H68" i="11"/>
  <c r="G91" i="11"/>
  <c r="H60" i="11"/>
  <c r="G84" i="11"/>
  <c r="H61" i="11"/>
  <c r="G85" i="11"/>
  <c r="H14" i="11"/>
  <c r="G35" i="11"/>
  <c r="H16" i="11"/>
  <c r="G37" i="11"/>
  <c r="AE38" i="23"/>
  <c r="AE46" i="7" s="1"/>
  <c r="D30" i="7"/>
  <c r="E30" i="7"/>
  <c r="E110" i="11"/>
  <c r="D110" i="11"/>
  <c r="AE39" i="23"/>
  <c r="AE60" i="7" s="1"/>
  <c r="AE42" i="23"/>
  <c r="AL58" i="13"/>
  <c r="AL34" i="13"/>
  <c r="AM24" i="13"/>
  <c r="AM36" i="13" s="1"/>
  <c r="AM23" i="13"/>
  <c r="AM35" i="13" s="1"/>
  <c r="AM47" i="13"/>
  <c r="AM59" i="13" s="1"/>
  <c r="AM48" i="13"/>
  <c r="AM60" i="13" s="1"/>
  <c r="AF37" i="23"/>
  <c r="AF38" i="23" s="1"/>
  <c r="AI19" i="13"/>
  <c r="AI31" i="13" s="1"/>
  <c r="AI20" i="13"/>
  <c r="AI32" i="13" s="1"/>
  <c r="AG30" i="13"/>
  <c r="AH19" i="13"/>
  <c r="AH31" i="13" s="1"/>
  <c r="AH20" i="13"/>
  <c r="AH32" i="13" s="1"/>
  <c r="H23" i="11"/>
  <c r="H44" i="11" s="1"/>
  <c r="H22" i="11"/>
  <c r="H43" i="11" s="1"/>
  <c r="H15" i="11"/>
  <c r="H36" i="11" s="1"/>
  <c r="H59" i="11"/>
  <c r="H83" i="11" s="1"/>
  <c r="H17" i="11"/>
  <c r="H38" i="11" s="1"/>
  <c r="H24" i="11"/>
  <c r="H45" i="11" s="1"/>
  <c r="H76" i="11"/>
  <c r="H98" i="11" s="1"/>
  <c r="H58" i="11" l="1"/>
  <c r="H82" i="11" s="1"/>
  <c r="G9" i="7"/>
  <c r="E9" i="7"/>
  <c r="C139" i="5" s="1"/>
  <c r="C46" i="7"/>
  <c r="F54" i="11"/>
  <c r="I69" i="11"/>
  <c r="I92" i="11" s="1"/>
  <c r="H62" i="11"/>
  <c r="H86" i="11" s="1"/>
  <c r="H13" i="11"/>
  <c r="H34" i="11" s="1"/>
  <c r="H66" i="11"/>
  <c r="H89" i="11" s="1"/>
  <c r="AI62" i="13"/>
  <c r="AJ51" i="13"/>
  <c r="AJ63" i="13" s="1"/>
  <c r="AJ52" i="13"/>
  <c r="AJ64" i="13" s="1"/>
  <c r="AK50" i="13"/>
  <c r="I78" i="11"/>
  <c r="I100" i="11" s="1"/>
  <c r="I31" i="11"/>
  <c r="H52" i="11"/>
  <c r="I27" i="11"/>
  <c r="H48" i="11"/>
  <c r="I20" i="11"/>
  <c r="H41" i="11"/>
  <c r="J74" i="11"/>
  <c r="I96" i="11"/>
  <c r="G102" i="11"/>
  <c r="I28" i="11"/>
  <c r="H49" i="11"/>
  <c r="I77" i="11"/>
  <c r="H99" i="11"/>
  <c r="I70" i="11"/>
  <c r="H93" i="11"/>
  <c r="I75" i="11"/>
  <c r="H97" i="11"/>
  <c r="I29" i="11"/>
  <c r="H50" i="11"/>
  <c r="I68" i="11"/>
  <c r="H91" i="11"/>
  <c r="I21" i="11"/>
  <c r="H42" i="11"/>
  <c r="I67" i="11"/>
  <c r="H90" i="11"/>
  <c r="I30" i="11"/>
  <c r="H51" i="11"/>
  <c r="I61" i="11"/>
  <c r="H85" i="11"/>
  <c r="I60" i="11"/>
  <c r="H84" i="11"/>
  <c r="I16" i="11"/>
  <c r="H37" i="11"/>
  <c r="I14" i="11"/>
  <c r="H35" i="11"/>
  <c r="AM34" i="13"/>
  <c r="AF42" i="23"/>
  <c r="AM58" i="13"/>
  <c r="AF39" i="23"/>
  <c r="AN23" i="13"/>
  <c r="AN35" i="13" s="1"/>
  <c r="AN24" i="13"/>
  <c r="AN36" i="13" s="1"/>
  <c r="AN47" i="13"/>
  <c r="AN59" i="13" s="1"/>
  <c r="AN48" i="13"/>
  <c r="AN60" i="13" s="1"/>
  <c r="AI30" i="13"/>
  <c r="AJ20" i="13"/>
  <c r="AJ32" i="13" s="1"/>
  <c r="AJ19" i="13"/>
  <c r="AJ31" i="13" s="1"/>
  <c r="AH30" i="13"/>
  <c r="F105" i="11"/>
  <c r="G54" i="11"/>
  <c r="I15" i="11"/>
  <c r="I36" i="11" s="1"/>
  <c r="I22" i="11"/>
  <c r="I43" i="11" s="1"/>
  <c r="I23" i="11"/>
  <c r="I44" i="11" s="1"/>
  <c r="I17" i="11"/>
  <c r="I38" i="11" s="1"/>
  <c r="I24" i="11"/>
  <c r="I45" i="11" s="1"/>
  <c r="I59" i="11"/>
  <c r="I83" i="11" s="1"/>
  <c r="I58" i="11"/>
  <c r="I82" i="11" s="1"/>
  <c r="I76" i="11"/>
  <c r="I98" i="11" s="1"/>
  <c r="J69" i="11"/>
  <c r="I62" i="11"/>
  <c r="I86" i="11" s="1"/>
  <c r="I66" i="11" l="1"/>
  <c r="I89" i="11" s="1"/>
  <c r="I13" i="11"/>
  <c r="I34" i="11" s="1"/>
  <c r="C32" i="7"/>
  <c r="D9" i="7"/>
  <c r="B139" i="5" s="1"/>
  <c r="F9" i="7"/>
  <c r="D139" i="5" s="1"/>
  <c r="C60" i="7"/>
  <c r="J78" i="11"/>
  <c r="K78" i="11" s="1"/>
  <c r="AK51" i="13"/>
  <c r="AK63" i="13" s="1"/>
  <c r="AL50" i="13"/>
  <c r="AK52" i="13"/>
  <c r="AK64" i="13" s="1"/>
  <c r="J92" i="11"/>
  <c r="K69" i="11"/>
  <c r="AJ62" i="13"/>
  <c r="J96" i="11"/>
  <c r="K74" i="11"/>
  <c r="J77" i="11"/>
  <c r="I99" i="11"/>
  <c r="J68" i="11"/>
  <c r="I91" i="11"/>
  <c r="J28" i="11"/>
  <c r="I49" i="11"/>
  <c r="J20" i="11"/>
  <c r="I41" i="11"/>
  <c r="J67" i="11"/>
  <c r="I90" i="11"/>
  <c r="J75" i="11"/>
  <c r="I97" i="11"/>
  <c r="J21" i="11"/>
  <c r="I42" i="11"/>
  <c r="J27" i="11"/>
  <c r="I48" i="11"/>
  <c r="J29" i="11"/>
  <c r="I50" i="11"/>
  <c r="J30" i="11"/>
  <c r="I51" i="11"/>
  <c r="J70" i="11"/>
  <c r="I93" i="11"/>
  <c r="H102" i="11"/>
  <c r="J31" i="11"/>
  <c r="I52" i="11"/>
  <c r="J60" i="11"/>
  <c r="I84" i="11"/>
  <c r="J61" i="11"/>
  <c r="I85" i="11"/>
  <c r="J14" i="11"/>
  <c r="I35" i="11"/>
  <c r="J16" i="11"/>
  <c r="I37" i="11"/>
  <c r="F30" i="7"/>
  <c r="AN34" i="13"/>
  <c r="AJ30" i="13"/>
  <c r="AN58" i="13"/>
  <c r="AK19" i="13"/>
  <c r="AK31" i="13" s="1"/>
  <c r="AK20" i="13"/>
  <c r="AK32" i="13" s="1"/>
  <c r="G105" i="11"/>
  <c r="H54" i="11"/>
  <c r="J62" i="11"/>
  <c r="J13" i="11"/>
  <c r="J66" i="11"/>
  <c r="J24" i="11"/>
  <c r="J45" i="11" s="1"/>
  <c r="J17" i="11"/>
  <c r="J38" i="11" s="1"/>
  <c r="J22" i="11"/>
  <c r="J43" i="11" s="1"/>
  <c r="J76" i="11"/>
  <c r="J59" i="11"/>
  <c r="J15" i="11"/>
  <c r="J36" i="11" s="1"/>
  <c r="J58" i="11"/>
  <c r="K58" i="11" s="1"/>
  <c r="J23" i="11"/>
  <c r="J44" i="11" s="1"/>
  <c r="J100" i="11" l="1"/>
  <c r="J86" i="11"/>
  <c r="K62" i="11"/>
  <c r="J99" i="11"/>
  <c r="K77" i="11"/>
  <c r="J90" i="11"/>
  <c r="K67" i="11"/>
  <c r="J83" i="11"/>
  <c r="K59" i="11"/>
  <c r="J97" i="11"/>
  <c r="K75" i="11"/>
  <c r="J93" i="11"/>
  <c r="K70" i="11"/>
  <c r="J85" i="11"/>
  <c r="K61" i="11"/>
  <c r="J89" i="11"/>
  <c r="K66" i="11"/>
  <c r="J91" i="11"/>
  <c r="K68" i="11"/>
  <c r="AL51" i="13"/>
  <c r="AL63" i="13" s="1"/>
  <c r="AL52" i="13"/>
  <c r="AL64" i="13" s="1"/>
  <c r="AM50" i="13"/>
  <c r="J98" i="11"/>
  <c r="K76" i="11"/>
  <c r="J84" i="11"/>
  <c r="K60" i="11"/>
  <c r="AK62" i="13"/>
  <c r="K20" i="11"/>
  <c r="J41" i="11"/>
  <c r="K29" i="11"/>
  <c r="J50" i="11"/>
  <c r="K28" i="11"/>
  <c r="J49" i="11"/>
  <c r="I102" i="11"/>
  <c r="K27" i="11"/>
  <c r="J48" i="11"/>
  <c r="K31" i="11"/>
  <c r="J52" i="11"/>
  <c r="K30" i="11"/>
  <c r="J51" i="11"/>
  <c r="K21" i="11"/>
  <c r="J42" i="11"/>
  <c r="K16" i="11"/>
  <c r="J37" i="11"/>
  <c r="K13" i="11"/>
  <c r="J34" i="11"/>
  <c r="K14" i="11"/>
  <c r="J35" i="11"/>
  <c r="J82" i="11"/>
  <c r="G30" i="7"/>
  <c r="AK30" i="13"/>
  <c r="AL20" i="13"/>
  <c r="AL32" i="13" s="1"/>
  <c r="AL19" i="13"/>
  <c r="AL31" i="13" s="1"/>
  <c r="H105" i="11"/>
  <c r="I54" i="11"/>
  <c r="K15" i="11"/>
  <c r="K22" i="11"/>
  <c r="K23" i="11"/>
  <c r="K17" i="11"/>
  <c r="K24" i="11"/>
  <c r="AL62" i="13" l="1"/>
  <c r="AM52" i="13"/>
  <c r="AM64" i="13" s="1"/>
  <c r="AN50" i="13"/>
  <c r="AO50" i="13" s="1"/>
  <c r="AM51" i="13"/>
  <c r="AM63" i="13" s="1"/>
  <c r="J102" i="11"/>
  <c r="L30" i="11"/>
  <c r="K99" i="11"/>
  <c r="K51" i="11"/>
  <c r="L28" i="11"/>
  <c r="K97" i="11"/>
  <c r="K49" i="11"/>
  <c r="K91" i="11"/>
  <c r="K43" i="11"/>
  <c r="K93" i="11"/>
  <c r="K45" i="11"/>
  <c r="L29" i="11"/>
  <c r="K98" i="11"/>
  <c r="K50" i="11"/>
  <c r="L21" i="11"/>
  <c r="K90" i="11"/>
  <c r="K42" i="11"/>
  <c r="L31" i="11"/>
  <c r="K100" i="11"/>
  <c r="K52" i="11"/>
  <c r="L27" i="11"/>
  <c r="K96" i="11"/>
  <c r="K48" i="11"/>
  <c r="K92" i="11"/>
  <c r="K44" i="11"/>
  <c r="L20" i="11"/>
  <c r="K89" i="11"/>
  <c r="K41" i="11"/>
  <c r="K84" i="11"/>
  <c r="K36" i="11"/>
  <c r="K82" i="11"/>
  <c r="K34" i="11"/>
  <c r="K86" i="11"/>
  <c r="K38" i="11"/>
  <c r="L14" i="11"/>
  <c r="K83" i="11"/>
  <c r="K35" i="11"/>
  <c r="L16" i="11"/>
  <c r="K85" i="11"/>
  <c r="K37" i="11"/>
  <c r="H30" i="7"/>
  <c r="AL30" i="13"/>
  <c r="AM19" i="13"/>
  <c r="AM31" i="13" s="1"/>
  <c r="AM20" i="13"/>
  <c r="AM32" i="13" s="1"/>
  <c r="I105" i="11"/>
  <c r="L15" i="11"/>
  <c r="L24" i="11"/>
  <c r="J54" i="11"/>
  <c r="L23" i="11"/>
  <c r="L17" i="11"/>
  <c r="L13" i="11"/>
  <c r="L58" i="11" s="1"/>
  <c r="L22" i="11"/>
  <c r="AM62" i="13" l="1"/>
  <c r="AO52" i="13"/>
  <c r="AO64" i="13" s="1"/>
  <c r="AO51" i="13"/>
  <c r="AO63" i="13" s="1"/>
  <c r="AN52" i="13"/>
  <c r="AN64" i="13" s="1"/>
  <c r="AN51" i="13"/>
  <c r="AN63" i="13" s="1"/>
  <c r="K102" i="11"/>
  <c r="M29" i="11"/>
  <c r="L76" i="11"/>
  <c r="L98" i="11" s="1"/>
  <c r="L50" i="11"/>
  <c r="L68" i="11"/>
  <c r="L91" i="11" s="1"/>
  <c r="L43" i="11"/>
  <c r="M31" i="11"/>
  <c r="L78" i="11"/>
  <c r="L100" i="11" s="1"/>
  <c r="L52" i="11"/>
  <c r="M27" i="11"/>
  <c r="L48" i="11"/>
  <c r="L74" i="11"/>
  <c r="L96" i="11" s="1"/>
  <c r="M28" i="11"/>
  <c r="L49" i="11"/>
  <c r="L75" i="11"/>
  <c r="L97" i="11" s="1"/>
  <c r="L69" i="11"/>
  <c r="L92" i="11" s="1"/>
  <c r="L44" i="11"/>
  <c r="M21" i="11"/>
  <c r="L67" i="11"/>
  <c r="L90" i="11" s="1"/>
  <c r="L42" i="11"/>
  <c r="L70" i="11"/>
  <c r="L93" i="11" s="1"/>
  <c r="L45" i="11"/>
  <c r="M20" i="11"/>
  <c r="L66" i="11"/>
  <c r="L89" i="11" s="1"/>
  <c r="L41" i="11"/>
  <c r="M30" i="11"/>
  <c r="L77" i="11"/>
  <c r="L99" i="11" s="1"/>
  <c r="L51" i="11"/>
  <c r="M14" i="11"/>
  <c r="L59" i="11"/>
  <c r="L83" i="11" s="1"/>
  <c r="L35" i="11"/>
  <c r="L60" i="11"/>
  <c r="L84" i="11" s="1"/>
  <c r="L36" i="11"/>
  <c r="L62" i="11"/>
  <c r="L86" i="11" s="1"/>
  <c r="L38" i="11"/>
  <c r="L82" i="11"/>
  <c r="L34" i="11"/>
  <c r="M16" i="11"/>
  <c r="L61" i="11"/>
  <c r="L85" i="11" s="1"/>
  <c r="L37" i="11"/>
  <c r="I30" i="7"/>
  <c r="AN19" i="13"/>
  <c r="AN31" i="13" s="1"/>
  <c r="AN20" i="13"/>
  <c r="AN32" i="13" s="1"/>
  <c r="AM30" i="13"/>
  <c r="J105" i="11"/>
  <c r="K54" i="11"/>
  <c r="M24" i="11"/>
  <c r="M15" i="11"/>
  <c r="M23" i="11"/>
  <c r="M22" i="11"/>
  <c r="M13" i="11"/>
  <c r="M17" i="11"/>
  <c r="AO62" i="13" l="1"/>
  <c r="AN62" i="13"/>
  <c r="K105" i="11"/>
  <c r="M52" i="11"/>
  <c r="N31" i="11"/>
  <c r="M78" i="11"/>
  <c r="M100" i="11" s="1"/>
  <c r="M67" i="11"/>
  <c r="M90" i="11" s="1"/>
  <c r="M42" i="11"/>
  <c r="N21" i="11"/>
  <c r="N20" i="11"/>
  <c r="M66" i="11"/>
  <c r="M89" i="11" s="1"/>
  <c r="M41" i="11"/>
  <c r="M68" i="11"/>
  <c r="M91" i="11" s="1"/>
  <c r="M43" i="11"/>
  <c r="M69" i="11"/>
  <c r="M92" i="11" s="1"/>
  <c r="M44" i="11"/>
  <c r="N28" i="11"/>
  <c r="M49" i="11"/>
  <c r="M75" i="11"/>
  <c r="M97" i="11" s="1"/>
  <c r="M74" i="11"/>
  <c r="M96" i="11" s="1"/>
  <c r="M48" i="11"/>
  <c r="N27" i="11"/>
  <c r="M70" i="11"/>
  <c r="M93" i="11" s="1"/>
  <c r="M45" i="11"/>
  <c r="M51" i="11"/>
  <c r="M77" i="11"/>
  <c r="M99" i="11" s="1"/>
  <c r="N30" i="11"/>
  <c r="M50" i="11"/>
  <c r="M76" i="11"/>
  <c r="M98" i="11" s="1"/>
  <c r="N29" i="11"/>
  <c r="L102" i="11"/>
  <c r="M60" i="11"/>
  <c r="M84" i="11" s="1"/>
  <c r="M36" i="11"/>
  <c r="M62" i="11"/>
  <c r="M86" i="11" s="1"/>
  <c r="M38" i="11"/>
  <c r="M61" i="11"/>
  <c r="M85" i="11" s="1"/>
  <c r="M37" i="11"/>
  <c r="N16" i="11"/>
  <c r="M58" i="11"/>
  <c r="M82" i="11" s="1"/>
  <c r="M34" i="11"/>
  <c r="N14" i="11"/>
  <c r="M59" i="11"/>
  <c r="M83" i="11" s="1"/>
  <c r="M35" i="11"/>
  <c r="J30" i="7"/>
  <c r="AN30" i="13"/>
  <c r="N23" i="11"/>
  <c r="L54" i="11"/>
  <c r="N15" i="11"/>
  <c r="N17" i="11"/>
  <c r="N13" i="11"/>
  <c r="N24" i="11"/>
  <c r="N22" i="11"/>
  <c r="N51" i="11" l="1"/>
  <c r="N77" i="11"/>
  <c r="N99" i="11" s="1"/>
  <c r="O30" i="11"/>
  <c r="N66" i="11"/>
  <c r="N89" i="11" s="1"/>
  <c r="N41" i="11"/>
  <c r="O20" i="11"/>
  <c r="N67" i="11"/>
  <c r="N90" i="11" s="1"/>
  <c r="N42" i="11"/>
  <c r="O21" i="11"/>
  <c r="N68" i="11"/>
  <c r="N91" i="11" s="1"/>
  <c r="N43" i="11"/>
  <c r="N48" i="11"/>
  <c r="O27" i="11"/>
  <c r="N74" i="11"/>
  <c r="N96" i="11" s="1"/>
  <c r="N70" i="11"/>
  <c r="N93" i="11" s="1"/>
  <c r="N45" i="11"/>
  <c r="N50" i="11"/>
  <c r="N76" i="11"/>
  <c r="N98" i="11" s="1"/>
  <c r="O29" i="11"/>
  <c r="N49" i="11"/>
  <c r="N75" i="11"/>
  <c r="N97" i="11" s="1"/>
  <c r="O28" i="11"/>
  <c r="N52" i="11"/>
  <c r="O31" i="11"/>
  <c r="N78" i="11"/>
  <c r="N100" i="11" s="1"/>
  <c r="N69" i="11"/>
  <c r="N92" i="11" s="1"/>
  <c r="N44" i="11"/>
  <c r="M102" i="11"/>
  <c r="N61" i="11"/>
  <c r="N85" i="11" s="1"/>
  <c r="N37" i="11"/>
  <c r="O16" i="11"/>
  <c r="N58" i="11"/>
  <c r="N82" i="11" s="1"/>
  <c r="N34" i="11"/>
  <c r="N62" i="11"/>
  <c r="N86" i="11" s="1"/>
  <c r="N38" i="11"/>
  <c r="N59" i="11"/>
  <c r="N83" i="11" s="1"/>
  <c r="N35" i="11"/>
  <c r="O14" i="11"/>
  <c r="N60" i="11"/>
  <c r="N84" i="11" s="1"/>
  <c r="N36" i="11"/>
  <c r="L105" i="11"/>
  <c r="L30" i="7" s="1"/>
  <c r="K30" i="7"/>
  <c r="O17" i="11"/>
  <c r="O24" i="11"/>
  <c r="M54" i="11"/>
  <c r="O15" i="11"/>
  <c r="O13" i="11"/>
  <c r="O22" i="11"/>
  <c r="O23" i="11"/>
  <c r="P29" i="11" l="1"/>
  <c r="O50" i="11"/>
  <c r="O76" i="11"/>
  <c r="O98" i="11" s="1"/>
  <c r="P21" i="11"/>
  <c r="O67" i="11"/>
  <c r="O90" i="11" s="1"/>
  <c r="O42" i="11"/>
  <c r="P20" i="11"/>
  <c r="O66" i="11"/>
  <c r="O89" i="11" s="1"/>
  <c r="O41" i="11"/>
  <c r="O68" i="11"/>
  <c r="O91" i="11" s="1"/>
  <c r="O43" i="11"/>
  <c r="P28" i="11"/>
  <c r="O49" i="11"/>
  <c r="O75" i="11"/>
  <c r="O97" i="11" s="1"/>
  <c r="P30" i="11"/>
  <c r="O51" i="11"/>
  <c r="O77" i="11"/>
  <c r="O99" i="11" s="1"/>
  <c r="P31" i="11"/>
  <c r="O52" i="11"/>
  <c r="O78" i="11"/>
  <c r="O100" i="11" s="1"/>
  <c r="O70" i="11"/>
  <c r="O93" i="11" s="1"/>
  <c r="O45" i="11"/>
  <c r="O69" i="11"/>
  <c r="O92" i="11" s="1"/>
  <c r="O44" i="11"/>
  <c r="P27" i="11"/>
  <c r="O48" i="11"/>
  <c r="O74" i="11"/>
  <c r="O96" i="11" s="1"/>
  <c r="P16" i="11"/>
  <c r="O61" i="11"/>
  <c r="O85" i="11" s="1"/>
  <c r="O37" i="11"/>
  <c r="O60" i="11"/>
  <c r="O84" i="11" s="1"/>
  <c r="O36" i="11"/>
  <c r="O62" i="11"/>
  <c r="O86" i="11" s="1"/>
  <c r="O38" i="11"/>
  <c r="P14" i="11"/>
  <c r="O59" i="11"/>
  <c r="O83" i="11" s="1"/>
  <c r="O35" i="11"/>
  <c r="O58" i="11"/>
  <c r="O82" i="11" s="1"/>
  <c r="O34" i="11"/>
  <c r="N102" i="11"/>
  <c r="N54" i="11"/>
  <c r="M105" i="11"/>
  <c r="P15" i="11"/>
  <c r="P13" i="11"/>
  <c r="P24" i="11"/>
  <c r="P22" i="11"/>
  <c r="P23" i="11"/>
  <c r="P17" i="11"/>
  <c r="Q28" i="11" l="1"/>
  <c r="P49" i="11"/>
  <c r="P75" i="11"/>
  <c r="P97" i="11" s="1"/>
  <c r="Q20" i="11"/>
  <c r="P66" i="11"/>
  <c r="P89" i="11" s="1"/>
  <c r="P41" i="11"/>
  <c r="Q21" i="11"/>
  <c r="P67" i="11"/>
  <c r="P90" i="11" s="1"/>
  <c r="P42" i="11"/>
  <c r="Q31" i="11"/>
  <c r="P52" i="11"/>
  <c r="P78" i="11"/>
  <c r="P100" i="11" s="1"/>
  <c r="P69" i="11"/>
  <c r="P92" i="11" s="1"/>
  <c r="P44" i="11"/>
  <c r="P68" i="11"/>
  <c r="P91" i="11" s="1"/>
  <c r="P43" i="11"/>
  <c r="Q30" i="11"/>
  <c r="P51" i="11"/>
  <c r="P77" i="11"/>
  <c r="P99" i="11" s="1"/>
  <c r="P70" i="11"/>
  <c r="P93" i="11" s="1"/>
  <c r="P45" i="11"/>
  <c r="Q27" i="11"/>
  <c r="P48" i="11"/>
  <c r="P74" i="11"/>
  <c r="P96" i="11" s="1"/>
  <c r="Q29" i="11"/>
  <c r="P50" i="11"/>
  <c r="P76" i="11"/>
  <c r="P98" i="11" s="1"/>
  <c r="P58" i="11"/>
  <c r="P82" i="11" s="1"/>
  <c r="P34" i="11"/>
  <c r="Q14" i="11"/>
  <c r="P59" i="11"/>
  <c r="P83" i="11" s="1"/>
  <c r="P35" i="11"/>
  <c r="O102" i="11"/>
  <c r="P62" i="11"/>
  <c r="P86" i="11" s="1"/>
  <c r="P38" i="11"/>
  <c r="P60" i="11"/>
  <c r="P84" i="11" s="1"/>
  <c r="P36" i="11"/>
  <c r="Q16" i="11"/>
  <c r="P61" i="11"/>
  <c r="P85" i="11" s="1"/>
  <c r="P37" i="11"/>
  <c r="M30" i="7"/>
  <c r="N105" i="11"/>
  <c r="O54" i="11"/>
  <c r="Q13" i="11"/>
  <c r="Q23" i="11"/>
  <c r="Q22" i="11"/>
  <c r="Q17" i="11"/>
  <c r="Q15" i="11"/>
  <c r="Q24" i="11"/>
  <c r="Q69" i="11" l="1"/>
  <c r="Q92" i="11" s="1"/>
  <c r="Q44" i="11"/>
  <c r="Q68" i="11"/>
  <c r="Q91" i="11" s="1"/>
  <c r="Q43" i="11"/>
  <c r="R27" i="11"/>
  <c r="Q48" i="11"/>
  <c r="Q74" i="11"/>
  <c r="Q96" i="11" s="1"/>
  <c r="R31" i="11"/>
  <c r="Q52" i="11"/>
  <c r="Q78" i="11"/>
  <c r="Q100" i="11" s="1"/>
  <c r="R21" i="11"/>
  <c r="Q67" i="11"/>
  <c r="Q90" i="11" s="1"/>
  <c r="Q42" i="11"/>
  <c r="R20" i="11"/>
  <c r="Q66" i="11"/>
  <c r="Q89" i="11" s="1"/>
  <c r="Q41" i="11"/>
  <c r="R30" i="11"/>
  <c r="Q51" i="11"/>
  <c r="Q77" i="11"/>
  <c r="Q99" i="11" s="1"/>
  <c r="Q70" i="11"/>
  <c r="Q93" i="11" s="1"/>
  <c r="Q45" i="11"/>
  <c r="R29" i="11"/>
  <c r="Q50" i="11"/>
  <c r="Q76" i="11"/>
  <c r="Q98" i="11" s="1"/>
  <c r="R28" i="11"/>
  <c r="Q49" i="11"/>
  <c r="Q75" i="11"/>
  <c r="Q97" i="11" s="1"/>
  <c r="Q60" i="11"/>
  <c r="Q84" i="11" s="1"/>
  <c r="Q36" i="11"/>
  <c r="Q62" i="11"/>
  <c r="Q86" i="11" s="1"/>
  <c r="Q38" i="11"/>
  <c r="R16" i="11"/>
  <c r="Q61" i="11"/>
  <c r="Q85" i="11" s="1"/>
  <c r="Q37" i="11"/>
  <c r="R14" i="11"/>
  <c r="Q59" i="11"/>
  <c r="Q83" i="11" s="1"/>
  <c r="Q35" i="11"/>
  <c r="Q58" i="11"/>
  <c r="Q82" i="11" s="1"/>
  <c r="Q34" i="11"/>
  <c r="P102" i="11"/>
  <c r="N30" i="7"/>
  <c r="O105" i="11"/>
  <c r="R24" i="11"/>
  <c r="R22" i="11"/>
  <c r="R23" i="11"/>
  <c r="P54" i="11"/>
  <c r="R15" i="11"/>
  <c r="R17" i="11"/>
  <c r="R13" i="11"/>
  <c r="R70" i="11" l="1"/>
  <c r="R93" i="11" s="1"/>
  <c r="R45" i="11"/>
  <c r="R68" i="11"/>
  <c r="R91" i="11" s="1"/>
  <c r="R43" i="11"/>
  <c r="S21" i="11"/>
  <c r="R67" i="11"/>
  <c r="R90" i="11" s="1"/>
  <c r="R42" i="11"/>
  <c r="S30" i="11"/>
  <c r="R51" i="11"/>
  <c r="R77" i="11"/>
  <c r="R99" i="11" s="1"/>
  <c r="S27" i="11"/>
  <c r="R48" i="11"/>
  <c r="R74" i="11"/>
  <c r="R96" i="11" s="1"/>
  <c r="R69" i="11"/>
  <c r="R92" i="11" s="1"/>
  <c r="R44" i="11"/>
  <c r="S31" i="11"/>
  <c r="R52" i="11"/>
  <c r="R78" i="11"/>
  <c r="R100" i="11" s="1"/>
  <c r="S29" i="11"/>
  <c r="R50" i="11"/>
  <c r="R76" i="11"/>
  <c r="R98" i="11" s="1"/>
  <c r="S20" i="11"/>
  <c r="R66" i="11"/>
  <c r="R89" i="11" s="1"/>
  <c r="R41" i="11"/>
  <c r="S28" i="11"/>
  <c r="R49" i="11"/>
  <c r="R75" i="11"/>
  <c r="R97" i="11" s="1"/>
  <c r="S16" i="11"/>
  <c r="R61" i="11"/>
  <c r="R85" i="11" s="1"/>
  <c r="R37" i="11"/>
  <c r="R60" i="11"/>
  <c r="R84" i="11" s="1"/>
  <c r="R36" i="11"/>
  <c r="S14" i="11"/>
  <c r="R59" i="11"/>
  <c r="R83" i="11" s="1"/>
  <c r="R35" i="11"/>
  <c r="Q102" i="11"/>
  <c r="R58" i="11"/>
  <c r="R82" i="11" s="1"/>
  <c r="R34" i="11"/>
  <c r="R62" i="11"/>
  <c r="R86" i="11" s="1"/>
  <c r="R38" i="11"/>
  <c r="O30" i="7"/>
  <c r="P105" i="11"/>
  <c r="Q54" i="11"/>
  <c r="S22" i="11"/>
  <c r="S15" i="11"/>
  <c r="S23" i="11"/>
  <c r="S17" i="11"/>
  <c r="S13" i="11"/>
  <c r="S24" i="11"/>
  <c r="T20" i="11" l="1"/>
  <c r="S66" i="11"/>
  <c r="S89" i="11" s="1"/>
  <c r="S41" i="11"/>
  <c r="S68" i="11"/>
  <c r="S91" i="11" s="1"/>
  <c r="S43" i="11"/>
  <c r="T27" i="11"/>
  <c r="S48" i="11"/>
  <c r="S74" i="11"/>
  <c r="S96" i="11" s="1"/>
  <c r="S69" i="11"/>
  <c r="S92" i="11" s="1"/>
  <c r="S44" i="11"/>
  <c r="T21" i="11"/>
  <c r="S67" i="11"/>
  <c r="S90" i="11" s="1"/>
  <c r="S42" i="11"/>
  <c r="T31" i="11"/>
  <c r="S52" i="11"/>
  <c r="S78" i="11"/>
  <c r="S100" i="11" s="1"/>
  <c r="T30" i="11"/>
  <c r="S51" i="11"/>
  <c r="S77" i="11"/>
  <c r="S99" i="11" s="1"/>
  <c r="T29" i="11"/>
  <c r="S50" i="11"/>
  <c r="S76" i="11"/>
  <c r="S98" i="11" s="1"/>
  <c r="S70" i="11"/>
  <c r="S93" i="11" s="1"/>
  <c r="S45" i="11"/>
  <c r="T28" i="11"/>
  <c r="S49" i="11"/>
  <c r="S75" i="11"/>
  <c r="S97" i="11" s="1"/>
  <c r="T14" i="11"/>
  <c r="S59" i="11"/>
  <c r="S83" i="11" s="1"/>
  <c r="S35" i="11"/>
  <c r="S58" i="11"/>
  <c r="S82" i="11" s="1"/>
  <c r="S34" i="11"/>
  <c r="S62" i="11"/>
  <c r="S86" i="11" s="1"/>
  <c r="S38" i="11"/>
  <c r="S60" i="11"/>
  <c r="S84" i="11" s="1"/>
  <c r="S36" i="11"/>
  <c r="R102" i="11"/>
  <c r="T16" i="11"/>
  <c r="S61" i="11"/>
  <c r="S85" i="11" s="1"/>
  <c r="S37" i="11"/>
  <c r="P30" i="7"/>
  <c r="T13" i="11"/>
  <c r="T15" i="11"/>
  <c r="T17" i="11"/>
  <c r="T24" i="11"/>
  <c r="T22" i="11"/>
  <c r="R54" i="11"/>
  <c r="T23" i="11"/>
  <c r="Q105" i="11"/>
  <c r="U21" i="11" l="1"/>
  <c r="T67" i="11"/>
  <c r="T90" i="11" s="1"/>
  <c r="T42" i="11"/>
  <c r="T70" i="11"/>
  <c r="T93" i="11" s="1"/>
  <c r="T45" i="11"/>
  <c r="T69" i="11"/>
  <c r="T92" i="11" s="1"/>
  <c r="T44" i="11"/>
  <c r="T68" i="11"/>
  <c r="T91" i="11" s="1"/>
  <c r="T43" i="11"/>
  <c r="U29" i="11"/>
  <c r="T50" i="11"/>
  <c r="T76" i="11"/>
  <c r="T98" i="11" s="1"/>
  <c r="U27" i="11"/>
  <c r="T48" i="11"/>
  <c r="T74" i="11"/>
  <c r="T96" i="11" s="1"/>
  <c r="U30" i="11"/>
  <c r="T51" i="11"/>
  <c r="T77" i="11"/>
  <c r="T99" i="11" s="1"/>
  <c r="U31" i="11"/>
  <c r="T52" i="11"/>
  <c r="T78" i="11"/>
  <c r="T100" i="11" s="1"/>
  <c r="U28" i="11"/>
  <c r="T49" i="11"/>
  <c r="T75" i="11"/>
  <c r="T97" i="11" s="1"/>
  <c r="U20" i="11"/>
  <c r="T66" i="11"/>
  <c r="T89" i="11" s="1"/>
  <c r="T41" i="11"/>
  <c r="T58" i="11"/>
  <c r="T82" i="11" s="1"/>
  <c r="T34" i="11"/>
  <c r="S102" i="11"/>
  <c r="T60" i="11"/>
  <c r="T84" i="11" s="1"/>
  <c r="T36" i="11"/>
  <c r="U16" i="11"/>
  <c r="T61" i="11"/>
  <c r="T85" i="11" s="1"/>
  <c r="T37" i="11"/>
  <c r="T62" i="11"/>
  <c r="T86" i="11" s="1"/>
  <c r="T38" i="11"/>
  <c r="U14" i="11"/>
  <c r="T59" i="11"/>
  <c r="T83" i="11" s="1"/>
  <c r="T35" i="11"/>
  <c r="R105" i="11"/>
  <c r="R30" i="7" s="1"/>
  <c r="Q30" i="7"/>
  <c r="U17" i="11"/>
  <c r="U22" i="11"/>
  <c r="U15" i="11"/>
  <c r="S54" i="11"/>
  <c r="U24" i="11"/>
  <c r="U23" i="11"/>
  <c r="U13" i="11"/>
  <c r="U70" i="11" l="1"/>
  <c r="U93" i="11" s="1"/>
  <c r="U45" i="11"/>
  <c r="V28" i="11"/>
  <c r="U49" i="11"/>
  <c r="U75" i="11"/>
  <c r="U97" i="11" s="1"/>
  <c r="U68" i="11"/>
  <c r="U91" i="11" s="1"/>
  <c r="U43" i="11"/>
  <c r="U69" i="11"/>
  <c r="U92" i="11" s="1"/>
  <c r="U44" i="11"/>
  <c r="V29" i="11"/>
  <c r="U50" i="11"/>
  <c r="U76" i="11"/>
  <c r="U98" i="11" s="1"/>
  <c r="V31" i="11"/>
  <c r="U52" i="11"/>
  <c r="U78" i="11"/>
  <c r="U100" i="11" s="1"/>
  <c r="V30" i="11"/>
  <c r="U51" i="11"/>
  <c r="U77" i="11"/>
  <c r="U99" i="11" s="1"/>
  <c r="V20" i="11"/>
  <c r="U66" i="11"/>
  <c r="U89" i="11" s="1"/>
  <c r="U41" i="11"/>
  <c r="V27" i="11"/>
  <c r="U48" i="11"/>
  <c r="U74" i="11"/>
  <c r="U96" i="11" s="1"/>
  <c r="V21" i="11"/>
  <c r="U67" i="11"/>
  <c r="U90" i="11" s="1"/>
  <c r="U42" i="11"/>
  <c r="V16" i="11"/>
  <c r="U61" i="11"/>
  <c r="U85" i="11" s="1"/>
  <c r="U37" i="11"/>
  <c r="V14" i="11"/>
  <c r="U59" i="11"/>
  <c r="U83" i="11" s="1"/>
  <c r="U35" i="11"/>
  <c r="U60" i="11"/>
  <c r="U84" i="11" s="1"/>
  <c r="U36" i="11"/>
  <c r="U62" i="11"/>
  <c r="U86" i="11" s="1"/>
  <c r="U38" i="11"/>
  <c r="U58" i="11"/>
  <c r="U82" i="11" s="1"/>
  <c r="U34" i="11"/>
  <c r="T102" i="11"/>
  <c r="V23" i="11"/>
  <c r="V15" i="11"/>
  <c r="T54" i="11"/>
  <c r="V22" i="11"/>
  <c r="V24" i="11"/>
  <c r="V13" i="11"/>
  <c r="S105" i="11"/>
  <c r="V17" i="11"/>
  <c r="V70" i="11" l="1"/>
  <c r="V93" i="11" s="1"/>
  <c r="V45" i="11"/>
  <c r="W27" i="11"/>
  <c r="V48" i="11"/>
  <c r="V74" i="11"/>
  <c r="V96" i="11" s="1"/>
  <c r="W29" i="11"/>
  <c r="V50" i="11"/>
  <c r="V76" i="11"/>
  <c r="V98" i="11" s="1"/>
  <c r="W20" i="11"/>
  <c r="V66" i="11"/>
  <c r="V89" i="11" s="1"/>
  <c r="V41" i="11"/>
  <c r="V68" i="11"/>
  <c r="V91" i="11" s="1"/>
  <c r="V43" i="11"/>
  <c r="V69" i="11"/>
  <c r="V92" i="11" s="1"/>
  <c r="V44" i="11"/>
  <c r="W28" i="11"/>
  <c r="V49" i="11"/>
  <c r="V75" i="11"/>
  <c r="V97" i="11" s="1"/>
  <c r="W30" i="11"/>
  <c r="V51" i="11"/>
  <c r="V77" i="11"/>
  <c r="V99" i="11" s="1"/>
  <c r="W21" i="11"/>
  <c r="V67" i="11"/>
  <c r="V90" i="11" s="1"/>
  <c r="V42" i="11"/>
  <c r="W31" i="11"/>
  <c r="V52" i="11"/>
  <c r="V78" i="11"/>
  <c r="V100" i="11" s="1"/>
  <c r="V62" i="11"/>
  <c r="V86" i="11" s="1"/>
  <c r="V38" i="11"/>
  <c r="W14" i="11"/>
  <c r="V59" i="11"/>
  <c r="V83" i="11" s="1"/>
  <c r="V35" i="11"/>
  <c r="U102" i="11"/>
  <c r="V60" i="11"/>
  <c r="V84" i="11" s="1"/>
  <c r="V36" i="11"/>
  <c r="V58" i="11"/>
  <c r="V82" i="11" s="1"/>
  <c r="V34" i="11"/>
  <c r="W16" i="11"/>
  <c r="V61" i="11"/>
  <c r="V85" i="11" s="1"/>
  <c r="V37" i="11"/>
  <c r="S30" i="7"/>
  <c r="U54" i="11"/>
  <c r="T105" i="11"/>
  <c r="W15" i="11"/>
  <c r="W17" i="11"/>
  <c r="W24" i="11"/>
  <c r="W13" i="11"/>
  <c r="W22" i="11"/>
  <c r="W23" i="11"/>
  <c r="W70" i="11" l="1"/>
  <c r="W93" i="11" s="1"/>
  <c r="W45" i="11"/>
  <c r="X20" i="11"/>
  <c r="W66" i="11"/>
  <c r="W89" i="11" s="1"/>
  <c r="W41" i="11"/>
  <c r="X21" i="11"/>
  <c r="W67" i="11"/>
  <c r="W90" i="11" s="1"/>
  <c r="W42" i="11"/>
  <c r="W68" i="11"/>
  <c r="W91" i="11" s="1"/>
  <c r="W43" i="11"/>
  <c r="X30" i="11"/>
  <c r="W51" i="11"/>
  <c r="W77" i="11"/>
  <c r="W99" i="11" s="1"/>
  <c r="X27" i="11"/>
  <c r="W48" i="11"/>
  <c r="W74" i="11"/>
  <c r="W96" i="11" s="1"/>
  <c r="X29" i="11"/>
  <c r="W50" i="11"/>
  <c r="W76" i="11"/>
  <c r="W98" i="11" s="1"/>
  <c r="X28" i="11"/>
  <c r="W49" i="11"/>
  <c r="W75" i="11"/>
  <c r="W97" i="11" s="1"/>
  <c r="W69" i="11"/>
  <c r="W92" i="11" s="1"/>
  <c r="W44" i="11"/>
  <c r="X31" i="11"/>
  <c r="W52" i="11"/>
  <c r="W78" i="11"/>
  <c r="W100" i="11" s="1"/>
  <c r="X16" i="11"/>
  <c r="W61" i="11"/>
  <c r="W85" i="11" s="1"/>
  <c r="W37" i="11"/>
  <c r="X14" i="11"/>
  <c r="W59" i="11"/>
  <c r="W83" i="11" s="1"/>
  <c r="W35" i="11"/>
  <c r="W62" i="11"/>
  <c r="W86" i="11" s="1"/>
  <c r="W38" i="11"/>
  <c r="W58" i="11"/>
  <c r="W82" i="11" s="1"/>
  <c r="W34" i="11"/>
  <c r="W60" i="11"/>
  <c r="W84" i="11" s="1"/>
  <c r="W36" i="11"/>
  <c r="V102" i="11"/>
  <c r="T30" i="7"/>
  <c r="U105" i="11"/>
  <c r="X24" i="11"/>
  <c r="X22" i="11"/>
  <c r="V54" i="11"/>
  <c r="X17" i="11"/>
  <c r="X13" i="11"/>
  <c r="X23" i="11"/>
  <c r="X15" i="11"/>
  <c r="X69" i="11" l="1"/>
  <c r="X92" i="11" s="1"/>
  <c r="X44" i="11"/>
  <c r="Y30" i="11"/>
  <c r="X51" i="11"/>
  <c r="X77" i="11"/>
  <c r="X99" i="11" s="1"/>
  <c r="X68" i="11"/>
  <c r="X91" i="11" s="1"/>
  <c r="X43" i="11"/>
  <c r="Y21" i="11"/>
  <c r="X67" i="11"/>
  <c r="X90" i="11" s="1"/>
  <c r="X42" i="11"/>
  <c r="Y20" i="11"/>
  <c r="X66" i="11"/>
  <c r="X89" i="11" s="1"/>
  <c r="X41" i="11"/>
  <c r="X70" i="11"/>
  <c r="X93" i="11" s="1"/>
  <c r="X45" i="11"/>
  <c r="Y29" i="11"/>
  <c r="X50" i="11"/>
  <c r="X76" i="11"/>
  <c r="X98" i="11" s="1"/>
  <c r="Y27" i="11"/>
  <c r="X48" i="11"/>
  <c r="X74" i="11"/>
  <c r="X96" i="11" s="1"/>
  <c r="Y28" i="11"/>
  <c r="X49" i="11"/>
  <c r="X75" i="11"/>
  <c r="X97" i="11" s="1"/>
  <c r="Y31" i="11"/>
  <c r="X52" i="11"/>
  <c r="X78" i="11"/>
  <c r="X100" i="11" s="1"/>
  <c r="X60" i="11"/>
  <c r="X84" i="11" s="1"/>
  <c r="X36" i="11"/>
  <c r="Y14" i="11"/>
  <c r="X59" i="11"/>
  <c r="X83" i="11" s="1"/>
  <c r="X35" i="11"/>
  <c r="X62" i="11"/>
  <c r="X86" i="11" s="1"/>
  <c r="X38" i="11"/>
  <c r="X58" i="11"/>
  <c r="X82" i="11" s="1"/>
  <c r="X34" i="11"/>
  <c r="W102" i="11"/>
  <c r="Y16" i="11"/>
  <c r="X61" i="11"/>
  <c r="X85" i="11" s="1"/>
  <c r="X37" i="11"/>
  <c r="U30" i="7"/>
  <c r="V105" i="11"/>
  <c r="W54" i="11"/>
  <c r="Y17" i="11"/>
  <c r="Y13" i="11"/>
  <c r="Y22" i="11"/>
  <c r="Y15" i="11"/>
  <c r="Y23" i="11"/>
  <c r="Y24" i="11"/>
  <c r="X102" i="11" l="1"/>
  <c r="Z20" i="11"/>
  <c r="Y66" i="11"/>
  <c r="Y89" i="11" s="1"/>
  <c r="Y41" i="11"/>
  <c r="Z28" i="11"/>
  <c r="Y49" i="11"/>
  <c r="Y75" i="11"/>
  <c r="Y97" i="11" s="1"/>
  <c r="Z27" i="11"/>
  <c r="Y48" i="11"/>
  <c r="Y74" i="11"/>
  <c r="Y96" i="11" s="1"/>
  <c r="Y68" i="11"/>
  <c r="Y91" i="11" s="1"/>
  <c r="Y43" i="11"/>
  <c r="Z21" i="11"/>
  <c r="Y67" i="11"/>
  <c r="Y90" i="11" s="1"/>
  <c r="Y42" i="11"/>
  <c r="Z30" i="11"/>
  <c r="Y51" i="11"/>
  <c r="Y77" i="11"/>
  <c r="Y99" i="11" s="1"/>
  <c r="Y69" i="11"/>
  <c r="Y92" i="11" s="1"/>
  <c r="Y44" i="11"/>
  <c r="Z29" i="11"/>
  <c r="Y50" i="11"/>
  <c r="Y76" i="11"/>
  <c r="Y98" i="11" s="1"/>
  <c r="Y70" i="11"/>
  <c r="Y93" i="11" s="1"/>
  <c r="Y45" i="11"/>
  <c r="Z31" i="11"/>
  <c r="Y52" i="11"/>
  <c r="Y78" i="11"/>
  <c r="Y100" i="11" s="1"/>
  <c r="Z16" i="11"/>
  <c r="Y61" i="11"/>
  <c r="Y85" i="11" s="1"/>
  <c r="Y37" i="11"/>
  <c r="Z14" i="11"/>
  <c r="Y59" i="11"/>
  <c r="Y83" i="11" s="1"/>
  <c r="Y35" i="11"/>
  <c r="Y60" i="11"/>
  <c r="Y84" i="11" s="1"/>
  <c r="Y36" i="11"/>
  <c r="Y58" i="11"/>
  <c r="Y82" i="11" s="1"/>
  <c r="Y34" i="11"/>
  <c r="Y62" i="11"/>
  <c r="Y86" i="11" s="1"/>
  <c r="Y38" i="11"/>
  <c r="V30" i="7"/>
  <c r="W105" i="11"/>
  <c r="X54" i="11"/>
  <c r="Z13" i="11"/>
  <c r="Z15" i="11"/>
  <c r="Z23" i="11"/>
  <c r="Z24" i="11"/>
  <c r="Z17" i="11"/>
  <c r="Z22" i="11"/>
  <c r="Z68" i="11" l="1"/>
  <c r="Z91" i="11" s="1"/>
  <c r="Z43" i="11"/>
  <c r="Z69" i="11"/>
  <c r="Z92" i="11" s="1"/>
  <c r="Z44" i="11"/>
  <c r="AA27" i="11"/>
  <c r="Z48" i="11"/>
  <c r="Z74" i="11"/>
  <c r="Z96" i="11" s="1"/>
  <c r="AA28" i="11"/>
  <c r="Z49" i="11"/>
  <c r="Z75" i="11"/>
  <c r="Z97" i="11" s="1"/>
  <c r="Z70" i="11"/>
  <c r="Z93" i="11" s="1"/>
  <c r="Z45" i="11"/>
  <c r="AA30" i="11"/>
  <c r="Z51" i="11"/>
  <c r="Z77" i="11"/>
  <c r="Z99" i="11" s="1"/>
  <c r="AA21" i="11"/>
  <c r="Z67" i="11"/>
  <c r="Z90" i="11" s="1"/>
  <c r="Z42" i="11"/>
  <c r="AA29" i="11"/>
  <c r="Z50" i="11"/>
  <c r="Z76" i="11"/>
  <c r="Z98" i="11" s="1"/>
  <c r="AA31" i="11"/>
  <c r="Z52" i="11"/>
  <c r="Z78" i="11"/>
  <c r="Z100" i="11" s="1"/>
  <c r="AA20" i="11"/>
  <c r="Z66" i="11"/>
  <c r="Z89" i="11" s="1"/>
  <c r="Z41" i="11"/>
  <c r="Z58" i="11"/>
  <c r="Z82" i="11" s="1"/>
  <c r="Z34" i="11"/>
  <c r="Z62" i="11"/>
  <c r="Z86" i="11" s="1"/>
  <c r="Z38" i="11"/>
  <c r="AA14" i="11"/>
  <c r="Z59" i="11"/>
  <c r="Z83" i="11" s="1"/>
  <c r="Z35" i="11"/>
  <c r="Z60" i="11"/>
  <c r="Z84" i="11" s="1"/>
  <c r="Z36" i="11"/>
  <c r="Y102" i="11"/>
  <c r="AA16" i="11"/>
  <c r="Z61" i="11"/>
  <c r="Z85" i="11" s="1"/>
  <c r="Z37" i="11"/>
  <c r="W30" i="7"/>
  <c r="X105" i="11"/>
  <c r="AA22" i="11"/>
  <c r="AA23" i="11"/>
  <c r="AA17" i="11"/>
  <c r="AA15" i="11"/>
  <c r="Y54" i="11"/>
  <c r="AA24" i="11"/>
  <c r="AA13" i="11"/>
  <c r="AB31" i="11" l="1"/>
  <c r="AA52" i="11"/>
  <c r="AA78" i="11"/>
  <c r="AA100" i="11" s="1"/>
  <c r="AA70" i="11"/>
  <c r="AA93" i="11" s="1"/>
  <c r="AA45" i="11"/>
  <c r="AA68" i="11"/>
  <c r="AA91" i="11" s="1"/>
  <c r="AA43" i="11"/>
  <c r="AB27" i="11"/>
  <c r="AA48" i="11"/>
  <c r="AA74" i="11"/>
  <c r="AA96" i="11" s="1"/>
  <c r="AB21" i="11"/>
  <c r="AA67" i="11"/>
  <c r="AA90" i="11" s="1"/>
  <c r="AA42" i="11"/>
  <c r="AB28" i="11"/>
  <c r="AA49" i="11"/>
  <c r="AA75" i="11"/>
  <c r="AA97" i="11" s="1"/>
  <c r="AB29" i="11"/>
  <c r="AA50" i="11"/>
  <c r="AA76" i="11"/>
  <c r="AA98" i="11" s="1"/>
  <c r="AA69" i="11"/>
  <c r="AA92" i="11" s="1"/>
  <c r="AA44" i="11"/>
  <c r="AB20" i="11"/>
  <c r="AA66" i="11"/>
  <c r="AA89" i="11" s="1"/>
  <c r="AA41" i="11"/>
  <c r="AB30" i="11"/>
  <c r="AA51" i="11"/>
  <c r="AA77" i="11"/>
  <c r="AA99" i="11" s="1"/>
  <c r="AA58" i="11"/>
  <c r="AA82" i="11" s="1"/>
  <c r="AA34" i="11"/>
  <c r="AB16" i="11"/>
  <c r="AA61" i="11"/>
  <c r="AA85" i="11" s="1"/>
  <c r="AA37" i="11"/>
  <c r="AB14" i="11"/>
  <c r="AA59" i="11"/>
  <c r="AA83" i="11" s="1"/>
  <c r="AA35" i="11"/>
  <c r="AA60" i="11"/>
  <c r="AA84" i="11" s="1"/>
  <c r="AA36" i="11"/>
  <c r="AA62" i="11"/>
  <c r="AA86" i="11" s="1"/>
  <c r="AA38" i="11"/>
  <c r="Z102" i="11"/>
  <c r="X30" i="7"/>
  <c r="Y105" i="11"/>
  <c r="AB17" i="11"/>
  <c r="AB24" i="11"/>
  <c r="Z54" i="11"/>
  <c r="AB23" i="11"/>
  <c r="AB13" i="11"/>
  <c r="AB15" i="11"/>
  <c r="AB22" i="11"/>
  <c r="AC20" i="11" l="1"/>
  <c r="AB66" i="11"/>
  <c r="AB89" i="11" s="1"/>
  <c r="AB41" i="11"/>
  <c r="AB70" i="11"/>
  <c r="AB93" i="11" s="1"/>
  <c r="AB45" i="11"/>
  <c r="AC21" i="11"/>
  <c r="AB67" i="11"/>
  <c r="AB90" i="11" s="1"/>
  <c r="AB42" i="11"/>
  <c r="AC27" i="11"/>
  <c r="AB48" i="11"/>
  <c r="AB74" i="11"/>
  <c r="AB96" i="11" s="1"/>
  <c r="AC29" i="11"/>
  <c r="AB50" i="11"/>
  <c r="AB76" i="11"/>
  <c r="AB98" i="11" s="1"/>
  <c r="AC28" i="11"/>
  <c r="AB49" i="11"/>
  <c r="AB75" i="11"/>
  <c r="AB97" i="11" s="1"/>
  <c r="AB69" i="11"/>
  <c r="AB92" i="11" s="1"/>
  <c r="AB44" i="11"/>
  <c r="AB68" i="11"/>
  <c r="AB91" i="11" s="1"/>
  <c r="AB43" i="11"/>
  <c r="AC30" i="11"/>
  <c r="AB51" i="11"/>
  <c r="AB77" i="11"/>
  <c r="AB99" i="11" s="1"/>
  <c r="AC31" i="11"/>
  <c r="AB52" i="11"/>
  <c r="AB78" i="11"/>
  <c r="AB100" i="11" s="1"/>
  <c r="AB62" i="11"/>
  <c r="AB86" i="11" s="1"/>
  <c r="AB38" i="11"/>
  <c r="AC14" i="11"/>
  <c r="AB59" i="11"/>
  <c r="AB83" i="11" s="1"/>
  <c r="AB35" i="11"/>
  <c r="AB58" i="11"/>
  <c r="AB82" i="11" s="1"/>
  <c r="AB34" i="11"/>
  <c r="AC16" i="11"/>
  <c r="AB61" i="11"/>
  <c r="AB85" i="11" s="1"/>
  <c r="AB37" i="11"/>
  <c r="AB60" i="11"/>
  <c r="AB84" i="11" s="1"/>
  <c r="AB36" i="11"/>
  <c r="AA102" i="11"/>
  <c r="Y30" i="7"/>
  <c r="Z105" i="11"/>
  <c r="AC15" i="11"/>
  <c r="AC23" i="11"/>
  <c r="AC13" i="11"/>
  <c r="AC24" i="11"/>
  <c r="AA54" i="11"/>
  <c r="AC22" i="11"/>
  <c r="AC17" i="11"/>
  <c r="C11" i="22"/>
  <c r="F7" i="20"/>
  <c r="I7" i="20"/>
  <c r="F8" i="20"/>
  <c r="I8" i="20"/>
  <c r="F9" i="20"/>
  <c r="I9" i="20"/>
  <c r="F10" i="20"/>
  <c r="I10" i="20"/>
  <c r="F11" i="20"/>
  <c r="I11" i="20"/>
  <c r="F12" i="20"/>
  <c r="I12" i="20"/>
  <c r="F13" i="20"/>
  <c r="I13" i="20"/>
  <c r="F14" i="20"/>
  <c r="I14" i="20"/>
  <c r="F15" i="20"/>
  <c r="I15" i="20"/>
  <c r="F16" i="20"/>
  <c r="I16" i="20"/>
  <c r="F20" i="20"/>
  <c r="E104" i="5" s="1"/>
  <c r="F21" i="20"/>
  <c r="E105" i="5" s="1"/>
  <c r="F22" i="20"/>
  <c r="E106" i="5" s="1"/>
  <c r="F23" i="20"/>
  <c r="F24" i="20"/>
  <c r="E107" i="5" s="1"/>
  <c r="F25" i="20"/>
  <c r="F26" i="20"/>
  <c r="F27" i="20"/>
  <c r="F28" i="20"/>
  <c r="H29" i="20"/>
  <c r="E36" i="20"/>
  <c r="I36" i="20"/>
  <c r="E37" i="20"/>
  <c r="I37" i="20"/>
  <c r="C38" i="20"/>
  <c r="D38" i="20"/>
  <c r="I38" i="20"/>
  <c r="E39" i="20"/>
  <c r="I39" i="20"/>
  <c r="E40" i="20"/>
  <c r="E41" i="20"/>
  <c r="E42" i="20"/>
  <c r="C43" i="20"/>
  <c r="E44" i="20"/>
  <c r="E45" i="20"/>
  <c r="E46" i="20"/>
  <c r="E47" i="20"/>
  <c r="C48" i="20"/>
  <c r="D48" i="20"/>
  <c r="E49" i="20"/>
  <c r="E50" i="20"/>
  <c r="E51" i="20"/>
  <c r="E52" i="20"/>
  <c r="C53" i="20"/>
  <c r="D53" i="20"/>
  <c r="E54" i="20"/>
  <c r="E55" i="20"/>
  <c r="E56" i="20"/>
  <c r="E57" i="20"/>
  <c r="C58" i="20"/>
  <c r="C63" i="20" s="1"/>
  <c r="D58" i="20"/>
  <c r="I58" i="20"/>
  <c r="E59" i="20"/>
  <c r="E60" i="20"/>
  <c r="E61" i="20"/>
  <c r="E62" i="20"/>
  <c r="I63" i="20"/>
  <c r="E108" i="5" l="1"/>
  <c r="F29" i="20"/>
  <c r="C17" i="22"/>
  <c r="AC68" i="11"/>
  <c r="AC91" i="11" s="1"/>
  <c r="AC43" i="11"/>
  <c r="AD30" i="11"/>
  <c r="AC51" i="11"/>
  <c r="AC77" i="11"/>
  <c r="AC99" i="11" s="1"/>
  <c r="AD21" i="11"/>
  <c r="AC67" i="11"/>
  <c r="AC90" i="11" s="1"/>
  <c r="AC42" i="11"/>
  <c r="AC70" i="11"/>
  <c r="AC93" i="11" s="1"/>
  <c r="AC45" i="11"/>
  <c r="AD28" i="11"/>
  <c r="AC49" i="11"/>
  <c r="AC75" i="11"/>
  <c r="AC97" i="11" s="1"/>
  <c r="AD27" i="11"/>
  <c r="AC48" i="11"/>
  <c r="AC74" i="11"/>
  <c r="AC96" i="11" s="1"/>
  <c r="AD29" i="11"/>
  <c r="AC50" i="11"/>
  <c r="AC76" i="11"/>
  <c r="AC98" i="11" s="1"/>
  <c r="AB102" i="11"/>
  <c r="AC69" i="11"/>
  <c r="AC92" i="11" s="1"/>
  <c r="AC44" i="11"/>
  <c r="AD31" i="11"/>
  <c r="AC52" i="11"/>
  <c r="AC78" i="11"/>
  <c r="AC100" i="11" s="1"/>
  <c r="AD20" i="11"/>
  <c r="AC66" i="11"/>
  <c r="AC89" i="11" s="1"/>
  <c r="AC41" i="11"/>
  <c r="E48" i="20"/>
  <c r="E58" i="20"/>
  <c r="AD16" i="11"/>
  <c r="AC61" i="11"/>
  <c r="AC85" i="11" s="1"/>
  <c r="AC37" i="11"/>
  <c r="AC60" i="11"/>
  <c r="AC84" i="11" s="1"/>
  <c r="AC36" i="11"/>
  <c r="AC62" i="11"/>
  <c r="AC86" i="11" s="1"/>
  <c r="AC38" i="11"/>
  <c r="AD14" i="11"/>
  <c r="AC59" i="11"/>
  <c r="AC83" i="11" s="1"/>
  <c r="AC35" i="11"/>
  <c r="AC58" i="11"/>
  <c r="AC82" i="11" s="1"/>
  <c r="AC34" i="11"/>
  <c r="Z30" i="7"/>
  <c r="AA105" i="11"/>
  <c r="AB54" i="11"/>
  <c r="AD22" i="11"/>
  <c r="AD23" i="11"/>
  <c r="AD13" i="11"/>
  <c r="AD17" i="11"/>
  <c r="AD24" i="11"/>
  <c r="AD15" i="11"/>
  <c r="D69" i="20"/>
  <c r="E43" i="20"/>
  <c r="E53" i="20"/>
  <c r="E38" i="20"/>
  <c r="E63" i="20"/>
  <c r="I29" i="20"/>
  <c r="AO21" i="22" l="1"/>
  <c r="G10" i="7" s="1"/>
  <c r="AE16" i="22"/>
  <c r="AE24" i="22" s="1"/>
  <c r="C18" i="22"/>
  <c r="AO25" i="22"/>
  <c r="I69" i="20"/>
  <c r="AD68" i="11"/>
  <c r="AD91" i="11" s="1"/>
  <c r="AD43" i="11"/>
  <c r="AE31" i="11"/>
  <c r="AD52" i="11"/>
  <c r="AD78" i="11"/>
  <c r="AD100" i="11" s="1"/>
  <c r="AE21" i="11"/>
  <c r="AD67" i="11"/>
  <c r="AD90" i="11" s="1"/>
  <c r="AD42" i="11"/>
  <c r="AE29" i="11"/>
  <c r="AD50" i="11"/>
  <c r="AD76" i="11"/>
  <c r="AD98" i="11" s="1"/>
  <c r="AD70" i="11"/>
  <c r="AD93" i="11" s="1"/>
  <c r="AD45" i="11"/>
  <c r="AE30" i="11"/>
  <c r="AD51" i="11"/>
  <c r="AD77" i="11"/>
  <c r="AD99" i="11" s="1"/>
  <c r="AE20" i="11"/>
  <c r="AD66" i="11"/>
  <c r="AD89" i="11" s="1"/>
  <c r="AD41" i="11"/>
  <c r="AE27" i="11"/>
  <c r="AD48" i="11"/>
  <c r="AD74" i="11"/>
  <c r="AD96" i="11" s="1"/>
  <c r="AE28" i="11"/>
  <c r="AD49" i="11"/>
  <c r="AD75" i="11"/>
  <c r="AD97" i="11" s="1"/>
  <c r="AD69" i="11"/>
  <c r="AD92" i="11" s="1"/>
  <c r="AD44" i="11"/>
  <c r="AC102" i="11"/>
  <c r="AD62" i="11"/>
  <c r="AD86" i="11" s="1"/>
  <c r="AD38" i="11"/>
  <c r="AE14" i="11"/>
  <c r="AD59" i="11"/>
  <c r="AD83" i="11" s="1"/>
  <c r="AD35" i="11"/>
  <c r="AD60" i="11"/>
  <c r="AD84" i="11" s="1"/>
  <c r="AD36" i="11"/>
  <c r="AD58" i="11"/>
  <c r="AD82" i="11" s="1"/>
  <c r="AD34" i="11"/>
  <c r="AE16" i="11"/>
  <c r="AD61" i="11"/>
  <c r="AD85" i="11" s="1"/>
  <c r="AD37" i="11"/>
  <c r="AA30" i="7"/>
  <c r="AB105" i="11"/>
  <c r="AE24" i="11"/>
  <c r="AE15" i="11"/>
  <c r="AE23" i="11"/>
  <c r="AE17" i="11"/>
  <c r="AC54" i="11"/>
  <c r="AE22" i="11"/>
  <c r="AE13" i="11"/>
  <c r="C69" i="20"/>
  <c r="E69" i="20"/>
  <c r="AE33" i="7" l="1"/>
  <c r="AE29" i="22"/>
  <c r="AE26" i="22"/>
  <c r="AE61" i="7" s="1"/>
  <c r="AE25" i="22"/>
  <c r="AE47" i="7" s="1"/>
  <c r="AO29" i="22"/>
  <c r="AO26" i="22"/>
  <c r="AF27" i="11"/>
  <c r="AE48" i="11"/>
  <c r="AE74" i="11"/>
  <c r="AE96" i="11" s="1"/>
  <c r="AF29" i="11"/>
  <c r="AE50" i="11"/>
  <c r="AE76" i="11"/>
  <c r="AE98" i="11" s="1"/>
  <c r="AF28" i="11"/>
  <c r="AE49" i="11"/>
  <c r="AE75" i="11"/>
  <c r="AE97" i="11" s="1"/>
  <c r="AE69" i="11"/>
  <c r="AE92" i="11" s="1"/>
  <c r="AE44" i="11"/>
  <c r="AE70" i="11"/>
  <c r="AE93" i="11" s="1"/>
  <c r="AE45" i="11"/>
  <c r="AF20" i="11"/>
  <c r="AE66" i="11"/>
  <c r="AE89" i="11" s="1"/>
  <c r="AE41" i="11"/>
  <c r="AF31" i="11"/>
  <c r="AE52" i="11"/>
  <c r="AE78" i="11"/>
  <c r="AE100" i="11" s="1"/>
  <c r="AF21" i="11"/>
  <c r="AE67" i="11"/>
  <c r="AE90" i="11" s="1"/>
  <c r="AE42" i="11"/>
  <c r="AF30" i="11"/>
  <c r="AE51" i="11"/>
  <c r="AE77" i="11"/>
  <c r="AE99" i="11" s="1"/>
  <c r="AE68" i="11"/>
  <c r="AE91" i="11" s="1"/>
  <c r="AE43" i="11"/>
  <c r="AF14" i="11"/>
  <c r="AE59" i="11"/>
  <c r="AE83" i="11" s="1"/>
  <c r="AE35" i="11"/>
  <c r="AE62" i="11"/>
  <c r="AE86" i="11" s="1"/>
  <c r="AE38" i="11"/>
  <c r="AF16" i="11"/>
  <c r="AE61" i="11"/>
  <c r="AE85" i="11" s="1"/>
  <c r="AE37" i="11"/>
  <c r="AE58" i="11"/>
  <c r="AE82" i="11" s="1"/>
  <c r="AE34" i="11"/>
  <c r="AE60" i="11"/>
  <c r="AE84" i="11" s="1"/>
  <c r="AE36" i="11"/>
  <c r="AD102" i="11"/>
  <c r="AB30" i="7"/>
  <c r="AB110" i="11"/>
  <c r="AC105" i="11"/>
  <c r="AF15" i="11"/>
  <c r="AF17" i="11"/>
  <c r="AF22" i="11"/>
  <c r="AF24" i="11"/>
  <c r="AF13" i="11"/>
  <c r="AF23" i="11"/>
  <c r="AD54" i="11"/>
  <c r="C33" i="7" l="1"/>
  <c r="D10" i="7"/>
  <c r="AG24" i="11"/>
  <c r="AF70" i="11"/>
  <c r="AF93" i="11" s="1"/>
  <c r="AF45" i="11"/>
  <c r="AG22" i="11"/>
  <c r="AH22" i="11" s="1"/>
  <c r="AF68" i="11"/>
  <c r="AF91" i="11" s="1"/>
  <c r="AF43" i="11"/>
  <c r="AG30" i="11"/>
  <c r="AF51" i="11"/>
  <c r="AF77" i="11"/>
  <c r="AF99" i="11" s="1"/>
  <c r="AG21" i="11"/>
  <c r="AF67" i="11"/>
  <c r="AF90" i="11" s="1"/>
  <c r="AF42" i="11"/>
  <c r="AG28" i="11"/>
  <c r="AF49" i="11"/>
  <c r="AF75" i="11"/>
  <c r="AF97" i="11" s="1"/>
  <c r="AG29" i="11"/>
  <c r="AF50" i="11"/>
  <c r="AF76" i="11"/>
  <c r="AF98" i="11" s="1"/>
  <c r="AG31" i="11"/>
  <c r="AF52" i="11"/>
  <c r="AF78" i="11"/>
  <c r="AF100" i="11" s="1"/>
  <c r="AG20" i="11"/>
  <c r="AF66" i="11"/>
  <c r="AF89" i="11" s="1"/>
  <c r="AF41" i="11"/>
  <c r="AG23" i="11"/>
  <c r="AH23" i="11" s="1"/>
  <c r="AF69" i="11"/>
  <c r="AF92" i="11" s="1"/>
  <c r="AF44" i="11"/>
  <c r="AG27" i="11"/>
  <c r="AF48" i="11"/>
  <c r="AF74" i="11"/>
  <c r="AF96" i="11" s="1"/>
  <c r="AG16" i="11"/>
  <c r="AF61" i="11"/>
  <c r="AF85" i="11" s="1"/>
  <c r="AF37" i="11"/>
  <c r="AG13" i="11"/>
  <c r="AH13" i="11" s="1"/>
  <c r="AF58" i="11"/>
  <c r="AF82" i="11" s="1"/>
  <c r="AF34" i="11"/>
  <c r="AG17" i="11"/>
  <c r="AH17" i="11" s="1"/>
  <c r="AF62" i="11"/>
  <c r="AF86" i="11" s="1"/>
  <c r="AF38" i="11"/>
  <c r="AG15" i="11"/>
  <c r="AH15" i="11" s="1"/>
  <c r="AF60" i="11"/>
  <c r="AF84" i="11" s="1"/>
  <c r="AF36" i="11"/>
  <c r="AE102" i="11"/>
  <c r="AG14" i="11"/>
  <c r="AF59" i="11"/>
  <c r="AF83" i="11" s="1"/>
  <c r="AF35" i="11"/>
  <c r="AC110" i="11"/>
  <c r="AC30" i="7"/>
  <c r="AH24" i="11"/>
  <c r="AE54" i="11"/>
  <c r="AD105" i="11"/>
  <c r="B140" i="5" l="1"/>
  <c r="AG51" i="11"/>
  <c r="AG77" i="11"/>
  <c r="AG99" i="11" s="1"/>
  <c r="AH30" i="11"/>
  <c r="AG66" i="11"/>
  <c r="AG89" i="11" s="1"/>
  <c r="AG41" i="11"/>
  <c r="AH20" i="11"/>
  <c r="AI23" i="11"/>
  <c r="AH69" i="11"/>
  <c r="AH92" i="11" s="1"/>
  <c r="AH44" i="11"/>
  <c r="AG48" i="11"/>
  <c r="AG74" i="11"/>
  <c r="AG96" i="11" s="1"/>
  <c r="AH27" i="11"/>
  <c r="AG50" i="11"/>
  <c r="AH29" i="11"/>
  <c r="AG76" i="11"/>
  <c r="AG98" i="11" s="1"/>
  <c r="AG68" i="11"/>
  <c r="AG91" i="11" s="1"/>
  <c r="AG43" i="11"/>
  <c r="AG52" i="11"/>
  <c r="AH31" i="11"/>
  <c r="AG78" i="11"/>
  <c r="AG100" i="11" s="1"/>
  <c r="AI24" i="11"/>
  <c r="AH70" i="11"/>
  <c r="AH93" i="11" s="1"/>
  <c r="AH45" i="11"/>
  <c r="AI22" i="11"/>
  <c r="AJ22" i="11" s="1"/>
  <c r="AH68" i="11"/>
  <c r="AH91" i="11" s="1"/>
  <c r="AH43" i="11"/>
  <c r="AG67" i="11"/>
  <c r="AG90" i="11" s="1"/>
  <c r="AG42" i="11"/>
  <c r="AH21" i="11"/>
  <c r="AG69" i="11"/>
  <c r="AG92" i="11" s="1"/>
  <c r="AG44" i="11"/>
  <c r="AG49" i="11"/>
  <c r="AH28" i="11"/>
  <c r="AG75" i="11"/>
  <c r="AG97" i="11" s="1"/>
  <c r="AG70" i="11"/>
  <c r="AG93" i="11" s="1"/>
  <c r="AG45" i="11"/>
  <c r="AF102" i="11"/>
  <c r="AI17" i="11"/>
  <c r="AJ17" i="11" s="1"/>
  <c r="AH62" i="11"/>
  <c r="AH86" i="11" s="1"/>
  <c r="AH38" i="11"/>
  <c r="AG58" i="11"/>
  <c r="AG82" i="11" s="1"/>
  <c r="AG34" i="11"/>
  <c r="AI15" i="11"/>
  <c r="AH60" i="11"/>
  <c r="AH84" i="11" s="1"/>
  <c r="AH36" i="11"/>
  <c r="AI13" i="11"/>
  <c r="AJ13" i="11" s="1"/>
  <c r="AH58" i="11"/>
  <c r="AH82" i="11" s="1"/>
  <c r="AH34" i="11"/>
  <c r="AG59" i="11"/>
  <c r="AG83" i="11" s="1"/>
  <c r="AG35" i="11"/>
  <c r="AH14" i="11"/>
  <c r="AG60" i="11"/>
  <c r="AG84" i="11" s="1"/>
  <c r="AG36" i="11"/>
  <c r="AG62" i="11"/>
  <c r="AG86" i="11" s="1"/>
  <c r="AG38" i="11"/>
  <c r="AG61" i="11"/>
  <c r="AG85" i="11" s="1"/>
  <c r="AG37" i="11"/>
  <c r="AH16" i="11"/>
  <c r="AD30" i="7"/>
  <c r="AE105" i="11"/>
  <c r="AF54" i="11"/>
  <c r="AD110" i="11"/>
  <c r="AJ68" i="11" l="1"/>
  <c r="AJ91" i="11" s="1"/>
  <c r="AJ43" i="11"/>
  <c r="AH48" i="11"/>
  <c r="AH74" i="11"/>
  <c r="AH96" i="11" s="1"/>
  <c r="AI27" i="11"/>
  <c r="AI70" i="11"/>
  <c r="AI93" i="11" s="1"/>
  <c r="AI45" i="11"/>
  <c r="AI69" i="11"/>
  <c r="AI92" i="11" s="1"/>
  <c r="AI44" i="11"/>
  <c r="AH66" i="11"/>
  <c r="AH89" i="11" s="1"/>
  <c r="AH41" i="11"/>
  <c r="AI20" i="11"/>
  <c r="AH49" i="11"/>
  <c r="AH75" i="11"/>
  <c r="AH97" i="11" s="1"/>
  <c r="AI28" i="11"/>
  <c r="AH52" i="11"/>
  <c r="AI31" i="11"/>
  <c r="AH78" i="11"/>
  <c r="AH100" i="11" s="1"/>
  <c r="AH51" i="11"/>
  <c r="AH77" i="11"/>
  <c r="AH99" i="11" s="1"/>
  <c r="AI30" i="11"/>
  <c r="AI68" i="11"/>
  <c r="AI91" i="11" s="1"/>
  <c r="AI43" i="11"/>
  <c r="AH67" i="11"/>
  <c r="AH90" i="11" s="1"/>
  <c r="AH42" i="11"/>
  <c r="AI21" i="11"/>
  <c r="AH50" i="11"/>
  <c r="AH76" i="11"/>
  <c r="AH98" i="11" s="1"/>
  <c r="AI29" i="11"/>
  <c r="AJ23" i="11"/>
  <c r="AK23" i="11" s="1"/>
  <c r="AJ24" i="11"/>
  <c r="AK24" i="11" s="1"/>
  <c r="AG54" i="11"/>
  <c r="AH59" i="11"/>
  <c r="AH83" i="11" s="1"/>
  <c r="AH35" i="11"/>
  <c r="AI14" i="11"/>
  <c r="AH61" i="11"/>
  <c r="AH85" i="11" s="1"/>
  <c r="AH37" i="11"/>
  <c r="AI16" i="11"/>
  <c r="AG102" i="11"/>
  <c r="AI60" i="11"/>
  <c r="AI84" i="11" s="1"/>
  <c r="AI36" i="11"/>
  <c r="AJ58" i="11"/>
  <c r="AJ82" i="11" s="1"/>
  <c r="AJ34" i="11"/>
  <c r="AJ62" i="11"/>
  <c r="AJ86" i="11" s="1"/>
  <c r="AJ38" i="11"/>
  <c r="AJ15" i="11"/>
  <c r="AI58" i="11"/>
  <c r="AI82" i="11" s="1"/>
  <c r="AI34" i="11"/>
  <c r="AI62" i="11"/>
  <c r="AI86" i="11" s="1"/>
  <c r="AI38" i="11"/>
  <c r="AE30" i="7"/>
  <c r="D7" i="7" s="1"/>
  <c r="AE110" i="11"/>
  <c r="AK22" i="11"/>
  <c r="AK17" i="11"/>
  <c r="AK13" i="11"/>
  <c r="AF105" i="11"/>
  <c r="AH102" i="11" l="1"/>
  <c r="AK70" i="11"/>
  <c r="AK93" i="11" s="1"/>
  <c r="AK45" i="11"/>
  <c r="AI48" i="11"/>
  <c r="AJ27" i="11"/>
  <c r="AI74" i="11"/>
  <c r="AI96" i="11" s="1"/>
  <c r="AI66" i="11"/>
  <c r="AI89" i="11" s="1"/>
  <c r="AI41" i="11"/>
  <c r="AJ20" i="11"/>
  <c r="AI51" i="11"/>
  <c r="AI77" i="11"/>
  <c r="AI99" i="11" s="1"/>
  <c r="AJ30" i="11"/>
  <c r="AK69" i="11"/>
  <c r="AK92" i="11" s="1"/>
  <c r="AK44" i="11"/>
  <c r="AK68" i="11"/>
  <c r="AK91" i="11" s="1"/>
  <c r="AK43" i="11"/>
  <c r="AJ69" i="11"/>
  <c r="AJ92" i="11" s="1"/>
  <c r="AJ44" i="11"/>
  <c r="AI50" i="11"/>
  <c r="AJ29" i="11"/>
  <c r="AI76" i="11"/>
  <c r="AI98" i="11" s="1"/>
  <c r="AI52" i="11"/>
  <c r="AI78" i="11"/>
  <c r="AI100" i="11" s="1"/>
  <c r="AJ31" i="11"/>
  <c r="AI49" i="11"/>
  <c r="AI75" i="11"/>
  <c r="AI97" i="11" s="1"/>
  <c r="AJ28" i="11"/>
  <c r="AJ70" i="11"/>
  <c r="AJ93" i="11" s="1"/>
  <c r="AJ45" i="11"/>
  <c r="AG105" i="11"/>
  <c r="AH54" i="11"/>
  <c r="AI67" i="11"/>
  <c r="AI90" i="11" s="1"/>
  <c r="AI42" i="11"/>
  <c r="AJ21" i="11"/>
  <c r="B37" i="20"/>
  <c r="AI61" i="11"/>
  <c r="AI85" i="11" s="1"/>
  <c r="AI37" i="11"/>
  <c r="AJ16" i="11"/>
  <c r="AJ60" i="11"/>
  <c r="AJ84" i="11" s="1"/>
  <c r="AJ36" i="11"/>
  <c r="AK15" i="11"/>
  <c r="AL15" i="11" s="1"/>
  <c r="AI59" i="11"/>
  <c r="AI83" i="11" s="1"/>
  <c r="AI35" i="11"/>
  <c r="AJ14" i="11"/>
  <c r="AK58" i="11"/>
  <c r="AK82" i="11" s="1"/>
  <c r="AK34" i="11"/>
  <c r="AK62" i="11"/>
  <c r="AK86" i="11" s="1"/>
  <c r="AK38" i="11"/>
  <c r="AL24" i="11"/>
  <c r="AL23" i="11"/>
  <c r="AL22" i="11"/>
  <c r="AL17" i="11"/>
  <c r="AL13" i="11"/>
  <c r="AF110" i="11"/>
  <c r="AH105" i="11" l="1"/>
  <c r="AH110" i="11" s="1"/>
  <c r="AG110" i="11"/>
  <c r="AJ52" i="11"/>
  <c r="AJ78" i="11"/>
  <c r="AJ100" i="11" s="1"/>
  <c r="AK31" i="11"/>
  <c r="AI54" i="11"/>
  <c r="AJ67" i="11"/>
  <c r="AJ90" i="11" s="1"/>
  <c r="AJ42" i="11"/>
  <c r="AK21" i="11"/>
  <c r="AJ66" i="11"/>
  <c r="AJ89" i="11" s="1"/>
  <c r="AJ41" i="11"/>
  <c r="AK20" i="11"/>
  <c r="AJ50" i="11"/>
  <c r="AK29" i="11"/>
  <c r="AJ76" i="11"/>
  <c r="AJ98" i="11" s="1"/>
  <c r="AL68" i="11"/>
  <c r="AL91" i="11" s="1"/>
  <c r="AL43" i="11"/>
  <c r="AL69" i="11"/>
  <c r="AL92" i="11" s="1"/>
  <c r="AL44" i="11"/>
  <c r="AJ48" i="11"/>
  <c r="AJ74" i="11"/>
  <c r="AJ96" i="11" s="1"/>
  <c r="AK27" i="11"/>
  <c r="AJ51" i="11"/>
  <c r="AJ77" i="11"/>
  <c r="AJ99" i="11" s="1"/>
  <c r="AK30" i="11"/>
  <c r="AI102" i="11"/>
  <c r="AL70" i="11"/>
  <c r="AL93" i="11" s="1"/>
  <c r="AL45" i="11"/>
  <c r="AJ49" i="11"/>
  <c r="AJ75" i="11"/>
  <c r="AJ97" i="11" s="1"/>
  <c r="AK28" i="11"/>
  <c r="B38" i="20"/>
  <c r="AJ61" i="11"/>
  <c r="AJ85" i="11" s="1"/>
  <c r="AJ37" i="11"/>
  <c r="AK16" i="11"/>
  <c r="AL62" i="11"/>
  <c r="AL86" i="11" s="1"/>
  <c r="AL38" i="11"/>
  <c r="AK60" i="11"/>
  <c r="AK84" i="11" s="1"/>
  <c r="AK36" i="11"/>
  <c r="AL58" i="11"/>
  <c r="AL82" i="11" s="1"/>
  <c r="AL34" i="11"/>
  <c r="AL60" i="11"/>
  <c r="AL84" i="11" s="1"/>
  <c r="AL36" i="11"/>
  <c r="AJ59" i="11"/>
  <c r="AJ83" i="11" s="1"/>
  <c r="AJ35" i="11"/>
  <c r="AK14" i="11"/>
  <c r="AM24" i="11"/>
  <c r="AM23" i="11"/>
  <c r="AM22" i="11"/>
  <c r="AM17" i="11"/>
  <c r="AM15" i="11"/>
  <c r="AM13" i="11"/>
  <c r="AI105" i="11" l="1"/>
  <c r="AI110" i="11" s="1"/>
  <c r="AK51" i="11"/>
  <c r="AL30" i="11"/>
  <c r="AK77" i="11"/>
  <c r="AK99" i="11" s="1"/>
  <c r="AJ54" i="11"/>
  <c r="AK48" i="11"/>
  <c r="AK74" i="11"/>
  <c r="AK96" i="11" s="1"/>
  <c r="AL27" i="11"/>
  <c r="AK66" i="11"/>
  <c r="AK89" i="11" s="1"/>
  <c r="AK41" i="11"/>
  <c r="AL20" i="11"/>
  <c r="AJ102" i="11"/>
  <c r="AM68" i="11"/>
  <c r="AM91" i="11" s="1"/>
  <c r="AM43" i="11"/>
  <c r="AK52" i="11"/>
  <c r="AK78" i="11"/>
  <c r="AK100" i="11" s="1"/>
  <c r="AL31" i="11"/>
  <c r="AK67" i="11"/>
  <c r="AK90" i="11" s="1"/>
  <c r="AK42" i="11"/>
  <c r="AL21" i="11"/>
  <c r="AK49" i="11"/>
  <c r="AK75" i="11"/>
  <c r="AK97" i="11" s="1"/>
  <c r="AL28" i="11"/>
  <c r="AM70" i="11"/>
  <c r="AM93" i="11" s="1"/>
  <c r="AM45" i="11"/>
  <c r="AK50" i="11"/>
  <c r="AL29" i="11"/>
  <c r="AK76" i="11"/>
  <c r="AK98" i="11" s="1"/>
  <c r="AM69" i="11"/>
  <c r="AM92" i="11" s="1"/>
  <c r="AM44" i="11"/>
  <c r="B39" i="20"/>
  <c r="AK59" i="11"/>
  <c r="AK83" i="11" s="1"/>
  <c r="AK35" i="11"/>
  <c r="AL14" i="11"/>
  <c r="AM58" i="11"/>
  <c r="AM82" i="11" s="1"/>
  <c r="AM34" i="11"/>
  <c r="AK61" i="11"/>
  <c r="AK85" i="11" s="1"/>
  <c r="AK37" i="11"/>
  <c r="AL16" i="11"/>
  <c r="AM62" i="11"/>
  <c r="AM86" i="11" s="1"/>
  <c r="AM38" i="11"/>
  <c r="AM60" i="11"/>
  <c r="AM84" i="11" s="1"/>
  <c r="AM36" i="11"/>
  <c r="AN24" i="11"/>
  <c r="AO24" i="11" s="1"/>
  <c r="AN23" i="11"/>
  <c r="AO23" i="11" s="1"/>
  <c r="AN22" i="11"/>
  <c r="AO22" i="11" s="1"/>
  <c r="AN17" i="11"/>
  <c r="AO17" i="11" s="1"/>
  <c r="AN15" i="11"/>
  <c r="AO15" i="11" s="1"/>
  <c r="AN13" i="11"/>
  <c r="AO13" i="11" s="1"/>
  <c r="AJ105" i="11" l="1"/>
  <c r="AJ110" i="11" s="1"/>
  <c r="AO44" i="11"/>
  <c r="AO69" i="11"/>
  <c r="AO92" i="11" s="1"/>
  <c r="AO45" i="11"/>
  <c r="AO70" i="11"/>
  <c r="AO93" i="11" s="1"/>
  <c r="AO36" i="11"/>
  <c r="AO60" i="11"/>
  <c r="AO84" i="11" s="1"/>
  <c r="AO34" i="11"/>
  <c r="AO58" i="11"/>
  <c r="AO82" i="11" s="1"/>
  <c r="AO38" i="11"/>
  <c r="AO62" i="11"/>
  <c r="AO86" i="11" s="1"/>
  <c r="AO43" i="11"/>
  <c r="AO68" i="11"/>
  <c r="AO91" i="11" s="1"/>
  <c r="AL49" i="11"/>
  <c r="AM28" i="11"/>
  <c r="AL75" i="11"/>
  <c r="AL97" i="11" s="1"/>
  <c r="AN70" i="11"/>
  <c r="AN93" i="11" s="1"/>
  <c r="AN45" i="11"/>
  <c r="AL67" i="11"/>
  <c r="AL90" i="11" s="1"/>
  <c r="AL42" i="11"/>
  <c r="AM21" i="11"/>
  <c r="AL52" i="11"/>
  <c r="AL78" i="11"/>
  <c r="AL100" i="11" s="1"/>
  <c r="AM31" i="11"/>
  <c r="AN68" i="11"/>
  <c r="AN91" i="11" s="1"/>
  <c r="AN43" i="11"/>
  <c r="AN69" i="11"/>
  <c r="AN92" i="11" s="1"/>
  <c r="AN44" i="11"/>
  <c r="AL48" i="11"/>
  <c r="AM27" i="11"/>
  <c r="AL74" i="11"/>
  <c r="AL96" i="11" s="1"/>
  <c r="AL51" i="11"/>
  <c r="AL77" i="11"/>
  <c r="AL99" i="11" s="1"/>
  <c r="AM30" i="11"/>
  <c r="AL66" i="11"/>
  <c r="AL89" i="11" s="1"/>
  <c r="AL41" i="11"/>
  <c r="AM20" i="11"/>
  <c r="AL50" i="11"/>
  <c r="AM29" i="11"/>
  <c r="AL76" i="11"/>
  <c r="AL98" i="11" s="1"/>
  <c r="B40" i="20"/>
  <c r="AL61" i="11"/>
  <c r="AL85" i="11" s="1"/>
  <c r="AL37" i="11"/>
  <c r="AM16" i="11"/>
  <c r="AN58" i="11"/>
  <c r="AN82" i="11" s="1"/>
  <c r="AN34" i="11"/>
  <c r="AL59" i="11"/>
  <c r="AL83" i="11" s="1"/>
  <c r="AL35" i="11"/>
  <c r="AM14" i="11"/>
  <c r="AN60" i="11"/>
  <c r="AN84" i="11" s="1"/>
  <c r="AN36" i="11"/>
  <c r="AK54" i="11"/>
  <c r="AN62" i="11"/>
  <c r="AN86" i="11" s="1"/>
  <c r="AN38" i="11"/>
  <c r="AK102" i="11"/>
  <c r="B41" i="20" l="1"/>
  <c r="AL102" i="11"/>
  <c r="AL54" i="11"/>
  <c r="AM52" i="11"/>
  <c r="AN31" i="11"/>
  <c r="AO31" i="11" s="1"/>
  <c r="AM78" i="11"/>
  <c r="AM100" i="11" s="1"/>
  <c r="AM51" i="11"/>
  <c r="AN30" i="11"/>
  <c r="AO30" i="11" s="1"/>
  <c r="AM77" i="11"/>
  <c r="AM99" i="11" s="1"/>
  <c r="AM66" i="11"/>
  <c r="AM89" i="11" s="1"/>
  <c r="AM41" i="11"/>
  <c r="AN20" i="11"/>
  <c r="AO20" i="11" s="1"/>
  <c r="AM50" i="11"/>
  <c r="AN29" i="11"/>
  <c r="AO29" i="11" s="1"/>
  <c r="AM76" i="11"/>
  <c r="AM98" i="11" s="1"/>
  <c r="AM49" i="11"/>
  <c r="AN28" i="11"/>
  <c r="AO28" i="11" s="1"/>
  <c r="AM75" i="11"/>
  <c r="AM97" i="11" s="1"/>
  <c r="AM67" i="11"/>
  <c r="AM90" i="11" s="1"/>
  <c r="AM42" i="11"/>
  <c r="AN21" i="11"/>
  <c r="AO21" i="11" s="1"/>
  <c r="AM48" i="11"/>
  <c r="AM74" i="11"/>
  <c r="AM96" i="11" s="1"/>
  <c r="AN27" i="11"/>
  <c r="AO27" i="11" s="1"/>
  <c r="AM61" i="11"/>
  <c r="AM85" i="11" s="1"/>
  <c r="AM37" i="11"/>
  <c r="AN16" i="11"/>
  <c r="AO16" i="11" s="1"/>
  <c r="AK105" i="11"/>
  <c r="AM59" i="11"/>
  <c r="AM83" i="11" s="1"/>
  <c r="AM35" i="11"/>
  <c r="AN14" i="11"/>
  <c r="AO14" i="11" s="1"/>
  <c r="B42" i="20" l="1"/>
  <c r="AO35" i="11"/>
  <c r="AO59" i="11"/>
  <c r="AO83" i="11" s="1"/>
  <c r="AO42" i="11"/>
  <c r="AO67" i="11"/>
  <c r="AO90" i="11" s="1"/>
  <c r="AO51" i="11"/>
  <c r="AO77" i="11"/>
  <c r="AO99" i="11" s="1"/>
  <c r="AO37" i="11"/>
  <c r="AO61" i="11"/>
  <c r="AO85" i="11" s="1"/>
  <c r="AO78" i="11"/>
  <c r="AO100" i="11" s="1"/>
  <c r="AO52" i="11"/>
  <c r="AO49" i="11"/>
  <c r="AO75" i="11"/>
  <c r="AO97" i="11" s="1"/>
  <c r="AO76" i="11"/>
  <c r="AO98" i="11" s="1"/>
  <c r="AO50" i="11"/>
  <c r="AO48" i="11"/>
  <c r="AO74" i="11"/>
  <c r="AO96" i="11" s="1"/>
  <c r="AO41" i="11"/>
  <c r="AO66" i="11"/>
  <c r="AO89" i="11" s="1"/>
  <c r="AL105" i="11"/>
  <c r="AN66" i="11"/>
  <c r="AN89" i="11" s="1"/>
  <c r="AN41" i="11"/>
  <c r="AN67" i="11"/>
  <c r="AN90" i="11" s="1"/>
  <c r="AN42" i="11"/>
  <c r="AN49" i="11"/>
  <c r="AN75" i="11"/>
  <c r="AN97" i="11" s="1"/>
  <c r="AN52" i="11"/>
  <c r="AN78" i="11"/>
  <c r="AN100" i="11" s="1"/>
  <c r="AN48" i="11"/>
  <c r="AN74" i="11"/>
  <c r="AN96" i="11" s="1"/>
  <c r="AM54" i="11"/>
  <c r="AN50" i="11"/>
  <c r="AN76" i="11"/>
  <c r="AN98" i="11" s="1"/>
  <c r="AN51" i="11"/>
  <c r="AN77" i="11"/>
  <c r="AN99" i="11" s="1"/>
  <c r="AM102" i="11"/>
  <c r="AK110" i="11"/>
  <c r="AN61" i="11"/>
  <c r="AN85" i="11" s="1"/>
  <c r="AN37" i="11"/>
  <c r="AN59" i="11"/>
  <c r="AN83" i="11" s="1"/>
  <c r="AN35" i="11"/>
  <c r="AL110" i="11" l="1"/>
  <c r="B43" i="20"/>
  <c r="AO102" i="11"/>
  <c r="AO54" i="11"/>
  <c r="AN102" i="11"/>
  <c r="AM105" i="11"/>
  <c r="AM110" i="11" s="1"/>
  <c r="AN54" i="11"/>
  <c r="AO105" i="11" l="1"/>
  <c r="B44" i="20"/>
  <c r="AN105" i="11"/>
  <c r="AN110" i="11" s="1"/>
  <c r="AO110" i="11" l="1"/>
  <c r="B45" i="20"/>
  <c r="C30" i="7"/>
  <c r="B46" i="20" l="1"/>
  <c r="B47" i="20" s="1"/>
  <c r="B48" i="20" s="1"/>
  <c r="B49" i="20"/>
  <c r="B50" i="20" l="1"/>
  <c r="B137" i="5" l="1"/>
  <c r="B51" i="20"/>
  <c r="B52" i="20" l="1"/>
  <c r="B53" i="20" l="1"/>
  <c r="B54" i="20" l="1"/>
  <c r="B55" i="20" l="1"/>
  <c r="B56" i="20" l="1"/>
  <c r="B57" i="20" l="1"/>
  <c r="B58" i="20" l="1"/>
  <c r="B59" i="20" l="1"/>
  <c r="B60" i="20" l="1"/>
  <c r="B61" i="20" l="1"/>
  <c r="B62" i="20" l="1"/>
  <c r="B63" i="20" l="1"/>
  <c r="B64" i="20" l="1"/>
  <c r="B65" i="20" l="1"/>
  <c r="B66" i="20" l="1"/>
  <c r="B67" i="20" l="1"/>
  <c r="B68" i="20" l="1"/>
  <c r="S5" i="10" l="1"/>
  <c r="T5" i="10" s="1"/>
  <c r="U5" i="10" s="1"/>
  <c r="V5" i="10" s="1"/>
  <c r="W5" i="10" s="1"/>
  <c r="X5" i="10" s="1"/>
  <c r="Y5" i="10" s="1"/>
  <c r="Z5" i="10" s="1"/>
  <c r="AA5" i="10" s="1"/>
  <c r="AB5" i="10" s="1"/>
  <c r="AC5" i="10" s="1"/>
  <c r="AD5" i="10" s="1"/>
  <c r="AE5" i="10" s="1"/>
  <c r="AF5" i="10" s="1"/>
  <c r="AG5" i="10" s="1"/>
  <c r="AH5" i="10" s="1"/>
  <c r="AI5" i="10" s="1"/>
  <c r="AJ5" i="10" s="1"/>
  <c r="AK5" i="10" s="1"/>
  <c r="AL5" i="10" s="1"/>
  <c r="AM5" i="10" s="1"/>
  <c r="AN5" i="10" s="1"/>
  <c r="AO5" i="10" s="1"/>
  <c r="AP5" i="10" s="1"/>
  <c r="AQ5" i="10" s="1"/>
  <c r="AR5" i="10" s="1"/>
  <c r="AS5" i="10" s="1"/>
  <c r="AT5" i="10" s="1"/>
  <c r="AU5" i="10" s="1"/>
  <c r="J4" i="10" l="1"/>
  <c r="J24" i="10" s="1"/>
  <c r="D34" i="7" s="1"/>
  <c r="J12" i="10" l="1"/>
  <c r="J14" i="10" s="1"/>
  <c r="J19" i="10"/>
  <c r="K4" i="10"/>
  <c r="K24" i="10" s="1"/>
  <c r="J7" i="10"/>
  <c r="J6" i="10"/>
  <c r="J25" i="10" s="1"/>
  <c r="J20" i="10" l="1"/>
  <c r="D35" i="7"/>
  <c r="E34" i="7"/>
  <c r="K12" i="10"/>
  <c r="K14" i="10" s="1"/>
  <c r="K15" i="10" s="1"/>
  <c r="K19" i="10"/>
  <c r="D62" i="7"/>
  <c r="D63" i="7"/>
  <c r="D36" i="7"/>
  <c r="D49" i="7"/>
  <c r="D48" i="7"/>
  <c r="L4" i="10"/>
  <c r="L24" i="10" s="1"/>
  <c r="K6" i="10"/>
  <c r="K25" i="10" s="1"/>
  <c r="K7" i="10"/>
  <c r="E35" i="7" l="1"/>
  <c r="K20" i="10"/>
  <c r="D52" i="7"/>
  <c r="F34" i="7"/>
  <c r="L19" i="10"/>
  <c r="L12" i="10"/>
  <c r="L14" i="10" s="1"/>
  <c r="L15" i="10" s="1"/>
  <c r="E49" i="7"/>
  <c r="E48" i="7"/>
  <c r="D38" i="7"/>
  <c r="E64" i="7"/>
  <c r="E36" i="7"/>
  <c r="E38" i="7" s="1"/>
  <c r="E50" i="7"/>
  <c r="E63" i="7"/>
  <c r="E62" i="7"/>
  <c r="D66" i="7"/>
  <c r="M4" i="10"/>
  <c r="M24" i="10" s="1"/>
  <c r="L7" i="10"/>
  <c r="L6" i="10"/>
  <c r="L25" i="10" s="1"/>
  <c r="F35" i="7" l="1"/>
  <c r="L20" i="10"/>
  <c r="G34" i="7"/>
  <c r="M12" i="10"/>
  <c r="M19" i="10"/>
  <c r="F50" i="7"/>
  <c r="F49" i="7"/>
  <c r="F48" i="7"/>
  <c r="F63" i="7"/>
  <c r="F62" i="7"/>
  <c r="F64" i="7"/>
  <c r="F36" i="7"/>
  <c r="N4" i="10"/>
  <c r="N24" i="10" s="1"/>
  <c r="M6" i="10"/>
  <c r="M25" i="10" s="1"/>
  <c r="M7" i="10"/>
  <c r="G35" i="7" l="1"/>
  <c r="M20" i="10"/>
  <c r="M14" i="10"/>
  <c r="M15" i="10" s="1"/>
  <c r="H34" i="7"/>
  <c r="N19" i="10"/>
  <c r="N12" i="10"/>
  <c r="N14" i="10" s="1"/>
  <c r="G48" i="7"/>
  <c r="G49" i="7"/>
  <c r="G62" i="7"/>
  <c r="G63" i="7"/>
  <c r="O4" i="10"/>
  <c r="O24" i="10" s="1"/>
  <c r="N7" i="10"/>
  <c r="N6" i="10"/>
  <c r="N25" i="10" s="1"/>
  <c r="H36" i="7" l="1"/>
  <c r="N15" i="10"/>
  <c r="H35" i="7"/>
  <c r="N20" i="10"/>
  <c r="G50" i="7"/>
  <c r="G36" i="7"/>
  <c r="G64" i="7"/>
  <c r="I34" i="7"/>
  <c r="O19" i="10"/>
  <c r="O12" i="10"/>
  <c r="O14" i="10" s="1"/>
  <c r="H50" i="7"/>
  <c r="H64" i="7"/>
  <c r="H49" i="7"/>
  <c r="H48" i="7"/>
  <c r="H62" i="7"/>
  <c r="H63" i="7"/>
  <c r="P4" i="10"/>
  <c r="P24" i="10" s="1"/>
  <c r="O6" i="10"/>
  <c r="O25" i="10" s="1"/>
  <c r="O7" i="10"/>
  <c r="I64" i="7" l="1"/>
  <c r="O15" i="10"/>
  <c r="I35" i="7"/>
  <c r="O20" i="10"/>
  <c r="J34" i="7"/>
  <c r="P12" i="10"/>
  <c r="P14" i="10" s="1"/>
  <c r="P15" i="10" s="1"/>
  <c r="P19" i="10"/>
  <c r="I63" i="7"/>
  <c r="I62" i="7"/>
  <c r="I49" i="7"/>
  <c r="I48" i="7"/>
  <c r="I50" i="7"/>
  <c r="I36" i="7"/>
  <c r="Q4" i="10"/>
  <c r="Q24" i="10" s="1"/>
  <c r="K34" i="7" s="1"/>
  <c r="P6" i="10"/>
  <c r="P25" i="10" s="1"/>
  <c r="P7" i="10"/>
  <c r="J35" i="7" l="1"/>
  <c r="P20" i="10"/>
  <c r="Q19" i="10"/>
  <c r="Q12" i="10"/>
  <c r="Q14" i="10" s="1"/>
  <c r="J64" i="7"/>
  <c r="J62" i="7"/>
  <c r="J63" i="7"/>
  <c r="J48" i="7"/>
  <c r="J49" i="7"/>
  <c r="J50" i="7"/>
  <c r="J36" i="7"/>
  <c r="R4" i="10"/>
  <c r="R24" i="10" s="1"/>
  <c r="Q7" i="10"/>
  <c r="Q6" i="10"/>
  <c r="K48" i="7" s="1"/>
  <c r="K36" i="7" l="1"/>
  <c r="Q15" i="10"/>
  <c r="K35" i="7"/>
  <c r="Q20" i="10"/>
  <c r="Q25" i="10"/>
  <c r="L34" i="7"/>
  <c r="R12" i="10"/>
  <c r="R14" i="10" s="1"/>
  <c r="R15" i="10" s="1"/>
  <c r="R19" i="10"/>
  <c r="K49" i="7"/>
  <c r="K62" i="7"/>
  <c r="K63" i="7"/>
  <c r="K64" i="7"/>
  <c r="K50" i="7"/>
  <c r="S4" i="10"/>
  <c r="S24" i="10" s="1"/>
  <c r="R6" i="10"/>
  <c r="R25" i="10" s="1"/>
  <c r="R7" i="10"/>
  <c r="L35" i="7" l="1"/>
  <c r="R20" i="10"/>
  <c r="M34" i="7"/>
  <c r="S19" i="10"/>
  <c r="S12" i="10"/>
  <c r="L64" i="7"/>
  <c r="L48" i="7"/>
  <c r="L49" i="7"/>
  <c r="L36" i="7"/>
  <c r="L50" i="7"/>
  <c r="L63" i="7"/>
  <c r="L62" i="7"/>
  <c r="T4" i="10"/>
  <c r="T24" i="10" s="1"/>
  <c r="S6" i="10"/>
  <c r="S25" i="10" s="1"/>
  <c r="S7" i="10"/>
  <c r="M35" i="7" l="1"/>
  <c r="S20" i="10"/>
  <c r="S14" i="10"/>
  <c r="N34" i="7"/>
  <c r="T12" i="10"/>
  <c r="T19" i="10"/>
  <c r="M64" i="7"/>
  <c r="M36" i="7"/>
  <c r="M63" i="7"/>
  <c r="M62" i="7"/>
  <c r="M49" i="7"/>
  <c r="M48" i="7"/>
  <c r="U4" i="10"/>
  <c r="U24" i="10" s="1"/>
  <c r="T7" i="10"/>
  <c r="T6" i="10"/>
  <c r="T25" i="10" s="1"/>
  <c r="M50" i="7" l="1"/>
  <c r="S15" i="10"/>
  <c r="N35" i="7"/>
  <c r="T20" i="10"/>
  <c r="T14" i="10"/>
  <c r="O34" i="7"/>
  <c r="U19" i="10"/>
  <c r="U12" i="10"/>
  <c r="U14" i="10" s="1"/>
  <c r="N48" i="7"/>
  <c r="N49" i="7"/>
  <c r="N62" i="7"/>
  <c r="N63" i="7"/>
  <c r="N36" i="7"/>
  <c r="V4" i="10"/>
  <c r="V24" i="10" s="1"/>
  <c r="U7" i="10"/>
  <c r="U6" i="10"/>
  <c r="U25" i="10" s="1"/>
  <c r="N50" i="7" l="1"/>
  <c r="T15" i="10"/>
  <c r="O50" i="7"/>
  <c r="U15" i="10"/>
  <c r="O35" i="7"/>
  <c r="U20" i="10"/>
  <c r="N64" i="7"/>
  <c r="P34" i="7"/>
  <c r="V12" i="10"/>
  <c r="V19" i="10"/>
  <c r="O62" i="7"/>
  <c r="O63" i="7"/>
  <c r="O36" i="7"/>
  <c r="O64" i="7"/>
  <c r="O49" i="7"/>
  <c r="O48" i="7"/>
  <c r="W4" i="10"/>
  <c r="W24" i="10" s="1"/>
  <c r="V7" i="10"/>
  <c r="V6" i="10"/>
  <c r="V25" i="10" s="1"/>
  <c r="P35" i="7" l="1"/>
  <c r="V20" i="10"/>
  <c r="V14" i="10"/>
  <c r="Q34" i="7"/>
  <c r="W12" i="10"/>
  <c r="W19" i="10"/>
  <c r="P49" i="7"/>
  <c r="P48" i="7"/>
  <c r="P62" i="7"/>
  <c r="P63" i="7"/>
  <c r="X4" i="10"/>
  <c r="X24" i="10" s="1"/>
  <c r="W7" i="10"/>
  <c r="W6" i="10"/>
  <c r="W25" i="10" s="1"/>
  <c r="P36" i="7" l="1"/>
  <c r="V15" i="10"/>
  <c r="Q35" i="7"/>
  <c r="W20" i="10"/>
  <c r="P50" i="7"/>
  <c r="P64" i="7"/>
  <c r="W14" i="10"/>
  <c r="R34" i="7"/>
  <c r="X19" i="10"/>
  <c r="X12" i="10"/>
  <c r="X14" i="10" s="1"/>
  <c r="Q49" i="7"/>
  <c r="Q48" i="7"/>
  <c r="Q63" i="7"/>
  <c r="Q62" i="7"/>
  <c r="Y4" i="10"/>
  <c r="Y24" i="10" s="1"/>
  <c r="X6" i="10"/>
  <c r="X25" i="10" s="1"/>
  <c r="X7" i="10"/>
  <c r="Q50" i="7" l="1"/>
  <c r="W15" i="10"/>
  <c r="R36" i="7"/>
  <c r="X15" i="10"/>
  <c r="R35" i="7"/>
  <c r="X20" i="10"/>
  <c r="Q64" i="7"/>
  <c r="Q36" i="7"/>
  <c r="S34" i="7"/>
  <c r="Y19" i="10"/>
  <c r="Y12" i="10"/>
  <c r="Y14" i="10" s="1"/>
  <c r="R64" i="7"/>
  <c r="R63" i="7"/>
  <c r="R62" i="7"/>
  <c r="R48" i="7"/>
  <c r="R49" i="7"/>
  <c r="R50" i="7"/>
  <c r="Z4" i="10"/>
  <c r="Z24" i="10" s="1"/>
  <c r="Y7" i="10"/>
  <c r="Y6" i="10"/>
  <c r="Y25" i="10" s="1"/>
  <c r="S36" i="7" l="1"/>
  <c r="Y15" i="10"/>
  <c r="S35" i="7"/>
  <c r="Y20" i="10"/>
  <c r="T34" i="7"/>
  <c r="Z12" i="10"/>
  <c r="Z14" i="10" s="1"/>
  <c r="Z19" i="10"/>
  <c r="S64" i="7"/>
  <c r="S50" i="7"/>
  <c r="S48" i="7"/>
  <c r="S49" i="7"/>
  <c r="S63" i="7"/>
  <c r="S62" i="7"/>
  <c r="AA4" i="10"/>
  <c r="AA24" i="10" s="1"/>
  <c r="Z6" i="10"/>
  <c r="Z25" i="10" s="1"/>
  <c r="Z7" i="10"/>
  <c r="Z15" i="10" l="1"/>
  <c r="T35" i="7"/>
  <c r="Z20" i="10"/>
  <c r="U34" i="7"/>
  <c r="AA19" i="10"/>
  <c r="AA12" i="10"/>
  <c r="T64" i="7"/>
  <c r="T63" i="7"/>
  <c r="T62" i="7"/>
  <c r="T36" i="7"/>
  <c r="T50" i="7"/>
  <c r="T48" i="7"/>
  <c r="T49" i="7"/>
  <c r="AB4" i="10"/>
  <c r="AB24" i="10" s="1"/>
  <c r="AA6" i="10"/>
  <c r="AA25" i="10" s="1"/>
  <c r="AA7" i="10"/>
  <c r="U35" i="7" l="1"/>
  <c r="AA20" i="10"/>
  <c r="AA14" i="10"/>
  <c r="V34" i="7"/>
  <c r="AB19" i="10"/>
  <c r="AB12" i="10"/>
  <c r="AB14" i="10" s="1"/>
  <c r="AB15" i="10" s="1"/>
  <c r="U64" i="7"/>
  <c r="U63" i="7"/>
  <c r="U62" i="7"/>
  <c r="U48" i="7"/>
  <c r="U49" i="7"/>
  <c r="U50" i="7"/>
  <c r="AC4" i="10"/>
  <c r="AC24" i="10" s="1"/>
  <c r="AB7" i="10"/>
  <c r="AB6" i="10"/>
  <c r="AB25" i="10" s="1"/>
  <c r="U36" i="7" l="1"/>
  <c r="AA15" i="10"/>
  <c r="V35" i="7"/>
  <c r="AB20" i="10"/>
  <c r="W34" i="7"/>
  <c r="AC12" i="10"/>
  <c r="AC19" i="10"/>
  <c r="V50" i="7"/>
  <c r="V48" i="7"/>
  <c r="V49" i="7"/>
  <c r="V36" i="7"/>
  <c r="V62" i="7"/>
  <c r="V63" i="7"/>
  <c r="V64" i="7"/>
  <c r="AD4" i="10"/>
  <c r="AD24" i="10" s="1"/>
  <c r="AC7" i="10"/>
  <c r="AC6" i="10"/>
  <c r="AC25" i="10" s="1"/>
  <c r="W35" i="7" l="1"/>
  <c r="AC20" i="10"/>
  <c r="AC14" i="10"/>
  <c r="X34" i="7"/>
  <c r="AD19" i="10"/>
  <c r="AD12" i="10"/>
  <c r="AD14" i="10" s="1"/>
  <c r="W50" i="7"/>
  <c r="W63" i="7"/>
  <c r="W62" i="7"/>
  <c r="W49" i="7"/>
  <c r="W48" i="7"/>
  <c r="AE4" i="10"/>
  <c r="AE24" i="10" s="1"/>
  <c r="AD7" i="10"/>
  <c r="AD6" i="10"/>
  <c r="AD25" i="10" s="1"/>
  <c r="W36" i="7" l="1"/>
  <c r="AC15" i="10"/>
  <c r="X36" i="7"/>
  <c r="AD15" i="10"/>
  <c r="X35" i="7"/>
  <c r="AD20" i="10"/>
  <c r="W64" i="7"/>
  <c r="Y34" i="7"/>
  <c r="AE12" i="10"/>
  <c r="AE14" i="10" s="1"/>
  <c r="AE19" i="10"/>
  <c r="X64" i="7"/>
  <c r="X63" i="7"/>
  <c r="X62" i="7"/>
  <c r="X49" i="7"/>
  <c r="X48" i="7"/>
  <c r="X50" i="7"/>
  <c r="AF4" i="10"/>
  <c r="AF24" i="10" s="1"/>
  <c r="AE6" i="10"/>
  <c r="AE25" i="10" s="1"/>
  <c r="AE7" i="10"/>
  <c r="AE15" i="10" l="1"/>
  <c r="Y35" i="7"/>
  <c r="AE20" i="10"/>
  <c r="Z34" i="7"/>
  <c r="AF12" i="10"/>
  <c r="AF19" i="10"/>
  <c r="Y64" i="7"/>
  <c r="Y36" i="7"/>
  <c r="Y48" i="7"/>
  <c r="Y49" i="7"/>
  <c r="Y50" i="7"/>
  <c r="Y63" i="7"/>
  <c r="Y62" i="7"/>
  <c r="AF7" i="10"/>
  <c r="AG4" i="10"/>
  <c r="AG24" i="10" s="1"/>
  <c r="AF6" i="10"/>
  <c r="AF25" i="10" s="1"/>
  <c r="Z35" i="7" l="1"/>
  <c r="AF20" i="10"/>
  <c r="AF14" i="10"/>
  <c r="AA34" i="7"/>
  <c r="AG12" i="10"/>
  <c r="AG19" i="10"/>
  <c r="Z64" i="7"/>
  <c r="Z62" i="7"/>
  <c r="Z63" i="7"/>
  <c r="Z49" i="7"/>
  <c r="Z48" i="7"/>
  <c r="AH4" i="10"/>
  <c r="AH24" i="10" s="1"/>
  <c r="AG6" i="10"/>
  <c r="AG25" i="10" s="1"/>
  <c r="AG7" i="10"/>
  <c r="Y52" i="7"/>
  <c r="W66" i="7"/>
  <c r="U52" i="7"/>
  <c r="Z36" i="7" l="1"/>
  <c r="AF15" i="10"/>
  <c r="AA35" i="7"/>
  <c r="AG20" i="10"/>
  <c r="Z50" i="7"/>
  <c r="AG14" i="10"/>
  <c r="AB34" i="7"/>
  <c r="AH12" i="10"/>
  <c r="AH19" i="10"/>
  <c r="AA48" i="7"/>
  <c r="AA49" i="7"/>
  <c r="AA62" i="7"/>
  <c r="AA63" i="7"/>
  <c r="AH7" i="10"/>
  <c r="AH6" i="10"/>
  <c r="AH25" i="10" s="1"/>
  <c r="AI4" i="10"/>
  <c r="AI24" i="10" s="1"/>
  <c r="Y38" i="7"/>
  <c r="U66" i="7"/>
  <c r="Y66" i="7"/>
  <c r="U38" i="7"/>
  <c r="W52" i="7"/>
  <c r="W38" i="7"/>
  <c r="O38" i="7"/>
  <c r="O52" i="7"/>
  <c r="O66" i="7"/>
  <c r="V38" i="7"/>
  <c r="V66" i="7"/>
  <c r="V52" i="7"/>
  <c r="N66" i="7"/>
  <c r="N52" i="7"/>
  <c r="N38" i="7"/>
  <c r="G66" i="7"/>
  <c r="G38" i="7"/>
  <c r="G52" i="7"/>
  <c r="Z66" i="7"/>
  <c r="Z52" i="7"/>
  <c r="Z38" i="7"/>
  <c r="K66" i="7"/>
  <c r="K52" i="7"/>
  <c r="K38" i="7"/>
  <c r="T38" i="7"/>
  <c r="T52" i="7"/>
  <c r="T66" i="7"/>
  <c r="X52" i="7"/>
  <c r="X66" i="7"/>
  <c r="X38" i="7"/>
  <c r="S66" i="7"/>
  <c r="S38" i="7"/>
  <c r="S52" i="7"/>
  <c r="J38" i="7"/>
  <c r="J52" i="7"/>
  <c r="J66" i="7"/>
  <c r="R66" i="7"/>
  <c r="R38" i="7"/>
  <c r="R52" i="7"/>
  <c r="L38" i="7"/>
  <c r="L52" i="7"/>
  <c r="L66" i="7"/>
  <c r="M52" i="7"/>
  <c r="M66" i="7"/>
  <c r="M38" i="7"/>
  <c r="Q38" i="7"/>
  <c r="Q52" i="7"/>
  <c r="Q66" i="7"/>
  <c r="I66" i="7"/>
  <c r="I38" i="7"/>
  <c r="I52" i="7"/>
  <c r="F66" i="7"/>
  <c r="F38" i="7"/>
  <c r="F52" i="7"/>
  <c r="P52" i="7"/>
  <c r="P38" i="7"/>
  <c r="P66" i="7"/>
  <c r="H38" i="7"/>
  <c r="H66" i="7"/>
  <c r="H52" i="7"/>
  <c r="P5" i="13"/>
  <c r="Q5" i="13" s="1"/>
  <c r="R5" i="13" s="1"/>
  <c r="S5" i="13" s="1"/>
  <c r="T5" i="13" s="1"/>
  <c r="U5" i="13" s="1"/>
  <c r="V5" i="13" s="1"/>
  <c r="W5" i="13" s="1"/>
  <c r="X5" i="13" s="1"/>
  <c r="Y5" i="13" s="1"/>
  <c r="Z5" i="13" s="1"/>
  <c r="AA5" i="13" s="1"/>
  <c r="AB5" i="13" s="1"/>
  <c r="AC5" i="13" s="1"/>
  <c r="AD5" i="13" s="1"/>
  <c r="AE5" i="13" s="1"/>
  <c r="AF5" i="13" s="1"/>
  <c r="AG5" i="13" s="1"/>
  <c r="AH5" i="13" s="1"/>
  <c r="AI5" i="13" s="1"/>
  <c r="AJ5" i="13" s="1"/>
  <c r="AK5" i="13" s="1"/>
  <c r="AL5" i="13" s="1"/>
  <c r="AM5" i="13" s="1"/>
  <c r="AN5" i="13" s="1"/>
  <c r="AO5" i="13" s="1"/>
  <c r="AA64" i="7" l="1"/>
  <c r="AG15" i="10"/>
  <c r="AB35" i="7"/>
  <c r="AH20" i="10"/>
  <c r="AA36" i="7"/>
  <c r="AA38" i="7" s="1"/>
  <c r="AA50" i="7"/>
  <c r="AH14" i="10"/>
  <c r="AC34" i="7"/>
  <c r="AI12" i="10"/>
  <c r="AI14" i="10" s="1"/>
  <c r="AI15" i="10" s="1"/>
  <c r="AI19" i="10"/>
  <c r="AB48" i="7"/>
  <c r="AB49" i="7"/>
  <c r="AA52" i="7"/>
  <c r="AB62" i="7"/>
  <c r="AB63" i="7"/>
  <c r="AA66" i="7"/>
  <c r="F7" i="13"/>
  <c r="F6" i="13"/>
  <c r="AJ4" i="10"/>
  <c r="AJ24" i="10" s="1"/>
  <c r="AI7" i="10"/>
  <c r="AI6" i="10"/>
  <c r="AI25" i="10" s="1"/>
  <c r="E52" i="7"/>
  <c r="E66" i="7"/>
  <c r="AB36" i="7" l="1"/>
  <c r="AH15" i="10"/>
  <c r="AC35" i="7"/>
  <c r="AI20" i="10"/>
  <c r="AB50" i="7"/>
  <c r="AB64" i="7"/>
  <c r="AB66" i="7" s="1"/>
  <c r="AD34" i="7"/>
  <c r="AJ12" i="10"/>
  <c r="AJ19" i="10"/>
  <c r="AB52" i="7"/>
  <c r="AC63" i="7"/>
  <c r="AC62" i="7"/>
  <c r="AB38" i="7"/>
  <c r="AC48" i="7"/>
  <c r="AC49" i="7"/>
  <c r="AC50" i="7"/>
  <c r="AC36" i="7"/>
  <c r="AC64" i="7"/>
  <c r="AK4" i="10"/>
  <c r="AK24" i="10" s="1"/>
  <c r="AJ6" i="10"/>
  <c r="AJ25" i="10" s="1"/>
  <c r="AJ7" i="10"/>
  <c r="G7" i="13"/>
  <c r="G6" i="13"/>
  <c r="AD35" i="7" l="1"/>
  <c r="AJ20" i="10"/>
  <c r="AJ14" i="10"/>
  <c r="AE34" i="7"/>
  <c r="D11" i="7" s="1"/>
  <c r="AK19" i="10"/>
  <c r="AK12" i="10"/>
  <c r="AK14" i="10" s="1"/>
  <c r="AC66" i="7"/>
  <c r="AD49" i="7"/>
  <c r="AD48" i="7"/>
  <c r="AC38" i="7"/>
  <c r="AD63" i="7"/>
  <c r="AD62" i="7"/>
  <c r="AC52" i="7"/>
  <c r="AL4" i="10"/>
  <c r="AL24" i="10" s="1"/>
  <c r="AK7" i="10"/>
  <c r="AK6" i="10"/>
  <c r="AK25" i="10" s="1"/>
  <c r="H7" i="13"/>
  <c r="H6" i="13"/>
  <c r="AD36" i="7" l="1"/>
  <c r="AJ15" i="10"/>
  <c r="AK15" i="10"/>
  <c r="AE35" i="7"/>
  <c r="D12" i="7" s="1"/>
  <c r="AK20" i="10"/>
  <c r="AD50" i="7"/>
  <c r="AD38" i="7"/>
  <c r="AD64" i="7"/>
  <c r="AD66" i="7" s="1"/>
  <c r="AL12" i="10"/>
  <c r="AL19" i="10"/>
  <c r="AE64" i="7"/>
  <c r="AE50" i="7"/>
  <c r="AE36" i="7"/>
  <c r="AD52" i="7"/>
  <c r="AE49" i="7"/>
  <c r="AE48" i="7"/>
  <c r="AE62" i="7"/>
  <c r="AE63" i="7"/>
  <c r="AM4" i="10"/>
  <c r="AM24" i="10" s="1"/>
  <c r="AL7" i="10"/>
  <c r="AL6" i="10"/>
  <c r="AL25" i="10" s="1"/>
  <c r="I6" i="13"/>
  <c r="I7" i="13"/>
  <c r="AL20" i="10" l="1"/>
  <c r="E12" i="7"/>
  <c r="E20" i="7"/>
  <c r="E21" i="7"/>
  <c r="E13" i="7"/>
  <c r="AL14" i="10"/>
  <c r="AL15" i="10" s="1"/>
  <c r="AM19" i="10"/>
  <c r="AM20" i="10" s="1"/>
  <c r="AM12" i="10"/>
  <c r="AM14" i="10" s="1"/>
  <c r="AM15" i="10" s="1"/>
  <c r="AE52" i="7"/>
  <c r="AE66" i="7"/>
  <c r="AM6" i="10"/>
  <c r="AM25" i="10" s="1"/>
  <c r="AN4" i="10"/>
  <c r="AN24" i="10" s="1"/>
  <c r="AM7" i="10"/>
  <c r="AE38" i="7"/>
  <c r="J6" i="13"/>
  <c r="J7" i="13"/>
  <c r="AN12" i="10" l="1"/>
  <c r="AN14" i="10" s="1"/>
  <c r="AN15" i="10" s="1"/>
  <c r="AN19" i="10"/>
  <c r="AO4" i="10"/>
  <c r="AO24" i="10" s="1"/>
  <c r="AN6" i="10"/>
  <c r="AN25" i="10" s="1"/>
  <c r="AN7" i="10"/>
  <c r="K7" i="13"/>
  <c r="K6" i="13"/>
  <c r="AN20" i="10" l="1"/>
  <c r="AO19" i="10"/>
  <c r="AO12" i="10"/>
  <c r="AO14" i="10" s="1"/>
  <c r="AO15" i="10" s="1"/>
  <c r="AO7" i="10"/>
  <c r="AP4" i="10"/>
  <c r="AP24" i="10" s="1"/>
  <c r="AO6" i="10"/>
  <c r="AO25" i="10" s="1"/>
  <c r="L7" i="13"/>
  <c r="L6" i="13"/>
  <c r="AO20" i="10" l="1"/>
  <c r="AP12" i="10"/>
  <c r="AP19" i="10"/>
  <c r="AP20" i="10" s="1"/>
  <c r="AQ4" i="10"/>
  <c r="AQ24" i="10" s="1"/>
  <c r="AP6" i="10"/>
  <c r="AP25" i="10" s="1"/>
  <c r="AP7" i="10"/>
  <c r="M6" i="13"/>
  <c r="M7" i="13"/>
  <c r="AP14" i="10" l="1"/>
  <c r="AP15" i="10" s="1"/>
  <c r="AQ19" i="10"/>
  <c r="AQ12" i="10"/>
  <c r="AQ14" i="10" s="1"/>
  <c r="AQ15" i="10" s="1"/>
  <c r="AR4" i="10"/>
  <c r="AR24" i="10" s="1"/>
  <c r="AQ6" i="10"/>
  <c r="AQ25" i="10" s="1"/>
  <c r="AQ7" i="10"/>
  <c r="N7" i="13"/>
  <c r="N6" i="13"/>
  <c r="AQ20" i="10" l="1"/>
  <c r="AR19" i="10"/>
  <c r="AR20" i="10" s="1"/>
  <c r="AR12" i="10"/>
  <c r="AS4" i="10"/>
  <c r="AS24" i="10" s="1"/>
  <c r="AR6" i="10"/>
  <c r="AR25" i="10" s="1"/>
  <c r="AR7" i="10"/>
  <c r="O7" i="13"/>
  <c r="O6" i="13"/>
  <c r="AR14" i="10" l="1"/>
  <c r="AR15" i="10" s="1"/>
  <c r="AS19" i="10"/>
  <c r="AS12" i="10"/>
  <c r="AS14" i="10" s="1"/>
  <c r="AS15" i="10" s="1"/>
  <c r="AS6" i="10"/>
  <c r="AS25" i="10" s="1"/>
  <c r="AT4" i="10"/>
  <c r="AT24" i="10" s="1"/>
  <c r="AS7" i="10"/>
  <c r="P7" i="13"/>
  <c r="P6" i="13"/>
  <c r="AS20" i="10" l="1"/>
  <c r="AU4" i="10"/>
  <c r="AU24" i="10" s="1"/>
  <c r="AT19" i="10"/>
  <c r="AT20" i="10" s="1"/>
  <c r="AT12" i="10"/>
  <c r="AT14" i="10" s="1"/>
  <c r="AT15" i="10" s="1"/>
  <c r="AT6" i="10"/>
  <c r="AT25" i="10" s="1"/>
  <c r="AT7" i="10"/>
  <c r="Q6" i="13"/>
  <c r="Q7" i="13"/>
  <c r="AU7" i="10" l="1"/>
  <c r="AU6" i="10"/>
  <c r="AU25" i="10" s="1"/>
  <c r="G11" i="7" s="1"/>
  <c r="AU19" i="10"/>
  <c r="AU20" i="10" s="1"/>
  <c r="AU12" i="10"/>
  <c r="AU14" i="10" s="1"/>
  <c r="AU15" i="10" s="1"/>
  <c r="R6" i="13"/>
  <c r="R7" i="13"/>
  <c r="G20" i="7" l="1"/>
  <c r="G12" i="7"/>
  <c r="G21" i="7"/>
  <c r="G13" i="7"/>
  <c r="D21" i="7"/>
  <c r="C62" i="7"/>
  <c r="F13" i="7"/>
  <c r="C64" i="7"/>
  <c r="F21" i="7"/>
  <c r="D13" i="7"/>
  <c r="C50" i="7"/>
  <c r="S7" i="13"/>
  <c r="S6" i="13"/>
  <c r="E11" i="7" l="1"/>
  <c r="C48" i="7"/>
  <c r="F12" i="7"/>
  <c r="F20" i="7"/>
  <c r="F11" i="7"/>
  <c r="C49" i="7"/>
  <c r="B141" i="5"/>
  <c r="C34" i="7"/>
  <c r="C38" i="7"/>
  <c r="D20" i="7"/>
  <c r="B147" i="5" s="1"/>
  <c r="C35" i="7"/>
  <c r="C52" i="7"/>
  <c r="C66" i="7"/>
  <c r="C36" i="7"/>
  <c r="C63" i="7"/>
  <c r="T7" i="13"/>
  <c r="T6" i="13"/>
  <c r="B15" i="5" l="1"/>
  <c r="B26" i="5"/>
  <c r="D141" i="5"/>
  <c r="C141" i="5"/>
  <c r="U7" i="13"/>
  <c r="U6" i="13"/>
  <c r="C16" i="5" l="1"/>
  <c r="C148" i="5"/>
  <c r="C25" i="5"/>
  <c r="B16" i="5"/>
  <c r="B148" i="5"/>
  <c r="B25" i="5"/>
  <c r="B27" i="5" s="1"/>
  <c r="D147" i="5"/>
  <c r="D15" i="5"/>
  <c r="D26" i="5"/>
  <c r="D148" i="5"/>
  <c r="D25" i="5"/>
  <c r="D16" i="5"/>
  <c r="C26" i="5"/>
  <c r="C147" i="5"/>
  <c r="C15" i="5"/>
  <c r="V6" i="13"/>
  <c r="V7" i="13"/>
  <c r="C27" i="5" l="1"/>
  <c r="D27" i="5"/>
  <c r="W7" i="13"/>
  <c r="W6" i="13"/>
  <c r="X7" i="13" l="1"/>
  <c r="X6" i="13"/>
  <c r="Y7" i="13" l="1"/>
  <c r="Y6" i="13"/>
  <c r="Z6" i="13" l="1"/>
  <c r="Z7" i="13"/>
  <c r="AA7" i="13" l="1"/>
  <c r="AA6" i="13"/>
  <c r="D4" i="11"/>
  <c r="D7" i="11" l="1"/>
  <c r="D107" i="11" s="1"/>
  <c r="D58" i="7" s="1"/>
  <c r="D6" i="11"/>
  <c r="D106" i="11" s="1"/>
  <c r="D44" i="7" s="1"/>
  <c r="AB7" i="13"/>
  <c r="AB6" i="13"/>
  <c r="E4" i="11"/>
  <c r="E7" i="11" l="1"/>
  <c r="E107" i="11" s="1"/>
  <c r="E6" i="11"/>
  <c r="E106" i="11" s="1"/>
  <c r="E44" i="7" s="1"/>
  <c r="AC6" i="13"/>
  <c r="AC7" i="13"/>
  <c r="F4" i="11"/>
  <c r="F6" i="11" l="1"/>
  <c r="F106" i="11" s="1"/>
  <c r="F7" i="11"/>
  <c r="F107" i="11" s="1"/>
  <c r="AD7" i="13"/>
  <c r="AD6" i="13"/>
  <c r="E58" i="7"/>
  <c r="G4" i="11"/>
  <c r="G7" i="11" l="1"/>
  <c r="G107" i="11" s="1"/>
  <c r="G6" i="11"/>
  <c r="G106" i="11" s="1"/>
  <c r="AE6" i="13"/>
  <c r="AE7" i="13"/>
  <c r="H4" i="11"/>
  <c r="H6" i="11" l="1"/>
  <c r="H106" i="11" s="1"/>
  <c r="H7" i="11"/>
  <c r="H107" i="11" s="1"/>
  <c r="AG7" i="13"/>
  <c r="AG6" i="13"/>
  <c r="AF7" i="13"/>
  <c r="AF6" i="13"/>
  <c r="I4" i="11"/>
  <c r="I6" i="11" l="1"/>
  <c r="I106" i="11" s="1"/>
  <c r="I7" i="11"/>
  <c r="I107" i="11" s="1"/>
  <c r="AH6" i="13"/>
  <c r="AH7" i="13"/>
  <c r="F58" i="7"/>
  <c r="F44" i="7"/>
  <c r="F25" i="22"/>
  <c r="F47" i="7" s="1"/>
  <c r="F29" i="22"/>
  <c r="F26" i="22"/>
  <c r="F61" i="7" s="1"/>
  <c r="J4" i="11"/>
  <c r="J6" i="11" l="1"/>
  <c r="J106" i="11" s="1"/>
  <c r="J7" i="11"/>
  <c r="J107" i="11" s="1"/>
  <c r="AI6" i="13"/>
  <c r="AI7" i="13"/>
  <c r="F110" i="11"/>
  <c r="K4" i="11"/>
  <c r="L4" i="11" s="1"/>
  <c r="K6" i="11" l="1"/>
  <c r="K106" i="11" s="1"/>
  <c r="K7" i="11"/>
  <c r="K107" i="11" s="1"/>
  <c r="AJ7" i="13"/>
  <c r="AJ6" i="13"/>
  <c r="L7" i="11" l="1"/>
  <c r="L107" i="11" s="1"/>
  <c r="L6" i="11"/>
  <c r="L106" i="11" s="1"/>
  <c r="AK6" i="13"/>
  <c r="AK7" i="13"/>
  <c r="M4" i="11"/>
  <c r="M7" i="11" l="1"/>
  <c r="M107" i="11" s="1"/>
  <c r="M6" i="11"/>
  <c r="M106" i="11" s="1"/>
  <c r="AL6" i="13"/>
  <c r="AL7" i="13"/>
  <c r="N4" i="11"/>
  <c r="N7" i="11" l="1"/>
  <c r="N107" i="11" s="1"/>
  <c r="N6" i="11"/>
  <c r="N106" i="11" s="1"/>
  <c r="AM7" i="13"/>
  <c r="AM6" i="13"/>
  <c r="O4" i="11"/>
  <c r="O7" i="11" l="1"/>
  <c r="O107" i="11" s="1"/>
  <c r="O6" i="11"/>
  <c r="O106" i="11" s="1"/>
  <c r="AN6" i="13"/>
  <c r="AN7" i="13"/>
  <c r="P4" i="11"/>
  <c r="P6" i="11" l="1"/>
  <c r="P106" i="11" s="1"/>
  <c r="P7" i="11"/>
  <c r="P107" i="11" s="1"/>
  <c r="Q4" i="11"/>
  <c r="Q6" i="11" l="1"/>
  <c r="Q106" i="11" s="1"/>
  <c r="Q7" i="11"/>
  <c r="Q107" i="11" s="1"/>
  <c r="R4" i="11"/>
  <c r="R6" i="11" l="1"/>
  <c r="R106" i="11" s="1"/>
  <c r="R7" i="11"/>
  <c r="R107" i="11" s="1"/>
  <c r="S4" i="11"/>
  <c r="S6" i="11" l="1"/>
  <c r="S106" i="11" s="1"/>
  <c r="S7" i="11"/>
  <c r="S107" i="11" s="1"/>
  <c r="T4" i="11"/>
  <c r="T6" i="11" l="1"/>
  <c r="T106" i="11" s="1"/>
  <c r="T7" i="11"/>
  <c r="T107" i="11" s="1"/>
  <c r="U4" i="11"/>
  <c r="U7" i="11" l="1"/>
  <c r="U107" i="11" s="1"/>
  <c r="U6" i="11"/>
  <c r="U106" i="11" s="1"/>
  <c r="V4" i="11"/>
  <c r="V7" i="11" l="1"/>
  <c r="V107" i="11" s="1"/>
  <c r="V6" i="11"/>
  <c r="V106" i="11" s="1"/>
  <c r="W4" i="11"/>
  <c r="W6" i="11" l="1"/>
  <c r="W106" i="11" s="1"/>
  <c r="W7" i="11"/>
  <c r="W107" i="11" s="1"/>
  <c r="X4" i="11"/>
  <c r="X6" i="11" l="1"/>
  <c r="X106" i="11" s="1"/>
  <c r="X7" i="11"/>
  <c r="X107" i="11" s="1"/>
  <c r="Y4" i="11"/>
  <c r="Y6" i="11" l="1"/>
  <c r="Y106" i="11" s="1"/>
  <c r="Y7" i="11"/>
  <c r="Y107" i="11" s="1"/>
  <c r="Z4" i="11"/>
  <c r="Z6" i="11" l="1"/>
  <c r="Z7" i="11"/>
  <c r="Z107" i="11" s="1"/>
  <c r="AA4" i="11"/>
  <c r="Z106" i="11" l="1"/>
  <c r="AA6" i="11"/>
  <c r="AA7" i="11"/>
  <c r="AB4" i="11"/>
  <c r="AA107" i="11" l="1"/>
  <c r="AA106" i="11"/>
  <c r="AB7" i="11"/>
  <c r="AB6" i="11"/>
  <c r="AC4" i="11"/>
  <c r="B50" i="7"/>
  <c r="B64" i="7" s="1"/>
  <c r="AB106" i="11" l="1"/>
  <c r="AB44" i="7" s="1"/>
  <c r="AB107" i="11"/>
  <c r="AB58" i="7" s="1"/>
  <c r="AC7" i="11"/>
  <c r="AC6" i="11"/>
  <c r="AD4" i="11"/>
  <c r="AC106" i="11" l="1"/>
  <c r="AC44" i="7" s="1"/>
  <c r="AC107" i="11"/>
  <c r="AC58" i="7" s="1"/>
  <c r="AD7" i="11"/>
  <c r="AD6" i="11"/>
  <c r="AE4" i="11"/>
  <c r="AF4" i="11" s="1"/>
  <c r="AD106" i="11" l="1"/>
  <c r="AD44" i="7" s="1"/>
  <c r="AD107" i="11"/>
  <c r="AD58" i="7" s="1"/>
  <c r="AF6" i="11"/>
  <c r="AF7" i="11"/>
  <c r="AE7" i="11"/>
  <c r="AE107" i="11" s="1"/>
  <c r="AE58" i="7" s="1"/>
  <c r="AE6" i="11"/>
  <c r="AG4" i="11"/>
  <c r="B17" i="6"/>
  <c r="AE106" i="11" l="1"/>
  <c r="AE44" i="7" s="1"/>
  <c r="AF107" i="11"/>
  <c r="AF106" i="11"/>
  <c r="AG6" i="11"/>
  <c r="AG7" i="11"/>
  <c r="AG107" i="11" s="1"/>
  <c r="AH4" i="11"/>
  <c r="B14" i="6"/>
  <c r="AG106" i="11" l="1"/>
  <c r="AH6" i="11"/>
  <c r="AH7" i="11"/>
  <c r="AI4" i="11"/>
  <c r="AH107" i="11" l="1"/>
  <c r="AH106" i="11"/>
  <c r="AI6" i="11"/>
  <c r="AI106" i="11" s="1"/>
  <c r="AI7" i="11"/>
  <c r="AJ4" i="11"/>
  <c r="AI107" i="11" l="1"/>
  <c r="AJ6" i="11"/>
  <c r="AJ7" i="11"/>
  <c r="AK4" i="11"/>
  <c r="AJ107" i="11" l="1"/>
  <c r="AJ106" i="11"/>
  <c r="AK7" i="11"/>
  <c r="AK107" i="11" s="1"/>
  <c r="AK6" i="11"/>
  <c r="AK106" i="11" s="1"/>
  <c r="AL4" i="11"/>
  <c r="AL7" i="11" l="1"/>
  <c r="AL6" i="11"/>
  <c r="AM4" i="11"/>
  <c r="AL106" i="11" l="1"/>
  <c r="AL107" i="11"/>
  <c r="AM7" i="11"/>
  <c r="AM107" i="11" s="1"/>
  <c r="AM6" i="11"/>
  <c r="AM106" i="11" s="1"/>
  <c r="AN4" i="11"/>
  <c r="AO4" i="11" s="1"/>
  <c r="AO7" i="11" l="1"/>
  <c r="AO107" i="11" s="1"/>
  <c r="AO6" i="11"/>
  <c r="AO106" i="11" s="1"/>
  <c r="AN6" i="11"/>
  <c r="AN106" i="11" s="1"/>
  <c r="AN7" i="11"/>
  <c r="AN107" i="11" s="1"/>
  <c r="G7" i="7" l="1"/>
  <c r="G29" i="22"/>
  <c r="G26" i="22" l="1"/>
  <c r="G61" i="7" s="1"/>
  <c r="G25" i="22"/>
  <c r="G47" i="7" s="1"/>
  <c r="G58" i="7"/>
  <c r="G44" i="7"/>
  <c r="H29" i="22"/>
  <c r="H25" i="22"/>
  <c r="H47" i="7" s="1"/>
  <c r="H26" i="22"/>
  <c r="H61" i="7" s="1"/>
  <c r="I29" i="22" l="1"/>
  <c r="H58" i="7"/>
  <c r="H44" i="7"/>
  <c r="G110" i="11"/>
  <c r="I26" i="22" l="1"/>
  <c r="I61" i="7" s="1"/>
  <c r="I25" i="22"/>
  <c r="I47" i="7" s="1"/>
  <c r="I58" i="7"/>
  <c r="I44" i="7"/>
  <c r="J58" i="7"/>
  <c r="J44" i="7"/>
  <c r="H110" i="11"/>
  <c r="K29" i="22" l="1"/>
  <c r="K25" i="22"/>
  <c r="K47" i="7" s="1"/>
  <c r="K26" i="22"/>
  <c r="K61" i="7" s="1"/>
  <c r="L29" i="22"/>
  <c r="L26" i="22"/>
  <c r="L61" i="7" s="1"/>
  <c r="L25" i="22"/>
  <c r="L47" i="7" s="1"/>
  <c r="J29" i="22"/>
  <c r="J25" i="22"/>
  <c r="J47" i="7" s="1"/>
  <c r="J26" i="22"/>
  <c r="J61" i="7" s="1"/>
  <c r="K58" i="7"/>
  <c r="K44" i="7"/>
  <c r="I110" i="11"/>
  <c r="J110" i="11"/>
  <c r="M29" i="22" l="1"/>
  <c r="M25" i="22"/>
  <c r="M47" i="7" s="1"/>
  <c r="M26" i="22"/>
  <c r="M61" i="7" s="1"/>
  <c r="L44" i="7"/>
  <c r="L58" i="7"/>
  <c r="K110" i="11"/>
  <c r="L110" i="11" l="1"/>
  <c r="N29" i="22" l="1"/>
  <c r="N26" i="22"/>
  <c r="N61" i="7" s="1"/>
  <c r="N25" i="22"/>
  <c r="N47" i="7" s="1"/>
  <c r="N58" i="7"/>
  <c r="N44" i="7"/>
  <c r="M58" i="7"/>
  <c r="M44" i="7"/>
  <c r="M110" i="11"/>
  <c r="P29" i="22" l="1"/>
  <c r="P26" i="22"/>
  <c r="P61" i="7" s="1"/>
  <c r="P25" i="22"/>
  <c r="P47" i="7" s="1"/>
  <c r="O29" i="22"/>
  <c r="O26" i="22"/>
  <c r="O61" i="7" s="1"/>
  <c r="O25" i="22"/>
  <c r="O47" i="7" s="1"/>
  <c r="O44" i="7"/>
  <c r="O58" i="7"/>
  <c r="N110" i="11"/>
  <c r="R29" i="22" l="1"/>
  <c r="Q29" i="22"/>
  <c r="Q25" i="22"/>
  <c r="Q47" i="7" s="1"/>
  <c r="Q26" i="22"/>
  <c r="Q61" i="7" s="1"/>
  <c r="P58" i="7"/>
  <c r="P44" i="7"/>
  <c r="O110" i="11"/>
  <c r="R26" i="22" l="1"/>
  <c r="R61" i="7" s="1"/>
  <c r="R25" i="22"/>
  <c r="R47" i="7" s="1"/>
  <c r="Q58" i="7"/>
  <c r="Q44" i="7"/>
  <c r="P110" i="11"/>
  <c r="S29" i="22" l="1"/>
  <c r="S25" i="22"/>
  <c r="S47" i="7" s="1"/>
  <c r="S26" i="22"/>
  <c r="S61" i="7" s="1"/>
  <c r="R58" i="7"/>
  <c r="R44" i="7"/>
  <c r="Q110" i="11"/>
  <c r="U29" i="22" l="1"/>
  <c r="U25" i="22"/>
  <c r="U47" i="7" s="1"/>
  <c r="U26" i="22"/>
  <c r="U61" i="7" s="1"/>
  <c r="T29" i="22"/>
  <c r="T26" i="22"/>
  <c r="T61" i="7" s="1"/>
  <c r="T25" i="22"/>
  <c r="T47" i="7" s="1"/>
  <c r="S58" i="7"/>
  <c r="S44" i="7"/>
  <c r="R110" i="11"/>
  <c r="T58" i="7" l="1"/>
  <c r="T44" i="7"/>
  <c r="S110" i="11"/>
  <c r="V29" i="22" l="1"/>
  <c r="V25" i="22"/>
  <c r="V47" i="7" s="1"/>
  <c r="V26" i="22"/>
  <c r="V61" i="7" s="1"/>
  <c r="U58" i="7"/>
  <c r="U44" i="7"/>
  <c r="T110" i="11"/>
  <c r="X29" i="22" l="1"/>
  <c r="X25" i="22"/>
  <c r="X47" i="7" s="1"/>
  <c r="X26" i="22"/>
  <c r="X61" i="7" s="1"/>
  <c r="W29" i="22"/>
  <c r="W26" i="22"/>
  <c r="W61" i="7" s="1"/>
  <c r="W25" i="22"/>
  <c r="W47" i="7" s="1"/>
  <c r="V58" i="7"/>
  <c r="V44" i="7"/>
  <c r="U110" i="11"/>
  <c r="W58" i="7" l="1"/>
  <c r="W44" i="7"/>
  <c r="V110" i="11"/>
  <c r="Y29" i="22" l="1"/>
  <c r="Y26" i="22"/>
  <c r="Y61" i="7" s="1"/>
  <c r="Y25" i="22"/>
  <c r="Y47" i="7" s="1"/>
  <c r="X58" i="7"/>
  <c r="X44" i="7"/>
  <c r="W110" i="11"/>
  <c r="AA25" i="22" l="1"/>
  <c r="AA47" i="7" s="1"/>
  <c r="Z29" i="22"/>
  <c r="Z26" i="22"/>
  <c r="Z61" i="7" s="1"/>
  <c r="Z25" i="22"/>
  <c r="Z47" i="7" s="1"/>
  <c r="Y58" i="7"/>
  <c r="Y44" i="7"/>
  <c r="X110" i="11"/>
  <c r="E10" i="7" l="1"/>
  <c r="C47" i="7"/>
  <c r="AA29" i="22"/>
  <c r="AA26" i="22"/>
  <c r="AA61" i="7" s="1"/>
  <c r="Z58" i="7"/>
  <c r="Z44" i="7"/>
  <c r="Y110" i="11"/>
  <c r="Z110" i="11"/>
  <c r="F10" i="7" l="1"/>
  <c r="D140" i="5" s="1"/>
  <c r="C61" i="7"/>
  <c r="C140" i="5"/>
  <c r="AA58" i="7"/>
  <c r="AA44" i="7"/>
  <c r="E7" i="7" l="1"/>
  <c r="C44" i="7"/>
  <c r="F7" i="7"/>
  <c r="D137" i="5" s="1"/>
  <c r="C58" i="7"/>
  <c r="AA110" i="11"/>
  <c r="C137" i="5" l="1"/>
  <c r="W111" i="18" l="1"/>
  <c r="D14" i="13" s="1"/>
  <c r="E14" i="13" l="1"/>
  <c r="D15" i="13"/>
  <c r="D27" i="13" s="1"/>
  <c r="D42" i="13"/>
  <c r="F14" i="13"/>
  <c r="E16" i="13"/>
  <c r="E28" i="13" s="1"/>
  <c r="E15" i="13"/>
  <c r="E27" i="13" s="1"/>
  <c r="D16" i="13"/>
  <c r="D28" i="13" s="1"/>
  <c r="E26" i="13" l="1"/>
  <c r="E38" i="13" s="1"/>
  <c r="D26" i="13"/>
  <c r="D38" i="13" s="1"/>
  <c r="D44" i="13"/>
  <c r="D56" i="13" s="1"/>
  <c r="D43" i="13"/>
  <c r="D55" i="13" s="1"/>
  <c r="E42" i="13"/>
  <c r="G14" i="13"/>
  <c r="F15" i="13"/>
  <c r="F27" i="13" s="1"/>
  <c r="F16" i="13"/>
  <c r="F28" i="13" s="1"/>
  <c r="D54" i="13" l="1"/>
  <c r="D66" i="13" s="1"/>
  <c r="D69" i="13" s="1"/>
  <c r="D70" i="13" s="1"/>
  <c r="E43" i="13"/>
  <c r="E55" i="13" s="1"/>
  <c r="E44" i="13"/>
  <c r="E56" i="13" s="1"/>
  <c r="F42" i="13"/>
  <c r="F26" i="13"/>
  <c r="F38" i="13" s="1"/>
  <c r="G15" i="13"/>
  <c r="G27" i="13" s="1"/>
  <c r="H14" i="13"/>
  <c r="G16" i="13"/>
  <c r="G28" i="13" s="1"/>
  <c r="D45" i="7" l="1"/>
  <c r="D74" i="13"/>
  <c r="D71" i="13"/>
  <c r="D59" i="7" s="1"/>
  <c r="D67" i="7" s="1"/>
  <c r="D68" i="7" s="1"/>
  <c r="D31" i="7"/>
  <c r="D53" i="7"/>
  <c r="D54" i="7" s="1"/>
  <c r="D51" i="7"/>
  <c r="D65" i="7"/>
  <c r="F44" i="13"/>
  <c r="F56" i="13" s="1"/>
  <c r="F43" i="13"/>
  <c r="F55" i="13" s="1"/>
  <c r="G42" i="13"/>
  <c r="E54" i="13"/>
  <c r="E66" i="13" s="1"/>
  <c r="E69" i="13" s="1"/>
  <c r="H15" i="13"/>
  <c r="H27" i="13" s="1"/>
  <c r="I14" i="13"/>
  <c r="H16" i="13"/>
  <c r="H28" i="13" s="1"/>
  <c r="G26" i="13"/>
  <c r="G38" i="13" s="1"/>
  <c r="F54" i="13" l="1"/>
  <c r="F66" i="13" s="1"/>
  <c r="F69" i="13" s="1"/>
  <c r="F70" i="13" s="1"/>
  <c r="F45" i="7" s="1"/>
  <c r="D39" i="7"/>
  <c r="D37" i="7"/>
  <c r="E70" i="13"/>
  <c r="E31" i="7"/>
  <c r="E71" i="13"/>
  <c r="E59" i="7" s="1"/>
  <c r="E74" i="13"/>
  <c r="H42" i="13"/>
  <c r="G44" i="13"/>
  <c r="G56" i="13" s="1"/>
  <c r="G43" i="13"/>
  <c r="G55" i="13" s="1"/>
  <c r="H26" i="13"/>
  <c r="H38" i="13" s="1"/>
  <c r="I16" i="13"/>
  <c r="I28" i="13" s="1"/>
  <c r="J14" i="13"/>
  <c r="I15" i="13"/>
  <c r="I27" i="13" s="1"/>
  <c r="F53" i="7" l="1"/>
  <c r="F51" i="7"/>
  <c r="F74" i="13"/>
  <c r="F71" i="13"/>
  <c r="F59" i="7" s="1"/>
  <c r="F67" i="7" s="1"/>
  <c r="F31" i="7"/>
  <c r="F39" i="7" s="1"/>
  <c r="G54" i="13"/>
  <c r="G66" i="13" s="1"/>
  <c r="G69" i="13" s="1"/>
  <c r="G74" i="13" s="1"/>
  <c r="F37" i="7"/>
  <c r="D40" i="7"/>
  <c r="E45" i="7"/>
  <c r="E67" i="7"/>
  <c r="E68" i="7" s="1"/>
  <c r="E65" i="7"/>
  <c r="E37" i="7"/>
  <c r="E39" i="7"/>
  <c r="E40" i="7" s="1"/>
  <c r="E53" i="7"/>
  <c r="E54" i="7" s="1"/>
  <c r="F54" i="7" s="1"/>
  <c r="E51" i="7"/>
  <c r="I42" i="13"/>
  <c r="H44" i="13"/>
  <c r="H56" i="13" s="1"/>
  <c r="H43" i="13"/>
  <c r="H55" i="13" s="1"/>
  <c r="I26" i="13"/>
  <c r="I38" i="13" s="1"/>
  <c r="J16" i="13"/>
  <c r="J28" i="13" s="1"/>
  <c r="J15" i="13"/>
  <c r="J27" i="13" s="1"/>
  <c r="K14" i="13"/>
  <c r="F68" i="7" l="1"/>
  <c r="G31" i="7"/>
  <c r="F40" i="7"/>
  <c r="F65" i="7"/>
  <c r="G71" i="13"/>
  <c r="G59" i="7" s="1"/>
  <c r="G65" i="7" s="1"/>
  <c r="G70" i="13"/>
  <c r="G45" i="7" s="1"/>
  <c r="G53" i="7" s="1"/>
  <c r="G54" i="7" s="1"/>
  <c r="H54" i="13"/>
  <c r="H66" i="13" s="1"/>
  <c r="H69" i="13" s="1"/>
  <c r="H70" i="13" s="1"/>
  <c r="H45" i="7" s="1"/>
  <c r="H51" i="7" s="1"/>
  <c r="J26" i="13"/>
  <c r="J38" i="13" s="1"/>
  <c r="J42" i="13"/>
  <c r="I44" i="13"/>
  <c r="I56" i="13" s="1"/>
  <c r="I43" i="13"/>
  <c r="I55" i="13" s="1"/>
  <c r="K15" i="13"/>
  <c r="K27" i="13" s="1"/>
  <c r="L14" i="13"/>
  <c r="K16" i="13"/>
  <c r="K28" i="13" s="1"/>
  <c r="G67" i="7" l="1"/>
  <c r="G68" i="7" s="1"/>
  <c r="H74" i="13"/>
  <c r="H71" i="13"/>
  <c r="H59" i="7" s="1"/>
  <c r="H67" i="7" s="1"/>
  <c r="H68" i="7" s="1"/>
  <c r="H31" i="7"/>
  <c r="H39" i="7" s="1"/>
  <c r="G51" i="7"/>
  <c r="G39" i="7"/>
  <c r="G40" i="7" s="1"/>
  <c r="G37" i="7"/>
  <c r="H53" i="7"/>
  <c r="H54" i="7" s="1"/>
  <c r="I54" i="13"/>
  <c r="I66" i="13" s="1"/>
  <c r="I69" i="13" s="1"/>
  <c r="I74" i="13" s="1"/>
  <c r="K42" i="13"/>
  <c r="J44" i="13"/>
  <c r="J56" i="13" s="1"/>
  <c r="J43" i="13"/>
  <c r="J55" i="13" s="1"/>
  <c r="K26" i="13"/>
  <c r="K38" i="13" s="1"/>
  <c r="M14" i="13"/>
  <c r="L16" i="13"/>
  <c r="L28" i="13" s="1"/>
  <c r="L15" i="13"/>
  <c r="L27" i="13" s="1"/>
  <c r="H37" i="7" l="1"/>
  <c r="H65" i="7"/>
  <c r="H40" i="7"/>
  <c r="I31" i="7"/>
  <c r="I39" i="7" s="1"/>
  <c r="I71" i="13"/>
  <c r="I59" i="7" s="1"/>
  <c r="I65" i="7" s="1"/>
  <c r="I70" i="13"/>
  <c r="L26" i="13"/>
  <c r="L38" i="13" s="1"/>
  <c r="I67" i="7"/>
  <c r="I68" i="7" s="1"/>
  <c r="K43" i="13"/>
  <c r="K55" i="13" s="1"/>
  <c r="K44" i="13"/>
  <c r="K56" i="13" s="1"/>
  <c r="J54" i="13"/>
  <c r="J66" i="13" s="1"/>
  <c r="J69" i="13" s="1"/>
  <c r="N14" i="13"/>
  <c r="M16" i="13"/>
  <c r="M28" i="13" s="1"/>
  <c r="M15" i="13"/>
  <c r="M27" i="13" s="1"/>
  <c r="I37" i="7" l="1"/>
  <c r="I40" i="7"/>
  <c r="I45" i="7"/>
  <c r="J31" i="7"/>
  <c r="J71" i="13"/>
  <c r="J59" i="7" s="1"/>
  <c r="J70" i="13"/>
  <c r="J45" i="7" s="1"/>
  <c r="J74" i="13"/>
  <c r="M26" i="13"/>
  <c r="M38" i="13" s="1"/>
  <c r="K54" i="13"/>
  <c r="K66" i="13" s="1"/>
  <c r="K69" i="13" s="1"/>
  <c r="O14" i="13"/>
  <c r="N16" i="13"/>
  <c r="N28" i="13" s="1"/>
  <c r="N15" i="13"/>
  <c r="N27" i="13" s="1"/>
  <c r="I53" i="7" l="1"/>
  <c r="I54" i="7" s="1"/>
  <c r="I51" i="7"/>
  <c r="N26" i="13"/>
  <c r="N38" i="13" s="1"/>
  <c r="J53" i="7"/>
  <c r="J51" i="7"/>
  <c r="K31" i="7"/>
  <c r="K71" i="13"/>
  <c r="K59" i="7" s="1"/>
  <c r="K70" i="13"/>
  <c r="K45" i="7" s="1"/>
  <c r="K74" i="13"/>
  <c r="J67" i="7"/>
  <c r="J68" i="7" s="1"/>
  <c r="J65" i="7"/>
  <c r="J37" i="7"/>
  <c r="J39" i="7"/>
  <c r="O15" i="13"/>
  <c r="O27" i="13" s="1"/>
  <c r="P14" i="13"/>
  <c r="O16" i="13"/>
  <c r="O28" i="13" s="1"/>
  <c r="J40" i="7" l="1"/>
  <c r="J54" i="7"/>
  <c r="O26" i="13"/>
  <c r="O38" i="13" s="1"/>
  <c r="K53" i="7"/>
  <c r="K54" i="7" s="1"/>
  <c r="K51" i="7"/>
  <c r="K67" i="7"/>
  <c r="K68" i="7" s="1"/>
  <c r="K65" i="7"/>
  <c r="K39" i="7"/>
  <c r="K40" i="7" s="1"/>
  <c r="K37" i="7"/>
  <c r="P15" i="13"/>
  <c r="P27" i="13" s="1"/>
  <c r="Q14" i="13"/>
  <c r="P16" i="13"/>
  <c r="P28" i="13" s="1"/>
  <c r="P26" i="13" l="1"/>
  <c r="P38" i="13" s="1"/>
  <c r="Q16" i="13"/>
  <c r="Q28" i="13" s="1"/>
  <c r="R14" i="13"/>
  <c r="Q15" i="13"/>
  <c r="Q27" i="13" s="1"/>
  <c r="Q26" i="13" l="1"/>
  <c r="Q38" i="13" s="1"/>
  <c r="R16" i="13"/>
  <c r="R28" i="13" s="1"/>
  <c r="R15" i="13"/>
  <c r="R27" i="13" s="1"/>
  <c r="S14" i="13"/>
  <c r="R26" i="13" l="1"/>
  <c r="R38" i="13" s="1"/>
  <c r="S15" i="13"/>
  <c r="S27" i="13" s="1"/>
  <c r="T14" i="13"/>
  <c r="S16" i="13"/>
  <c r="S28" i="13" s="1"/>
  <c r="U14" i="13" l="1"/>
  <c r="T15" i="13"/>
  <c r="T27" i="13" s="1"/>
  <c r="T16" i="13"/>
  <c r="T28" i="13" s="1"/>
  <c r="S26" i="13"/>
  <c r="S38" i="13" s="1"/>
  <c r="T26" i="13" l="1"/>
  <c r="T38" i="13" s="1"/>
  <c r="V14" i="13"/>
  <c r="U16" i="13"/>
  <c r="U28" i="13" s="1"/>
  <c r="U15" i="13"/>
  <c r="U27" i="13" s="1"/>
  <c r="U26" i="13" l="1"/>
  <c r="U38" i="13" s="1"/>
  <c r="W14" i="13"/>
  <c r="V15" i="13"/>
  <c r="V27" i="13" s="1"/>
  <c r="V16" i="13"/>
  <c r="V28" i="13" s="1"/>
  <c r="W15" i="13" l="1"/>
  <c r="W27" i="13" s="1"/>
  <c r="X14" i="13"/>
  <c r="W16" i="13"/>
  <c r="W28" i="13" s="1"/>
  <c r="V26" i="13"/>
  <c r="V38" i="13" s="1"/>
  <c r="X15" i="13" l="1"/>
  <c r="X27" i="13" s="1"/>
  <c r="Y14" i="13"/>
  <c r="X16" i="13"/>
  <c r="X28" i="13" s="1"/>
  <c r="W26" i="13"/>
  <c r="W38" i="13" s="1"/>
  <c r="Y16" i="13" l="1"/>
  <c r="Y28" i="13" s="1"/>
  <c r="Z14" i="13"/>
  <c r="Y15" i="13"/>
  <c r="Y27" i="13" s="1"/>
  <c r="X26" i="13"/>
  <c r="X38" i="13" s="1"/>
  <c r="Y26" i="13" l="1"/>
  <c r="Y38" i="13" s="1"/>
  <c r="Z16" i="13"/>
  <c r="Z28" i="13" s="1"/>
  <c r="Z15" i="13"/>
  <c r="Z27" i="13" s="1"/>
  <c r="AA14" i="13"/>
  <c r="Z26" i="13" l="1"/>
  <c r="Z38" i="13" s="1"/>
  <c r="AA15" i="13"/>
  <c r="AA27" i="13" s="1"/>
  <c r="AA16" i="13"/>
  <c r="AA28" i="13" s="1"/>
  <c r="AB14" i="13"/>
  <c r="AC14" i="13" l="1"/>
  <c r="AB15" i="13"/>
  <c r="AB27" i="13" s="1"/>
  <c r="AB16" i="13"/>
  <c r="AB28" i="13" s="1"/>
  <c r="AA26" i="13"/>
  <c r="AA38" i="13" s="1"/>
  <c r="AB26" i="13" l="1"/>
  <c r="AB38" i="13" s="1"/>
  <c r="AD14" i="13"/>
  <c r="AC16" i="13"/>
  <c r="AC28" i="13" s="1"/>
  <c r="AC15" i="13"/>
  <c r="AC27" i="13" s="1"/>
  <c r="AC26" i="13" l="1"/>
  <c r="AC38" i="13" s="1"/>
  <c r="AE14" i="13"/>
  <c r="AD15" i="13"/>
  <c r="AD27" i="13" s="1"/>
  <c r="AD16" i="13"/>
  <c r="AD28" i="13" s="1"/>
  <c r="AD26" i="13" l="1"/>
  <c r="AD38" i="13" s="1"/>
  <c r="AE15" i="13"/>
  <c r="AE27" i="13" s="1"/>
  <c r="AF14" i="13"/>
  <c r="AE16" i="13"/>
  <c r="AE28" i="13" s="1"/>
  <c r="AF15" i="13" l="1"/>
  <c r="AF27" i="13" s="1"/>
  <c r="AG14" i="13"/>
  <c r="AF16" i="13"/>
  <c r="AF28" i="13" s="1"/>
  <c r="AE26" i="13"/>
  <c r="AE38" i="13" s="1"/>
  <c r="AG16" i="13" l="1"/>
  <c r="AG28" i="13" s="1"/>
  <c r="AG15" i="13"/>
  <c r="AG27" i="13" s="1"/>
  <c r="AH14" i="13"/>
  <c r="AF26" i="13"/>
  <c r="AF38" i="13" s="1"/>
  <c r="AG26" i="13" l="1"/>
  <c r="AG38" i="13" s="1"/>
  <c r="AH16" i="13"/>
  <c r="AH28" i="13" s="1"/>
  <c r="AH15" i="13"/>
  <c r="AH27" i="13" s="1"/>
  <c r="AI14" i="13"/>
  <c r="AH26" i="13" l="1"/>
  <c r="AH38" i="13" s="1"/>
  <c r="AI15" i="13"/>
  <c r="AI27" i="13" s="1"/>
  <c r="AI16" i="13"/>
  <c r="AI28" i="13" s="1"/>
  <c r="AJ14" i="13"/>
  <c r="AK14" i="13" l="1"/>
  <c r="AJ15" i="13"/>
  <c r="AJ27" i="13" s="1"/>
  <c r="AJ16" i="13"/>
  <c r="AJ28" i="13" s="1"/>
  <c r="AI26" i="13"/>
  <c r="AI38" i="13" s="1"/>
  <c r="AJ26" i="13" l="1"/>
  <c r="AJ38" i="13" s="1"/>
  <c r="AL14" i="13"/>
  <c r="AK16" i="13"/>
  <c r="AK28" i="13" s="1"/>
  <c r="AK15" i="13"/>
  <c r="AK27" i="13" s="1"/>
  <c r="AK26" i="13" l="1"/>
  <c r="AK38" i="13" s="1"/>
  <c r="AL15" i="13"/>
  <c r="AL27" i="13" s="1"/>
  <c r="AM14" i="13"/>
  <c r="AL16" i="13"/>
  <c r="AL28" i="13" s="1"/>
  <c r="AM15" i="13" l="1"/>
  <c r="AM27" i="13" s="1"/>
  <c r="AN14" i="13"/>
  <c r="AM16" i="13"/>
  <c r="AM28" i="13" s="1"/>
  <c r="AL26" i="13"/>
  <c r="AL38" i="13" s="1"/>
  <c r="AN15" i="13" l="1"/>
  <c r="AN27" i="13" s="1"/>
  <c r="AO14" i="13"/>
  <c r="AN16" i="13"/>
  <c r="AN28" i="13" s="1"/>
  <c r="AM26" i="13"/>
  <c r="AM38" i="13" s="1"/>
  <c r="AO16" i="13" l="1"/>
  <c r="AO28" i="13" s="1"/>
  <c r="AO15" i="13"/>
  <c r="AO27" i="13" s="1"/>
  <c r="AN26" i="13"/>
  <c r="AN38" i="13" s="1"/>
  <c r="X111" i="18"/>
  <c r="L42" i="13" s="1"/>
  <c r="AO26" i="13" l="1"/>
  <c r="AO38" i="13" s="1"/>
  <c r="L43" i="13"/>
  <c r="L55" i="13" s="1"/>
  <c r="M42" i="13"/>
  <c r="L44" i="13"/>
  <c r="L56" i="13" s="1"/>
  <c r="L54" i="13" l="1"/>
  <c r="L66" i="13" s="1"/>
  <c r="L69" i="13" s="1"/>
  <c r="L71" i="13" s="1"/>
  <c r="L59" i="7" s="1"/>
  <c r="M43" i="13"/>
  <c r="M55" i="13" s="1"/>
  <c r="N42" i="13"/>
  <c r="M44" i="13"/>
  <c r="M56" i="13" s="1"/>
  <c r="L74" i="13" l="1"/>
  <c r="L31" i="7"/>
  <c r="L70" i="13"/>
  <c r="L45" i="7" s="1"/>
  <c r="L53" i="7" s="1"/>
  <c r="M54" i="13"/>
  <c r="M66" i="13" s="1"/>
  <c r="M69" i="13" s="1"/>
  <c r="M71" i="13" s="1"/>
  <c r="M59" i="7" s="1"/>
  <c r="L37" i="7"/>
  <c r="L39" i="7"/>
  <c r="L67" i="7"/>
  <c r="L65" i="7"/>
  <c r="N44" i="13"/>
  <c r="N56" i="13" s="1"/>
  <c r="N43" i="13"/>
  <c r="N55" i="13" s="1"/>
  <c r="O42" i="13"/>
  <c r="M70" i="13" l="1"/>
  <c r="M45" i="7" s="1"/>
  <c r="M74" i="13"/>
  <c r="L51" i="7"/>
  <c r="M31" i="7"/>
  <c r="N54" i="13"/>
  <c r="N66" i="13" s="1"/>
  <c r="N69" i="13" s="1"/>
  <c r="N70" i="13" s="1"/>
  <c r="N45" i="7" s="1"/>
  <c r="O44" i="13"/>
  <c r="O56" i="13" s="1"/>
  <c r="O43" i="13"/>
  <c r="O55" i="13" s="1"/>
  <c r="P42" i="13"/>
  <c r="M67" i="7"/>
  <c r="M65" i="7"/>
  <c r="N31" i="7"/>
  <c r="N74" i="13"/>
  <c r="N71" i="13"/>
  <c r="N59" i="7" s="1"/>
  <c r="M53" i="7"/>
  <c r="M51" i="7"/>
  <c r="L68" i="7"/>
  <c r="M39" i="7"/>
  <c r="M37" i="7"/>
  <c r="L40" i="7"/>
  <c r="L54" i="7"/>
  <c r="O54" i="13" l="1"/>
  <c r="O66" i="13" s="1"/>
  <c r="O69" i="13" s="1"/>
  <c r="O74" i="13" s="1"/>
  <c r="M68" i="7"/>
  <c r="M54" i="7"/>
  <c r="N53" i="7"/>
  <c r="N51" i="7"/>
  <c r="P44" i="13"/>
  <c r="P56" i="13" s="1"/>
  <c r="P43" i="13"/>
  <c r="P55" i="13" s="1"/>
  <c r="Q42" i="13"/>
  <c r="N65" i="7"/>
  <c r="N67" i="7"/>
  <c r="M40" i="7"/>
  <c r="N39" i="7"/>
  <c r="N37" i="7"/>
  <c r="O31" i="7" l="1"/>
  <c r="O70" i="13"/>
  <c r="O45" i="7" s="1"/>
  <c r="O53" i="7" s="1"/>
  <c r="O71" i="13"/>
  <c r="O59" i="7" s="1"/>
  <c r="N68" i="7"/>
  <c r="P54" i="13"/>
  <c r="P66" i="13" s="1"/>
  <c r="P69" i="13" s="1"/>
  <c r="P71" i="13" s="1"/>
  <c r="P59" i="7" s="1"/>
  <c r="O67" i="7"/>
  <c r="O68" i="7" s="1"/>
  <c r="O65" i="7"/>
  <c r="N54" i="7"/>
  <c r="N40" i="7"/>
  <c r="O39" i="7"/>
  <c r="O37" i="7"/>
  <c r="R42" i="13"/>
  <c r="Q44" i="13"/>
  <c r="Q56" i="13" s="1"/>
  <c r="Q43" i="13"/>
  <c r="Q55" i="13" s="1"/>
  <c r="O51" i="7" l="1"/>
  <c r="P74" i="13"/>
  <c r="P70" i="13"/>
  <c r="P45" i="7" s="1"/>
  <c r="P51" i="7" s="1"/>
  <c r="P31" i="7"/>
  <c r="P39" i="7" s="1"/>
  <c r="Q54" i="13"/>
  <c r="Q66" i="13" s="1"/>
  <c r="Q69" i="13" s="1"/>
  <c r="Q31" i="7" s="1"/>
  <c r="S42" i="13"/>
  <c r="R44" i="13"/>
  <c r="R56" i="13" s="1"/>
  <c r="R43" i="13"/>
  <c r="R55" i="13" s="1"/>
  <c r="P67" i="7"/>
  <c r="P65" i="7"/>
  <c r="O54" i="7"/>
  <c r="P53" i="7"/>
  <c r="O40" i="7"/>
  <c r="P37" i="7" l="1"/>
  <c r="Q71" i="13"/>
  <c r="Q59" i="7" s="1"/>
  <c r="Q74" i="13"/>
  <c r="Q70" i="13"/>
  <c r="Q45" i="7" s="1"/>
  <c r="Q51" i="7" s="1"/>
  <c r="R54" i="13"/>
  <c r="R66" i="13" s="1"/>
  <c r="R69" i="13" s="1"/>
  <c r="R71" i="13" s="1"/>
  <c r="R59" i="7" s="1"/>
  <c r="Q39" i="7"/>
  <c r="Q37" i="7"/>
  <c r="T42" i="13"/>
  <c r="S44" i="13"/>
  <c r="S56" i="13" s="1"/>
  <c r="S43" i="13"/>
  <c r="S55" i="13" s="1"/>
  <c r="P68" i="7"/>
  <c r="P54" i="7"/>
  <c r="P40" i="7"/>
  <c r="Q67" i="7"/>
  <c r="Q65" i="7"/>
  <c r="S54" i="13" l="1"/>
  <c r="S66" i="13" s="1"/>
  <c r="S69" i="13" s="1"/>
  <c r="S31" i="7" s="1"/>
  <c r="Q53" i="7"/>
  <c r="Q54" i="7" s="1"/>
  <c r="R74" i="13"/>
  <c r="R31" i="7"/>
  <c r="R39" i="7" s="1"/>
  <c r="Q40" i="7"/>
  <c r="R70" i="13"/>
  <c r="R45" i="7" s="1"/>
  <c r="R53" i="7" s="1"/>
  <c r="T43" i="13"/>
  <c r="T55" i="13" s="1"/>
  <c r="U42" i="13"/>
  <c r="T44" i="13"/>
  <c r="T56" i="13" s="1"/>
  <c r="Q68" i="7"/>
  <c r="R67" i="7"/>
  <c r="R65" i="7"/>
  <c r="S74" i="13" l="1"/>
  <c r="S70" i="13"/>
  <c r="S45" i="7" s="1"/>
  <c r="S53" i="7" s="1"/>
  <c r="S71" i="13"/>
  <c r="S59" i="7" s="1"/>
  <c r="R40" i="7"/>
  <c r="R37" i="7"/>
  <c r="R51" i="7"/>
  <c r="R68" i="7"/>
  <c r="T54" i="13"/>
  <c r="T66" i="13" s="1"/>
  <c r="T69" i="13" s="1"/>
  <c r="T31" i="7" s="1"/>
  <c r="R54" i="7"/>
  <c r="U43" i="13"/>
  <c r="U55" i="13" s="1"/>
  <c r="V42" i="13"/>
  <c r="U44" i="13"/>
  <c r="U56" i="13" s="1"/>
  <c r="S51" i="7"/>
  <c r="S67" i="7"/>
  <c r="S65" i="7"/>
  <c r="S39" i="7"/>
  <c r="S37" i="7"/>
  <c r="S40" i="7" l="1"/>
  <c r="T74" i="13"/>
  <c r="T70" i="13"/>
  <c r="T45" i="7" s="1"/>
  <c r="T53" i="7" s="1"/>
  <c r="T71" i="13"/>
  <c r="T59" i="7" s="1"/>
  <c r="T65" i="7" s="1"/>
  <c r="S68" i="7"/>
  <c r="T51" i="7"/>
  <c r="T67" i="7"/>
  <c r="T68" i="7" s="1"/>
  <c r="T37" i="7"/>
  <c r="T39" i="7"/>
  <c r="U54" i="13"/>
  <c r="U66" i="13" s="1"/>
  <c r="U69" i="13" s="1"/>
  <c r="S54" i="7"/>
  <c r="V44" i="13"/>
  <c r="V56" i="13" s="1"/>
  <c r="V43" i="13"/>
  <c r="V55" i="13" s="1"/>
  <c r="W42" i="13"/>
  <c r="T40" i="7" l="1"/>
  <c r="D25" i="7"/>
  <c r="V54" i="13"/>
  <c r="V66" i="13" s="1"/>
  <c r="V69" i="13" s="1"/>
  <c r="W44" i="13"/>
  <c r="W56" i="13" s="1"/>
  <c r="W43" i="13"/>
  <c r="W55" i="13" s="1"/>
  <c r="X42" i="13"/>
  <c r="T54" i="7"/>
  <c r="U31" i="7"/>
  <c r="U74" i="13"/>
  <c r="U71" i="13"/>
  <c r="U59" i="7" s="1"/>
  <c r="U70" i="13"/>
  <c r="U45" i="7" s="1"/>
  <c r="W54" i="13" l="1"/>
  <c r="W66" i="13" s="1"/>
  <c r="W69" i="13" s="1"/>
  <c r="W71" i="13" s="1"/>
  <c r="W59" i="7" s="1"/>
  <c r="U39" i="7"/>
  <c r="U40" i="7" s="1"/>
  <c r="U37" i="7"/>
  <c r="X44" i="13"/>
  <c r="X56" i="13" s="1"/>
  <c r="X43" i="13"/>
  <c r="X55" i="13" s="1"/>
  <c r="Y42" i="13"/>
  <c r="V31" i="7"/>
  <c r="V74" i="13"/>
  <c r="V71" i="13"/>
  <c r="V59" i="7" s="1"/>
  <c r="V70" i="13"/>
  <c r="V45" i="7" s="1"/>
  <c r="W31" i="7"/>
  <c r="W70" i="13"/>
  <c r="W45" i="7" s="1"/>
  <c r="W74" i="13"/>
  <c r="U53" i="7"/>
  <c r="U54" i="7" s="1"/>
  <c r="U51" i="7"/>
  <c r="U67" i="7"/>
  <c r="U68" i="7" s="1"/>
  <c r="U65" i="7"/>
  <c r="X54" i="13" l="1"/>
  <c r="X66" i="13" s="1"/>
  <c r="X69" i="13" s="1"/>
  <c r="X74" i="13" s="1"/>
  <c r="V39" i="7"/>
  <c r="V40" i="7" s="1"/>
  <c r="V37" i="7"/>
  <c r="W67" i="7"/>
  <c r="W65" i="7"/>
  <c r="Z42" i="13"/>
  <c r="Y44" i="13"/>
  <c r="Y56" i="13" s="1"/>
  <c r="Y43" i="13"/>
  <c r="Y55" i="13" s="1"/>
  <c r="W53" i="7"/>
  <c r="W51" i="7"/>
  <c r="W39" i="7"/>
  <c r="W37" i="7"/>
  <c r="V53" i="7"/>
  <c r="V54" i="7" s="1"/>
  <c r="V51" i="7"/>
  <c r="V65" i="7"/>
  <c r="V67" i="7"/>
  <c r="V68" i="7" s="1"/>
  <c r="W68" i="7" s="1"/>
  <c r="Y54" i="13" l="1"/>
  <c r="Y66" i="13" s="1"/>
  <c r="Y69" i="13" s="1"/>
  <c r="Y74" i="13" s="1"/>
  <c r="W54" i="7"/>
  <c r="X70" i="13"/>
  <c r="X45" i="7" s="1"/>
  <c r="X51" i="7" s="1"/>
  <c r="X31" i="7"/>
  <c r="X39" i="7" s="1"/>
  <c r="X71" i="13"/>
  <c r="X59" i="7" s="1"/>
  <c r="X67" i="7" s="1"/>
  <c r="X68" i="7" s="1"/>
  <c r="W40" i="7"/>
  <c r="AA42" i="13"/>
  <c r="Z44" i="13"/>
  <c r="Z56" i="13" s="1"/>
  <c r="Z43" i="13"/>
  <c r="Z55" i="13" s="1"/>
  <c r="Y70" i="13" l="1"/>
  <c r="Y45" i="7" s="1"/>
  <c r="Y53" i="7" s="1"/>
  <c r="Y71" i="13"/>
  <c r="Y59" i="7" s="1"/>
  <c r="Y31" i="7"/>
  <c r="X37" i="7"/>
  <c r="X53" i="7"/>
  <c r="X54" i="7" s="1"/>
  <c r="X40" i="7"/>
  <c r="X65" i="7"/>
  <c r="Z54" i="13"/>
  <c r="Z66" i="13" s="1"/>
  <c r="Z69" i="13" s="1"/>
  <c r="Z71" i="13" s="1"/>
  <c r="Z59" i="7" s="1"/>
  <c r="AB42" i="13"/>
  <c r="AA44" i="13"/>
  <c r="AA56" i="13" s="1"/>
  <c r="AA43" i="13"/>
  <c r="AA55" i="13" s="1"/>
  <c r="Y67" i="7"/>
  <c r="Y68" i="7" s="1"/>
  <c r="Y65" i="7"/>
  <c r="Y39" i="7"/>
  <c r="Y37" i="7"/>
  <c r="Y54" i="7" l="1"/>
  <c r="Y51" i="7"/>
  <c r="Y40" i="7"/>
  <c r="Z70" i="13"/>
  <c r="Z45" i="7" s="1"/>
  <c r="Z53" i="7" s="1"/>
  <c r="Z74" i="13"/>
  <c r="Z31" i="7"/>
  <c r="Z37" i="7" s="1"/>
  <c r="AA54" i="13"/>
  <c r="AA66" i="13" s="1"/>
  <c r="AA69" i="13" s="1"/>
  <c r="AA74" i="13" s="1"/>
  <c r="AB43" i="13"/>
  <c r="AB55" i="13" s="1"/>
  <c r="AC42" i="13"/>
  <c r="AB44" i="13"/>
  <c r="AB56" i="13" s="1"/>
  <c r="Z67" i="7"/>
  <c r="Z68" i="7" s="1"/>
  <c r="Z65" i="7"/>
  <c r="Z54" i="7" l="1"/>
  <c r="Z51" i="7"/>
  <c r="Z39" i="7"/>
  <c r="Z40" i="7" s="1"/>
  <c r="AA70" i="13"/>
  <c r="AA45" i="7" s="1"/>
  <c r="AA51" i="7" s="1"/>
  <c r="AA31" i="7"/>
  <c r="AA39" i="7" s="1"/>
  <c r="AA71" i="13"/>
  <c r="AA59" i="7" s="1"/>
  <c r="AA67" i="7" s="1"/>
  <c r="AA68" i="7" s="1"/>
  <c r="AB54" i="13"/>
  <c r="AB66" i="13" s="1"/>
  <c r="AB69" i="13" s="1"/>
  <c r="AB31" i="7" s="1"/>
  <c r="AC43" i="13"/>
  <c r="AC55" i="13" s="1"/>
  <c r="AD42" i="13"/>
  <c r="AC44" i="13"/>
  <c r="AC56" i="13" s="1"/>
  <c r="AA53" i="7" l="1"/>
  <c r="AA54" i="7" s="1"/>
  <c r="AA40" i="7"/>
  <c r="AA37" i="7"/>
  <c r="AA65" i="7"/>
  <c r="AB70" i="13"/>
  <c r="AB45" i="7" s="1"/>
  <c r="AB51" i="7" s="1"/>
  <c r="AB71" i="13"/>
  <c r="AB59" i="7" s="1"/>
  <c r="AB65" i="7" s="1"/>
  <c r="AB74" i="13"/>
  <c r="AB37" i="7"/>
  <c r="AB39" i="7"/>
  <c r="AB40" i="7" s="1"/>
  <c r="AD44" i="13"/>
  <c r="AD56" i="13" s="1"/>
  <c r="AD43" i="13"/>
  <c r="AD55" i="13" s="1"/>
  <c r="AE42" i="13"/>
  <c r="AC54" i="13"/>
  <c r="AC66" i="13" s="1"/>
  <c r="AC69" i="13" s="1"/>
  <c r="AB67" i="7" l="1"/>
  <c r="AB68" i="7" s="1"/>
  <c r="AB53" i="7"/>
  <c r="AB54" i="7" s="1"/>
  <c r="AE44" i="13"/>
  <c r="AE56" i="13" s="1"/>
  <c r="AE43" i="13"/>
  <c r="AE55" i="13" s="1"/>
  <c r="AF42" i="13"/>
  <c r="AC31" i="7"/>
  <c r="AC74" i="13"/>
  <c r="AC70" i="13"/>
  <c r="AC45" i="7" s="1"/>
  <c r="AC71" i="13"/>
  <c r="AC59" i="7" s="1"/>
  <c r="AD54" i="13"/>
  <c r="AD66" i="13" s="1"/>
  <c r="AD69" i="13" s="1"/>
  <c r="AE54" i="13" l="1"/>
  <c r="AE66" i="13" s="1"/>
  <c r="AE69" i="13" s="1"/>
  <c r="AC39" i="7"/>
  <c r="AC40" i="7" s="1"/>
  <c r="AC37" i="7"/>
  <c r="AE31" i="7"/>
  <c r="AE74" i="13"/>
  <c r="AE71" i="13"/>
  <c r="AE59" i="7" s="1"/>
  <c r="AE70" i="13"/>
  <c r="AE45" i="7" s="1"/>
  <c r="AD31" i="7"/>
  <c r="AD74" i="13"/>
  <c r="AD71" i="13"/>
  <c r="AD59" i="7" s="1"/>
  <c r="AD70" i="13"/>
  <c r="AD45" i="7" s="1"/>
  <c r="AF44" i="13"/>
  <c r="AF56" i="13" s="1"/>
  <c r="AF43" i="13"/>
  <c r="AF55" i="13" s="1"/>
  <c r="AG42" i="13"/>
  <c r="AC67" i="7"/>
  <c r="AC68" i="7" s="1"/>
  <c r="AC65" i="7"/>
  <c r="AC53" i="7"/>
  <c r="AC54" i="7" s="1"/>
  <c r="AC51" i="7"/>
  <c r="AF54" i="13" l="1"/>
  <c r="AF66" i="13" s="1"/>
  <c r="AF69" i="13" s="1"/>
  <c r="AF71" i="13" s="1"/>
  <c r="AE53" i="7"/>
  <c r="AE51" i="7"/>
  <c r="AH42" i="13"/>
  <c r="AG44" i="13"/>
  <c r="AG56" i="13" s="1"/>
  <c r="AG43" i="13"/>
  <c r="AG55" i="13" s="1"/>
  <c r="AD39" i="7"/>
  <c r="AD40" i="7" s="1"/>
  <c r="AD37" i="7"/>
  <c r="AE67" i="7"/>
  <c r="AE65" i="7"/>
  <c r="AE39" i="7"/>
  <c r="AE37" i="7"/>
  <c r="AD53" i="7"/>
  <c r="AD54" i="7" s="1"/>
  <c r="AD51" i="7"/>
  <c r="AD65" i="7"/>
  <c r="AD67" i="7"/>
  <c r="AD68" i="7" s="1"/>
  <c r="D26" i="7" l="1"/>
  <c r="AE68" i="7"/>
  <c r="AG54" i="13"/>
  <c r="AG66" i="13" s="1"/>
  <c r="AG69" i="13" s="1"/>
  <c r="AG71" i="13" s="1"/>
  <c r="AF74" i="13"/>
  <c r="AF70" i="13"/>
  <c r="AE40" i="7"/>
  <c r="AE54" i="7"/>
  <c r="AI42" i="13"/>
  <c r="AH44" i="13"/>
  <c r="AH56" i="13" s="1"/>
  <c r="AH43" i="13"/>
  <c r="AH55" i="13" s="1"/>
  <c r="AG74" i="13" l="1"/>
  <c r="AG70" i="13"/>
  <c r="AH54" i="13"/>
  <c r="AH66" i="13" s="1"/>
  <c r="AH69" i="13" s="1"/>
  <c r="AH70" i="13" s="1"/>
  <c r="AJ42" i="13"/>
  <c r="AI44" i="13"/>
  <c r="AI56" i="13" s="1"/>
  <c r="AI43" i="13"/>
  <c r="AI55" i="13" s="1"/>
  <c r="AH74" i="13" l="1"/>
  <c r="AH71" i="13"/>
  <c r="AI54" i="13"/>
  <c r="AI66" i="13" s="1"/>
  <c r="AI69" i="13" s="1"/>
  <c r="AI71" i="13" s="1"/>
  <c r="AJ43" i="13"/>
  <c r="AJ55" i="13" s="1"/>
  <c r="AK42" i="13"/>
  <c r="AJ44" i="13"/>
  <c r="AJ56" i="13" s="1"/>
  <c r="AI70" i="13" l="1"/>
  <c r="AI74" i="13"/>
  <c r="AK43" i="13"/>
  <c r="AK55" i="13" s="1"/>
  <c r="AL42" i="13"/>
  <c r="AK44" i="13"/>
  <c r="AK56" i="13" s="1"/>
  <c r="B151" i="5"/>
  <c r="B19" i="5"/>
  <c r="AJ54" i="13"/>
  <c r="AJ66" i="13" s="1"/>
  <c r="AJ69" i="13" s="1"/>
  <c r="AK54" i="13" l="1"/>
  <c r="AK66" i="13" s="1"/>
  <c r="AK69" i="13" s="1"/>
  <c r="AL44" i="13"/>
  <c r="AL56" i="13" s="1"/>
  <c r="AL43" i="13"/>
  <c r="AL55" i="13" s="1"/>
  <c r="AM42" i="13"/>
  <c r="AJ71" i="13"/>
  <c r="AJ74" i="13"/>
  <c r="AJ70" i="13"/>
  <c r="AL54" i="13" l="1"/>
  <c r="AL66" i="13" s="1"/>
  <c r="AL69" i="13" s="1"/>
  <c r="AL70" i="13" s="1"/>
  <c r="AM44" i="13"/>
  <c r="AM56" i="13" s="1"/>
  <c r="AM43" i="13"/>
  <c r="AM55" i="13" s="1"/>
  <c r="AN42" i="13"/>
  <c r="AK74" i="13"/>
  <c r="AK71" i="13"/>
  <c r="AK70" i="13"/>
  <c r="AL71" i="13" l="1"/>
  <c r="AL74" i="13"/>
  <c r="AM54" i="13"/>
  <c r="AM66" i="13" s="1"/>
  <c r="AM69" i="13" s="1"/>
  <c r="AM74" i="13" s="1"/>
  <c r="AN44" i="13"/>
  <c r="AN56" i="13" s="1"/>
  <c r="AN43" i="13"/>
  <c r="AN55" i="13" s="1"/>
  <c r="AO42" i="13"/>
  <c r="AM70" i="13" l="1"/>
  <c r="AM71" i="13"/>
  <c r="AN54" i="13"/>
  <c r="AN66" i="13" s="1"/>
  <c r="AN69" i="13" s="1"/>
  <c r="AN74" i="13" s="1"/>
  <c r="AO44" i="13"/>
  <c r="AO56" i="13" s="1"/>
  <c r="AO43" i="13"/>
  <c r="AO55" i="13" s="1"/>
  <c r="AN71" i="13" l="1"/>
  <c r="AN70" i="13"/>
  <c r="AO54" i="13"/>
  <c r="AO66" i="13" s="1"/>
  <c r="AO69" i="13" s="1"/>
  <c r="AO70" i="13" s="1"/>
  <c r="G8" i="7" s="1"/>
  <c r="AO71" i="13" l="1"/>
  <c r="AO74" i="13"/>
  <c r="G14" i="7"/>
  <c r="G19" i="7" s="1"/>
  <c r="G15" i="7"/>
  <c r="C162" i="5" s="1"/>
  <c r="C67" i="7"/>
  <c r="C59" i="7"/>
  <c r="F8" i="7"/>
  <c r="C53" i="7"/>
  <c r="E8" i="7"/>
  <c r="C45" i="7"/>
  <c r="C39" i="7"/>
  <c r="D8" i="7"/>
  <c r="C31" i="7"/>
  <c r="G24" i="7" l="1"/>
  <c r="E162" i="5" s="1"/>
  <c r="C51" i="7"/>
  <c r="E19" i="7"/>
  <c r="D138" i="5"/>
  <c r="D142" i="5" s="1"/>
  <c r="F14" i="7"/>
  <c r="F15" i="7"/>
  <c r="F22" i="7" s="1"/>
  <c r="D15" i="7"/>
  <c r="D22" i="7" s="1"/>
  <c r="B138" i="5"/>
  <c r="B142" i="5" s="1"/>
  <c r="D14" i="7"/>
  <c r="E15" i="7"/>
  <c r="D156" i="5" s="1"/>
  <c r="E14" i="7"/>
  <c r="C138" i="5"/>
  <c r="C37" i="7"/>
  <c r="D19" i="7"/>
  <c r="C65" i="7"/>
  <c r="F19" i="7"/>
  <c r="D146" i="5" l="1"/>
  <c r="F24" i="7"/>
  <c r="D14" i="5"/>
  <c r="B146" i="5"/>
  <c r="D24" i="7"/>
  <c r="B14" i="5"/>
  <c r="D17" i="5"/>
  <c r="F23" i="7"/>
  <c r="D149" i="5"/>
  <c r="D157" i="5"/>
  <c r="E22" i="7"/>
  <c r="D158" i="5"/>
  <c r="D159" i="5"/>
  <c r="G22" i="7"/>
  <c r="G23" i="7" s="1"/>
  <c r="D160" i="5"/>
  <c r="D162" i="5"/>
  <c r="B149" i="5"/>
  <c r="B17" i="5"/>
  <c r="D23" i="7"/>
  <c r="C142" i="5"/>
  <c r="C146" i="5"/>
  <c r="E24" i="7"/>
  <c r="C14" i="5"/>
  <c r="E139" i="5" l="1"/>
  <c r="E138" i="5"/>
  <c r="E137" i="5"/>
  <c r="E140" i="5"/>
  <c r="E141" i="5"/>
  <c r="C18" i="5"/>
  <c r="C150" i="5"/>
  <c r="B18" i="5"/>
  <c r="B150" i="5"/>
  <c r="D150" i="5"/>
  <c r="D18" i="5"/>
  <c r="C149" i="5"/>
  <c r="E23" i="7"/>
  <c r="C17" i="5"/>
</calcChain>
</file>

<file path=xl/comments1.xml><?xml version="1.0" encoding="utf-8"?>
<comments xmlns="http://schemas.openxmlformats.org/spreadsheetml/2006/main">
  <authors>
    <author>Tomaszewska, Ewa</author>
  </authors>
  <commentList>
    <comment ref="C9" authorId="0" shapeId="0">
      <text>
        <r>
          <rPr>
            <b/>
            <sz val="9"/>
            <color indexed="81"/>
            <rFont val="Tahoma"/>
            <family val="2"/>
          </rPr>
          <t>Tomaszewska, Ewa:</t>
        </r>
        <r>
          <rPr>
            <sz val="9"/>
            <color indexed="81"/>
            <rFont val="Tahoma"/>
            <family val="2"/>
          </rPr>
          <t xml:space="preserve">
Assumed similar to current age of the infrastructure</t>
        </r>
      </text>
    </comment>
  </commentList>
</comments>
</file>

<file path=xl/comments2.xml><?xml version="1.0" encoding="utf-8"?>
<comments xmlns="http://schemas.openxmlformats.org/spreadsheetml/2006/main">
  <authors>
    <author>Tomaszewska, Ewa</author>
  </authors>
  <commentList>
    <comment ref="C5" authorId="0" shapeId="0">
      <text>
        <r>
          <rPr>
            <b/>
            <sz val="9"/>
            <color indexed="81"/>
            <rFont val="Tahoma"/>
            <family val="2"/>
          </rPr>
          <t>Tomaszewska, Ewa:</t>
        </r>
        <r>
          <rPr>
            <sz val="9"/>
            <color indexed="81"/>
            <rFont val="Tahoma"/>
            <family val="2"/>
          </rPr>
          <t xml:space="preserve">
BUILD volumes on this segment are about 5% lower than No BUILD because of ramps. BUILD volumes are used in the BCA for mainline travel time savings.</t>
        </r>
      </text>
    </comment>
  </commentList>
</comments>
</file>

<file path=xl/sharedStrings.xml><?xml version="1.0" encoding="utf-8"?>
<sst xmlns="http://schemas.openxmlformats.org/spreadsheetml/2006/main" count="1490" uniqueCount="608">
  <si>
    <t>Data Item</t>
  </si>
  <si>
    <t>Unit</t>
  </si>
  <si>
    <t>Number</t>
  </si>
  <si>
    <t>No-Build</t>
  </si>
  <si>
    <t>Build</t>
  </si>
  <si>
    <t>%</t>
  </si>
  <si>
    <t>ADT</t>
  </si>
  <si>
    <t>Undiscounted</t>
  </si>
  <si>
    <t>Total Benefits</t>
  </si>
  <si>
    <t>Total Costs</t>
  </si>
  <si>
    <t>Net Present Value</t>
  </si>
  <si>
    <t>Travel Time Savings</t>
  </si>
  <si>
    <t xml:space="preserve">Reduction in Accident Costs </t>
  </si>
  <si>
    <t>Total</t>
  </si>
  <si>
    <t>Source</t>
  </si>
  <si>
    <t>Project Evaluation Metric</t>
  </si>
  <si>
    <t>Total Discounted Benefits</t>
  </si>
  <si>
    <t>Total Discounted Costs</t>
  </si>
  <si>
    <t>Benefit / Cost Ratio</t>
  </si>
  <si>
    <t>Internal Rate of Return (%)</t>
  </si>
  <si>
    <t>Parameters</t>
  </si>
  <si>
    <t>Change in Parameter Value</t>
  </si>
  <si>
    <t>New NPV</t>
  </si>
  <si>
    <t>% Change in NPV</t>
  </si>
  <si>
    <t>New B/C Ratio</t>
  </si>
  <si>
    <t>Value of Travel Time</t>
  </si>
  <si>
    <t>25% Reduction</t>
  </si>
  <si>
    <t>25% Increase</t>
  </si>
  <si>
    <t>Table ES-1</t>
  </si>
  <si>
    <t>Table 1</t>
  </si>
  <si>
    <t>Value</t>
  </si>
  <si>
    <t>Table 7</t>
  </si>
  <si>
    <t>Table 8</t>
  </si>
  <si>
    <t>Benefit Categories</t>
  </si>
  <si>
    <t>Over Project Lifecycle</t>
  </si>
  <si>
    <t>Present Value at 7% Discount Rate</t>
  </si>
  <si>
    <t>Table 11</t>
  </si>
  <si>
    <t>Disclaimer</t>
  </si>
  <si>
    <t/>
  </si>
  <si>
    <t>By retaining and using this Model, the Recipients represent to HDR that they are capable of making their own independent assessment as to the validity of the assumptions, data and results contained in this Model.</t>
  </si>
  <si>
    <t>Oklahoma Department of Transportation</t>
  </si>
  <si>
    <t>Year</t>
  </si>
  <si>
    <t>The Model may be a development version and may not be complete or, in the event that development of the Model has concluded, material events may have occurred since completion which are not reflected in the Model. In consultation with the client, HDR used what was deemed the best available data at the time of analysis and makes no warranties as to the accuracy of this information or completeness of the Model.</t>
  </si>
  <si>
    <t>Key Quantified Impacts</t>
  </si>
  <si>
    <t>Cumulative Net Impacts</t>
  </si>
  <si>
    <t>Net Impacts</t>
  </si>
  <si>
    <t>O&amp;M Costs</t>
  </si>
  <si>
    <t>Impact Category</t>
  </si>
  <si>
    <t>Capital Costs</t>
  </si>
  <si>
    <t>IRR</t>
  </si>
  <si>
    <t>Payback Period</t>
  </si>
  <si>
    <t>BCR</t>
  </si>
  <si>
    <t>ROI</t>
  </si>
  <si>
    <t>NPV</t>
  </si>
  <si>
    <t>Financial Metrics</t>
  </si>
  <si>
    <t>C1</t>
  </si>
  <si>
    <t>Impact #</t>
  </si>
  <si>
    <t>Benefit Category</t>
  </si>
  <si>
    <t>Cost-Benefit Analysis</t>
  </si>
  <si>
    <t xml:space="preserve">Total O&amp;M Costs </t>
  </si>
  <si>
    <t>Discount Factor</t>
  </si>
  <si>
    <t>Benefits Index</t>
  </si>
  <si>
    <t>Data Input</t>
  </si>
  <si>
    <t>Case</t>
  </si>
  <si>
    <t>Base Year</t>
  </si>
  <si>
    <t>General Data from Client</t>
  </si>
  <si>
    <t>Traffic Inputs</t>
  </si>
  <si>
    <t>Traffic Rate of Growth</t>
  </si>
  <si>
    <t>Share of Traffic - Trucks</t>
  </si>
  <si>
    <t xml:space="preserve">Value </t>
  </si>
  <si>
    <t>Build (Alternative Case)</t>
  </si>
  <si>
    <t xml:space="preserve">No Build Case Alternative </t>
  </si>
  <si>
    <t>Undiscounted Impacts</t>
  </si>
  <si>
    <t>Discounted Impacts, at 7%</t>
  </si>
  <si>
    <t>Discounted Impacts, at 3%</t>
  </si>
  <si>
    <t>Total Travel Time Saving</t>
  </si>
  <si>
    <t>Total Estimated Cost</t>
  </si>
  <si>
    <t>No Build Less Build</t>
  </si>
  <si>
    <t>$/year</t>
  </si>
  <si>
    <t>Total O&amp;M Costs</t>
  </si>
  <si>
    <t>Present Value at 3% Discount Rate</t>
  </si>
  <si>
    <t>Table ES-2</t>
  </si>
  <si>
    <t>Over the Project Lifecycle</t>
  </si>
  <si>
    <t>Construction &amp; Development Costs</t>
  </si>
  <si>
    <t>Operations and Maintenance</t>
  </si>
  <si>
    <t>In Constant Dollars</t>
  </si>
  <si>
    <t>Discounted at 7 Percent</t>
  </si>
  <si>
    <t>Discounted at 3 Percent</t>
  </si>
  <si>
    <t>Table 12</t>
  </si>
  <si>
    <t>TOTAL</t>
  </si>
  <si>
    <t>BUILD</t>
  </si>
  <si>
    <t xml:space="preserve">Construction Cost </t>
  </si>
  <si>
    <t>Table 2</t>
  </si>
  <si>
    <t>Share of Traffic - Auto</t>
  </si>
  <si>
    <t xml:space="preserve">Capital Cost Estimate </t>
  </si>
  <si>
    <t>Distribution</t>
  </si>
  <si>
    <t>I-40 Douglas Boulevard Interchange Reconstruction and Related Widening</t>
  </si>
  <si>
    <t xml:space="preserve">   Crash Modification Factors</t>
  </si>
  <si>
    <t>$/PDO</t>
  </si>
  <si>
    <t>$/fatality</t>
  </si>
  <si>
    <t xml:space="preserve">   Cost of a Fatality</t>
  </si>
  <si>
    <t>Safety Inputs</t>
  </si>
  <si>
    <t>Vehicle Operating Costs Inputs</t>
  </si>
  <si>
    <t xml:space="preserve">   Percentage of Truck Traffic</t>
  </si>
  <si>
    <t>Reasoned Assumption</t>
  </si>
  <si>
    <t>per/veh</t>
  </si>
  <si>
    <t xml:space="preserve">      Auto</t>
  </si>
  <si>
    <t xml:space="preserve">   Average Vehicle Occupancy</t>
  </si>
  <si>
    <t>$/hr/per</t>
  </si>
  <si>
    <t>$/hr/veh</t>
  </si>
  <si>
    <t xml:space="preserve">      Truck</t>
  </si>
  <si>
    <t xml:space="preserve">   Value of Time</t>
  </si>
  <si>
    <t>Travel Time Inputs</t>
  </si>
  <si>
    <t>Approximation from project scope</t>
  </si>
  <si>
    <t>year</t>
  </si>
  <si>
    <t>Project Inputs</t>
  </si>
  <si>
    <t>Known</t>
  </si>
  <si>
    <t>days</t>
  </si>
  <si>
    <t xml:space="preserve">   Days/Year</t>
  </si>
  <si>
    <t>Reasoned assumption</t>
  </si>
  <si>
    <t xml:space="preserve">   End year of Analysis</t>
  </si>
  <si>
    <t>years</t>
  </si>
  <si>
    <t xml:space="preserve">   Length of Analysis</t>
  </si>
  <si>
    <t xml:space="preserve">   Real Discount Rate</t>
  </si>
  <si>
    <t>General Economic Inputs</t>
  </si>
  <si>
    <t>Source / Assumptions</t>
  </si>
  <si>
    <t>Variable</t>
  </si>
  <si>
    <t>Model Inputs</t>
  </si>
  <si>
    <t>Maintenance</t>
  </si>
  <si>
    <t>Bridge Damage repair</t>
  </si>
  <si>
    <t>Bridge Rehab Costs</t>
  </si>
  <si>
    <t>Maint &amp; Rehab Costs for I-40</t>
  </si>
  <si>
    <t>PROJECT COSTS</t>
  </si>
  <si>
    <t>From previous Model</t>
  </si>
  <si>
    <t xml:space="preserve">   Real Discount Rate - Sensitivity</t>
  </si>
  <si>
    <t>Known - Weekdays per year</t>
  </si>
  <si>
    <t>CMF Clearinghouse, CMF ID 8336. CMFs determined to mirror installation feature.</t>
  </si>
  <si>
    <t>CMF Clearinghouse, CMF ID 475. CMFs determined to mirror installation feature.</t>
  </si>
  <si>
    <t xml:space="preserve">     Adding one 12-foot lane - All crash types</t>
  </si>
  <si>
    <t>CMF Clearinghouse, CMF ID 474. CMFs determined to mirror installation feature.</t>
  </si>
  <si>
    <t xml:space="preserve">     Provide a straight ramp instead of a cloverleaf ramp - All crash type</t>
  </si>
  <si>
    <t>CMF Clearinghouse, CMF ID 478. CMFs determined to mirror installation feature.</t>
  </si>
  <si>
    <t>Based on crash data at project location, I-40 between Douglas Boulevard and I-240, 2009 - 2018</t>
  </si>
  <si>
    <t xml:space="preserve">      Fatal Accident </t>
  </si>
  <si>
    <t xml:space="preserve">      Non-Incapacitating Injury</t>
  </si>
  <si>
    <t xml:space="preserve">      Possible Injury</t>
  </si>
  <si>
    <t>Average number of accident/year</t>
  </si>
  <si>
    <t>Based on crash data at project location, I-40 at Anderson Interchange, 2009 - 2018</t>
  </si>
  <si>
    <t>Based on crash data at project location, I-40 at Anderson Interchange, 2009 - 2019</t>
  </si>
  <si>
    <t>Based on crash data at project location, I-40 at Anderson Interchange, 2009 - 2020</t>
  </si>
  <si>
    <t>Based on crash data at project location, I-40 at Anderson Interchange, 2009 - 2021</t>
  </si>
  <si>
    <t>Based on crash data at project location, I-40 at Anderson Interchange, 2009 - 2022</t>
  </si>
  <si>
    <t>Based on crash data at project location, I-40 at Douglas Interchange, 2009 - 2018</t>
  </si>
  <si>
    <t>Based on crash data at project location, I-40 at Douglas Interchange, 2009 - 2019</t>
  </si>
  <si>
    <t>Based on crash data at project location, I-40 at Douglas Interchange, 2009 - 2020</t>
  </si>
  <si>
    <t>Based on crash data at project location, I-40 at Douglas Interchange, 2009 - 2021</t>
  </si>
  <si>
    <t>Based on crash data at project location, I-40 at Douglas Interchange, 2009 - 2022</t>
  </si>
  <si>
    <t>Current Traffic - With Turnpike</t>
  </si>
  <si>
    <t>Future Traffic - With Turnpike</t>
  </si>
  <si>
    <t>Calculated from above</t>
  </si>
  <si>
    <t xml:space="preserve">Douglas to Anderson </t>
  </si>
  <si>
    <t>Anderson to I-240</t>
  </si>
  <si>
    <t xml:space="preserve">Future Traffic - With Turnpike </t>
  </si>
  <si>
    <t>Average Number of Accident on Anderson Interchange</t>
  </si>
  <si>
    <t>Average Number of Accident on Douglas Interchange</t>
  </si>
  <si>
    <t>Annual Cost of Collision on Anderson Interchange</t>
  </si>
  <si>
    <t>Annual Cost of Collision on Douglas Interchange</t>
  </si>
  <si>
    <t>Total Cost</t>
  </si>
  <si>
    <t>CMF (All crashes)</t>
  </si>
  <si>
    <t xml:space="preserve">   Cost of Property Damage Only (PDO)</t>
  </si>
  <si>
    <t xml:space="preserve">      PDO</t>
  </si>
  <si>
    <t>$/possible injury</t>
  </si>
  <si>
    <t xml:space="preserve">   First Year of Benefits from Widening I-40</t>
  </si>
  <si>
    <t>Traffic Projection</t>
  </si>
  <si>
    <t>Estimated Hourly Volumes</t>
  </si>
  <si>
    <t>TIME</t>
  </si>
  <si>
    <t>Between Douglas and Anderson</t>
  </si>
  <si>
    <t>Between Anderson and I-240</t>
  </si>
  <si>
    <t>EB</t>
  </si>
  <si>
    <t>WB</t>
  </si>
  <si>
    <t>00:00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</si>
  <si>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</si>
  <si>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</si>
  <si>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</si>
  <si>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</si>
  <si>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</si>
  <si>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</si>
  <si>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</si>
  <si>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</si>
  <si>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</si>
  <si>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</si>
  <si>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</si>
  <si>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</si>
  <si>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</si>
  <si>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</si>
  <si>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</si>
  <si>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</si>
  <si>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</si>
  <si>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</si>
  <si>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</si>
  <si>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</si>
  <si>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</si>
  <si>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</si>
  <si>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</si>
  <si>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 xml:space="preserve">     Douglas to Anderson</t>
  </si>
  <si>
    <t>For each hour/segment, the highway Capacity Manual program was used to determine average speeds with 4 lanes and also with six lanes</t>
  </si>
  <si>
    <t>Douglas &lt;--&gt; Anderson</t>
  </si>
  <si>
    <t>segment length</t>
  </si>
  <si>
    <t>miles, or</t>
  </si>
  <si>
    <t xml:space="preserve">and </t>
  </si>
  <si>
    <t>Anderson &lt;--&gt; 240</t>
  </si>
  <si>
    <t>Source: Garver (for ODOT) 2020</t>
  </si>
  <si>
    <t xml:space="preserve">Provided by Garver </t>
  </si>
  <si>
    <t>mph</t>
  </si>
  <si>
    <t>3 Lane</t>
  </si>
  <si>
    <t>delta</t>
  </si>
  <si>
    <t>feet/second</t>
  </si>
  <si>
    <t>Only hours where volumes exceeded 2300 were used, as lower volumes were free-flow even with 4 lanes, and thus there is no benefit of having 6 lanes at these hours.</t>
  </si>
  <si>
    <t>(Vehicle-hours)</t>
  </si>
  <si>
    <t>DIRECTION</t>
  </si>
  <si>
    <t>hourly</t>
  </si>
  <si>
    <t>Average Annual Travel Time - Douglas to Anderson</t>
  </si>
  <si>
    <t>hours/year</t>
  </si>
  <si>
    <t>Average Annual Travel Costs - Auto</t>
  </si>
  <si>
    <t>Average Annual Travel Costs - Trucks</t>
  </si>
  <si>
    <t>2 Lane</t>
  </si>
  <si>
    <t xml:space="preserve">Annual Travel Time </t>
  </si>
  <si>
    <t>No Build - 2 Lanes</t>
  </si>
  <si>
    <t>Build - 3 Lanes</t>
  </si>
  <si>
    <t>CAGR</t>
  </si>
  <si>
    <t>Average Annual Travel Time - Auto</t>
  </si>
  <si>
    <t>Average Annual Travel Costs - Douglas to Anderson</t>
  </si>
  <si>
    <t>Average Annual Travel Time - Anderson to I240</t>
  </si>
  <si>
    <t>Average Annual Travel Costs - Anderson to I240</t>
  </si>
  <si>
    <t>Total Travel Time</t>
  </si>
  <si>
    <t>All values are in 2018$ millions</t>
  </si>
  <si>
    <t>Results - Undiscounted 2018$</t>
  </si>
  <si>
    <t>Results - 7% Discount Rate, in 2018$</t>
  </si>
  <si>
    <t>Results - 3% Discount Rate, in 2018$</t>
  </si>
  <si>
    <t>Residual Value</t>
  </si>
  <si>
    <t>Expected Lifespan of Asset</t>
  </si>
  <si>
    <t>Last purchase year</t>
  </si>
  <si>
    <t>Analysis end year</t>
  </si>
  <si>
    <t>Index</t>
  </si>
  <si>
    <t>Office of Management and Budget- Table 10.1 Gross Domestic Product and Deflators used in the historical Tables: 1940-2025.</t>
  </si>
  <si>
    <t xml:space="preserve">All figures in 2020$ </t>
  </si>
  <si>
    <t>Total Residual Value</t>
  </si>
  <si>
    <t>Reconstruction of Douglas Interchange</t>
  </si>
  <si>
    <t xml:space="preserve">I-40 Mainline WB Lanes Bridge over Anderson </t>
  </si>
  <si>
    <t xml:space="preserve">I-40 Mainline EB Lanes Bridge over Anderson </t>
  </si>
  <si>
    <t>Capital Cost</t>
  </si>
  <si>
    <t>2018$</t>
  </si>
  <si>
    <t>2018$/year</t>
  </si>
  <si>
    <t xml:space="preserve">Depreciation Rate </t>
  </si>
  <si>
    <t>Time between end of construction and end of analysis</t>
  </si>
  <si>
    <t xml:space="preserve">Residual value </t>
  </si>
  <si>
    <t>Travel Time Saving - Douglas Interchange</t>
  </si>
  <si>
    <t xml:space="preserve">Travel Time Saving </t>
  </si>
  <si>
    <t xml:space="preserve">Douglas Boulevard Interchange </t>
  </si>
  <si>
    <t>Current Traffic</t>
  </si>
  <si>
    <t xml:space="preserve">Future Traffic </t>
  </si>
  <si>
    <t>AADT</t>
  </si>
  <si>
    <t>Number of seconds in hour</t>
  </si>
  <si>
    <t>seconds</t>
  </si>
  <si>
    <t>Average Annual Travel Time - Truck</t>
  </si>
  <si>
    <t>Average Annual Travel Costs</t>
  </si>
  <si>
    <t>$/non-incapacitating Injury</t>
  </si>
  <si>
    <t xml:space="preserve">     Extend deceleration lane by approximately 100 ft. - All crash type</t>
  </si>
  <si>
    <t xml:space="preserve">     Extend acceleration lane by approximately 98ft - All crash type</t>
  </si>
  <si>
    <t>Animalization factor</t>
  </si>
  <si>
    <t>ft.</t>
  </si>
  <si>
    <t xml:space="preserve"> </t>
  </si>
  <si>
    <t>Agency Cost Saving</t>
  </si>
  <si>
    <t>ADT Growth Rate</t>
  </si>
  <si>
    <t>date</t>
  </si>
  <si>
    <t>Average Annual Travel Time - West of Industrial</t>
  </si>
  <si>
    <t xml:space="preserve">West of Industrial </t>
  </si>
  <si>
    <t xml:space="preserve">miles </t>
  </si>
  <si>
    <t xml:space="preserve">West Industrial </t>
  </si>
  <si>
    <t>Volume</t>
  </si>
  <si>
    <t>Time</t>
  </si>
  <si>
    <t xml:space="preserve">Direction </t>
  </si>
  <si>
    <t>3 Lane - Build</t>
  </si>
  <si>
    <t>2 Lane - No Build</t>
  </si>
  <si>
    <t>No Build 2015 EB AM</t>
  </si>
  <si>
    <t>Build 2015 EB AM</t>
  </si>
  <si>
    <t>No Build 2015 EB PM</t>
  </si>
  <si>
    <t>Build 2015 EB PM</t>
  </si>
  <si>
    <t>No Build 2045 EB AM</t>
  </si>
  <si>
    <t>Build 2045 EB AM</t>
  </si>
  <si>
    <t>No Build 2045 EB PM</t>
  </si>
  <si>
    <t>Build 2045 EB PM</t>
  </si>
  <si>
    <t>No Build 2015 WB AM</t>
  </si>
  <si>
    <t>Build 2015 WB AM</t>
  </si>
  <si>
    <t>No Build 2015 WB PM</t>
  </si>
  <si>
    <t>Build 2015 WB PM</t>
  </si>
  <si>
    <t>No Build 2045 WB AM</t>
  </si>
  <si>
    <t>Build 2045 WB AM</t>
  </si>
  <si>
    <t>No Build 2045 WB PM</t>
  </si>
  <si>
    <t>Build 2045 WB PM</t>
  </si>
  <si>
    <t>Average Travel Speed (mi/h)</t>
  </si>
  <si>
    <t>Average Travel Time (min)</t>
  </si>
  <si>
    <t>2 Lane  - No Build</t>
  </si>
  <si>
    <t>Average Annual Travel Costs - West of Industrial</t>
  </si>
  <si>
    <t>Affected Segment Lengths</t>
  </si>
  <si>
    <t xml:space="preserve">     West of Industrial</t>
  </si>
  <si>
    <t>Daily</t>
  </si>
  <si>
    <t>Annual</t>
  </si>
  <si>
    <t>Douglas interchange</t>
  </si>
  <si>
    <t>No Build 2015 AM</t>
  </si>
  <si>
    <t>Build 2015 AM</t>
  </si>
  <si>
    <t>No Build 2015 PM</t>
  </si>
  <si>
    <t>Build 2015 PM</t>
  </si>
  <si>
    <t>No Build 2045 AM</t>
  </si>
  <si>
    <t>Build 2045 AM</t>
  </si>
  <si>
    <t>No Build 2045 PM</t>
  </si>
  <si>
    <t>Build 2045 PM</t>
  </si>
  <si>
    <t>Total Delay (hr)</t>
  </si>
  <si>
    <t>Delay/Veh (s)</t>
  </si>
  <si>
    <t>Input Volume</t>
  </si>
  <si>
    <t>AM</t>
  </si>
  <si>
    <t>PM</t>
  </si>
  <si>
    <t>Annual Average Delay</t>
  </si>
  <si>
    <t>hours</t>
  </si>
  <si>
    <t>Annual Average Delay - Auto</t>
  </si>
  <si>
    <t>Annual Average Delay Traffic - Truck</t>
  </si>
  <si>
    <t>Average number of victims per accident</t>
  </si>
  <si>
    <t>Average number of victims/accident</t>
  </si>
  <si>
    <t>Based on crash data at project location, 2009 - 2018</t>
  </si>
  <si>
    <t>Based on crash data at project location, 2009 - 2019</t>
  </si>
  <si>
    <t>Based on crash data at project location, 2009 - 2020</t>
  </si>
  <si>
    <t>Assumed the same as non-incapacitating injury</t>
  </si>
  <si>
    <t>California Department of Transportation, TASAS Unit, 2010 to 2013 average</t>
  </si>
  <si>
    <t>Travel Time Saving - Interchanges</t>
  </si>
  <si>
    <t>Travel Time Saving - Mainline</t>
  </si>
  <si>
    <t>Average Number of Accident on Mainline</t>
  </si>
  <si>
    <t>Annual Cost of Collision on Mainline</t>
  </si>
  <si>
    <t>Highway Capacity Manual (HCM) Software Results -interchange</t>
  </si>
  <si>
    <t xml:space="preserve">Travel Time Savings - Intersection </t>
  </si>
  <si>
    <t>Bridge Rehab and Repair</t>
  </si>
  <si>
    <t>$/serious Injury</t>
  </si>
  <si>
    <t xml:space="preserve">   Cost of serious injury (MAIS 3)</t>
  </si>
  <si>
    <t xml:space="preserve">   Cost of non-incapacitating injury (MAIS 2)</t>
  </si>
  <si>
    <t xml:space="preserve">   Possible Injury (MAIS 1)</t>
  </si>
  <si>
    <t xml:space="preserve">     Serious Injury</t>
  </si>
  <si>
    <t xml:space="preserve">     Non-Incapacitating Injury</t>
  </si>
  <si>
    <t xml:space="preserve">     Possible Injury</t>
  </si>
  <si>
    <t xml:space="preserve">     Property Damage Only (PDO)</t>
  </si>
  <si>
    <t xml:space="preserve">     Fatal Accident </t>
  </si>
  <si>
    <t>Total Accident Costs Saving</t>
  </si>
  <si>
    <t>Table 10.1 - GROSS DOMESTIC PRODUCT AND DEFLATORS USED IN THE HISTORICAL TABLES:  1940 - 2025</t>
  </si>
  <si>
    <t>(Fiscal Year 2012 = 1.000)</t>
  </si>
  <si>
    <t>Fiscal Year</t>
  </si>
  <si>
    <t>GDP (in
billions of
dollars)</t>
  </si>
  <si>
    <t>GDP
(Chained)
Price Index</t>
  </si>
  <si>
    <t>Composite Outlay Deflators</t>
  </si>
  <si>
    <t>Total
Defense</t>
  </si>
  <si>
    <t>Total
Nondefense</t>
  </si>
  <si>
    <t>Payment for Individuals</t>
  </si>
  <si>
    <t>Other
Grants</t>
  </si>
  <si>
    <t>Net Interest</t>
  </si>
  <si>
    <t>Undis-
tributed
Offsetting
Receipts</t>
  </si>
  <si>
    <t>All Other</t>
  </si>
  <si>
    <t>Addendum: Direct Capital</t>
  </si>
  <si>
    <t>Direct</t>
  </si>
  <si>
    <t>Grants</t>
  </si>
  <si>
    <t>Defense</t>
  </si>
  <si>
    <t>Nondefense</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</si>
  <si>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</si>
  <si>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</si>
  <si>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</si>
  <si>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</si>
  <si>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</si>
  <si>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</si>
  <si>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</si>
  <si>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</si>
  <si>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</si>
  <si>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</si>
  <si>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</si>
  <si>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</si>
  <si>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</si>
  <si>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</si>
  <si>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</si>
  <si>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</si>
  <si>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</si>
  <si>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</si>
  <si>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</si>
  <si>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</si>
  <si>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</si>
  <si>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</si>
  <si>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</si>
  <si>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</si>
  <si>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</si>
  <si>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</si>
  <si>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</si>
  <si>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</si>
  <si>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</si>
  <si>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</si>
  <si>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</si>
  <si>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</si>
  <si>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</si>
  <si>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</si>
  <si>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</si>
  <si>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</si>
  <si>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</si>
  <si>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TQ</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</si>
  <si>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</si>
  <si>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</si>
  <si>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</si>
  <si>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</si>
  <si>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</si>
  <si>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</si>
  <si>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</si>
  <si>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</si>
  <si>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</si>
  <si>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</si>
  <si>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</si>
  <si>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</si>
  <si>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</si>
  <si>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</si>
  <si>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</si>
  <si>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</si>
  <si>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</si>
  <si>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</si>
  <si>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</si>
  <si>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</si>
  <si>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</si>
  <si>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</si>
  <si>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</si>
  <si>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</si>
  <si>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</si>
  <si>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</si>
  <si>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</si>
  <si>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</si>
  <si>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</si>
  <si>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</si>
  <si>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</si>
  <si>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</si>
  <si>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</si>
  <si>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</si>
  <si>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</si>
  <si>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</si>
  <si>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</si>
  <si>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</si>
  <si>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</si>
  <si>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</si>
  <si>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</si>
  <si>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</si>
  <si>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</si>
  <si>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 estimate</t>
  </si>
  <si>
    <t>2021 estimate</t>
  </si>
  <si>
    <t>2022 estimate</t>
  </si>
  <si>
    <t>2023 estimate</t>
  </si>
  <si>
    <t>2024 estimate</t>
  </si>
  <si>
    <t>2025 estimate</t>
  </si>
  <si>
    <t>Note: Constant dollar research and development outlays are based on the GDP (chained) price index.</t>
  </si>
  <si>
    <t>inflation Factor 2020-2018</t>
  </si>
  <si>
    <t>Assumption</t>
  </si>
  <si>
    <t>unless stated otherwise</t>
  </si>
  <si>
    <t>PREVIOUSLY INCURRED COSTS</t>
  </si>
  <si>
    <t>YEAR</t>
  </si>
  <si>
    <t>AMOUNT</t>
  </si>
  <si>
    <t>Inflation Factor 2016</t>
  </si>
  <si>
    <t>Inflation Factor 2017</t>
  </si>
  <si>
    <t>GDP Deflator 2020 to 2018</t>
  </si>
  <si>
    <t>miles</t>
  </si>
  <si>
    <t>Previously Incurred Costs</t>
  </si>
  <si>
    <t>Previously incurred costs discounted to 2019 at 7%</t>
  </si>
  <si>
    <t>Previously incurred costs discounted to 2019 at 3%</t>
  </si>
  <si>
    <t>PROJECT COSTS BY COMPONENT</t>
  </si>
  <si>
    <t>ODOT Project Schedule; 2026 is last year of construction</t>
  </si>
  <si>
    <t>Industrial - Douglas (BUILD)</t>
  </si>
  <si>
    <t>speed in feet per second</t>
  </si>
  <si>
    <t>seconds of travel time per vehicle</t>
  </si>
  <si>
    <t>feet/second conversion</t>
  </si>
  <si>
    <t>Daily Travel Time (vehicle-hours)</t>
  </si>
  <si>
    <t>Annual Travel Time (vehicle-hours)</t>
  </si>
  <si>
    <t>SAVING (vehicle-hours)</t>
  </si>
  <si>
    <t>Travel Demand Model Results - By segment</t>
  </si>
  <si>
    <t>TOTAL 2015</t>
  </si>
  <si>
    <t>TOTAL 2045</t>
  </si>
  <si>
    <t>Industrial to Douglas</t>
  </si>
  <si>
    <t>TRAVEL TIMES FOR PEAK HOURS</t>
  </si>
  <si>
    <t>US DOT BCA Guidance for Discretionary Grant Programs, January 2020</t>
  </si>
  <si>
    <t>US DOT BCA Guidance for Discretionary Grant Programs, January 2020; Table A-3.</t>
  </si>
  <si>
    <t>US DOT BCA Guidance for Discretionary Grant Programs, January 2020; Table A-4.</t>
  </si>
  <si>
    <t>US DOT BCA Guidance for Discretionary Grant Programs, January 2020; Table A-1.</t>
  </si>
  <si>
    <t>Previously spent</t>
  </si>
  <si>
    <t>GRAND TOTAL</t>
  </si>
  <si>
    <t>Inflation Factor 2015</t>
  </si>
  <si>
    <t>amount in 2018 $$</t>
  </si>
  <si>
    <t>Current Status or Baseline &amp; Problems to be Addressed</t>
  </si>
  <si>
    <t>Changes to Baseline / Alternatives</t>
  </si>
  <si>
    <t>Type of Impacts</t>
  </si>
  <si>
    <t>Population Affected by Impacts</t>
  </si>
  <si>
    <t>Economic Benefit/Impact</t>
  </si>
  <si>
    <t>Summary of Results</t>
  </si>
  <si>
    <t xml:space="preserve">The stretch of I-40 from Industrial through Douglas Interchange to I-240 is now well beyond its design life and inadequate for the level of traffic it carries. During peak hours, multiple segments operate at LOS D. Conditions are forecasted to deteriorate to LOS F without improvements. Inadequate capacity and design also contribute to safety issues and a high accident rate. The Douglas Boulevard Interchange in particular is an outdated and dangerous design for the level of traffic it carries. The bridge structures within the Project area are approaching structural deficiency, are too narrow, or too low to allow for safe passage of trucks on the roadway beneath.  </t>
  </si>
  <si>
    <t>The Project addresses the various concerns with improvements that include mainline widening from 4 to 6 lanes, reconstruction of the Douglas Boulevard Interchange, correction, or reconstruction of substandard bridges, and addition of acceleration lanes at the Anderson Road Interchange.</t>
  </si>
  <si>
    <t xml:space="preserve">Safety: reduction in number of crashes due to road widening and interchange improvements </t>
  </si>
  <si>
    <t>Auto Users, Truck Operators</t>
  </si>
  <si>
    <t>Reductions in fatalities, injuries, and property losses, reduction in accident costs on highway segment.</t>
  </si>
  <si>
    <t>Agency cost savings due to infrastructure renewal</t>
  </si>
  <si>
    <t>Agency operating I-40; Oklahoma residents</t>
  </si>
  <si>
    <t xml:space="preserve">Reduction in maintenance, rehabilitation and repair costs of road and bridges due to inadequate design. </t>
  </si>
  <si>
    <t>Congestion reduction – reduction in travel times</t>
  </si>
  <si>
    <t>Auto Users, Truck Operators,</t>
  </si>
  <si>
    <t>Travel time savings due to additional capacity with road widening on I-40 mainline and interchange improvements</t>
  </si>
  <si>
    <t>State of good repair</t>
  </si>
  <si>
    <t>Residual value of investment</t>
  </si>
  <si>
    <t>Project Requirements</t>
  </si>
  <si>
    <t>Benefit or Impact</t>
  </si>
  <si>
    <t>Categories</t>
  </si>
  <si>
    <t>Description</t>
  </si>
  <si>
    <t>Monetized</t>
  </si>
  <si>
    <t>Qualitative</t>
  </si>
  <si>
    <t>Safety</t>
  </si>
  <si>
    <t>Reduction in number of traffic crashes, fatalities and injuries</t>
  </si>
  <si>
    <t>Reduction in property losses, injuries, and deaths due to improved interchange design, acceleration and deceleration lanes, additional travel lanes</t>
  </si>
  <si>
    <t>Yes</t>
  </si>
  <si>
    <t>Infrastructure Condition</t>
  </si>
  <si>
    <t>Agency costs savings - Reduction in highway maintenance costs</t>
  </si>
  <si>
    <t>Reduction in the costs of maintenance and repair of road and bridges due to inadequate design and clearance issues for trucks using the Interstate</t>
  </si>
  <si>
    <t>Renewal of infrastructure assets with outdated design that is also beyond its design life</t>
  </si>
  <si>
    <t>Yes (residual value)</t>
  </si>
  <si>
    <t>Congestion reduction</t>
  </si>
  <si>
    <t xml:space="preserve">Reduction in travel times </t>
  </si>
  <si>
    <t>Travel time savings for roadway users due additional capacity with road widening and interchange improvements.</t>
  </si>
  <si>
    <t>System reliability</t>
  </si>
  <si>
    <t>More reliable/consistent travel times</t>
  </si>
  <si>
    <t>Reduction in congestion typically also improves the reliability of travel times. Reliability will also improve as a result of reduction in the number of accidents and corresponding non-recurrent delays.</t>
  </si>
  <si>
    <t>Freight movements and economic vitality</t>
  </si>
  <si>
    <t>Travel time savings</t>
  </si>
  <si>
    <t>Travel time savings for truck operators due additional capacity with road widening. (Also captured under congestion reduction).</t>
  </si>
  <si>
    <t xml:space="preserve">Yes </t>
  </si>
  <si>
    <t xml:space="preserve">Improvement in reliability of travel times (Also captured under system reliability) </t>
  </si>
  <si>
    <t xml:space="preserve">Table 3 </t>
  </si>
  <si>
    <t>Crash Modification Factors</t>
  </si>
  <si>
    <t>Length of Analysis Period</t>
  </si>
  <si>
    <t>CMF reduction on mainline from 0.74 to 0.89</t>
  </si>
  <si>
    <t>Residual value - 20 years analysis</t>
  </si>
  <si>
    <t>CMF reduction on Douglas Interchange from 0.55 to 0.66</t>
  </si>
  <si>
    <t>Douglas to Anderson</t>
  </si>
  <si>
    <t xml:space="preserve">Table 4 </t>
  </si>
  <si>
    <t>Accident Severity</t>
  </si>
  <si>
    <t>I-40 Mainline</t>
  </si>
  <si>
    <t>Douglas Boulevard Interchange</t>
  </si>
  <si>
    <t>Anderson Interchange</t>
  </si>
  <si>
    <t>Property Damage Only</t>
  </si>
  <si>
    <t>Potential Injury</t>
  </si>
  <si>
    <t>Non-incapacitating Injury</t>
  </si>
  <si>
    <t>Serious Injury</t>
  </si>
  <si>
    <t>Fatal</t>
  </si>
  <si>
    <t>Grand Total</t>
  </si>
  <si>
    <t>Table 5</t>
  </si>
  <si>
    <t>CMF ID#</t>
  </si>
  <si>
    <t>Applied to</t>
  </si>
  <si>
    <t>Description of Improvement</t>
  </si>
  <si>
    <t>Mainlines</t>
  </si>
  <si>
    <t>Adding additional 12-foot lane. Affects all accidents</t>
  </si>
  <si>
    <t>Extend acceleration lane by approximately 98 feet. Affects all accidents</t>
  </si>
  <si>
    <t>Extend deceleration lane by approximately 98 feet. Affects all accidents</t>
  </si>
  <si>
    <t>Douglas Interchange</t>
  </si>
  <si>
    <t>Provide as straight ramp instead of a cloverleaf ramp. Affects all accidents.</t>
  </si>
  <si>
    <t>Table 6</t>
  </si>
  <si>
    <t>Maintenance &amp; Rehabilitation Costs for I-40</t>
  </si>
  <si>
    <t>Bridge Rehabilitation Costs</t>
  </si>
  <si>
    <t>Bridge Damage Repair Costs</t>
  </si>
  <si>
    <t>Eastbound</t>
  </si>
  <si>
    <t>Westbound</t>
  </si>
  <si>
    <t xml:space="preserve">No Build </t>
  </si>
  <si>
    <t xml:space="preserve">Build </t>
  </si>
  <si>
    <t>Table 9</t>
  </si>
  <si>
    <t>Variable Name</t>
  </si>
  <si>
    <t>Value of Travel Time Savings</t>
  </si>
  <si>
    <r>
      <t>US DOT, Benefit-Cost Analysis Guidance for Discretionary Grant Programs, January 2020</t>
    </r>
    <r>
      <rPr>
        <i/>
        <sz val="10"/>
        <color theme="1"/>
        <rFont val="Arial"/>
        <family val="2"/>
      </rPr>
      <t>.</t>
    </r>
  </si>
  <si>
    <t xml:space="preserve">Auto </t>
  </si>
  <si>
    <t>$/h, per person</t>
  </si>
  <si>
    <t>Value of travel time for all purposes. I-40 is likely to carry commuters as well as users travelling on business.</t>
  </si>
  <si>
    <t>Truck Drivers</t>
  </si>
  <si>
    <t>$/h</t>
  </si>
  <si>
    <t>Average Vehicle Occupancy – Peak Period</t>
  </si>
  <si>
    <t>persons/ vehicle</t>
  </si>
  <si>
    <t>Truck Share in Total Traffic</t>
  </si>
  <si>
    <t>ODOT</t>
  </si>
  <si>
    <t>Lower Bound of Range Recommended by US DOT (Auto $11.80 and Truck $23.58)</t>
  </si>
  <si>
    <t>Upper Bound of Range Recommended by US DOT (Auto $19.97 and Truck $35.42)</t>
  </si>
  <si>
    <t>Capital Expenditures (2018$/year)</t>
  </si>
  <si>
    <t>Operations and Maintenance (O&amp;M) Expenditures (2018$/year)</t>
  </si>
  <si>
    <t>Table 10</t>
  </si>
  <si>
    <t>Inflation Factor 2015 to 2018</t>
  </si>
  <si>
    <t>Inflation Factor 2016 to 2018</t>
  </si>
  <si>
    <t>30 Years Analysis (7%)</t>
  </si>
  <si>
    <t>30 Years</t>
  </si>
  <si>
    <t>Over Years 2019-2046</t>
  </si>
  <si>
    <t>Total O&amp;M Costs Discounted at 7%</t>
  </si>
  <si>
    <t>Total Estimated Cost Discounted at 7%</t>
  </si>
  <si>
    <t>$49.5 million in accident cost savings.</t>
  </si>
  <si>
    <t>$12.7 million in maintenance cost savings.</t>
  </si>
  <si>
    <t>$27.8 million in travel time savings on I-40 mainline</t>
  </si>
  <si>
    <t>$8.1 million in travel time savings due to interchange improvements</t>
  </si>
  <si>
    <t>$11.1 million in residual value</t>
  </si>
  <si>
    <t>Extension from 20 years to 30 years</t>
  </si>
  <si>
    <t xml:space="preserve">      Serious Injury</t>
  </si>
  <si>
    <t xml:space="preserve">   Average number of accidents on Anderson Interchange</t>
  </si>
  <si>
    <t xml:space="preserve">   Average number of accidents on the mainline of project location </t>
  </si>
  <si>
    <t xml:space="preserve">   Average number of accidents on Douglas Interchange</t>
  </si>
  <si>
    <t>Average number of accidents/year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</si>
</sst>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
    <numFmt numFmtId="165" formatCode="0.000"/>
    <numFmt numFmtId="166" formatCode="0.0%"/>
    <numFmt numFmtId="167" formatCode="&quot;$&quot;#,##0.00"/>
    <numFmt numFmtId="168" formatCode="#,##0.0"/>
    <numFmt numFmtId="169" formatCode="&quot;$&quot;#,##0.0"/>
    <numFmt numFmtId="170" formatCode="[$-409]mmmm\ d\,\ yyyy;@"/>
    <numFmt numFmtId="171" formatCode="#,##0.0&quot; M&quot;"/>
    <numFmt numFmtId="172" formatCode="&quot;$&quot;#,##0.000"/>
    <numFmt numFmtId="173" formatCode="_(* #,##0_);_(* \(#,##0\);_(* &quot;-&quot;??_);_(@_)"/>
    <numFmt numFmtId="174" formatCode="&quot;$&quot;#,##0.0_);[Red]\(&quot;$&quot;#,##0.0\)"/>
    <numFmt numFmtId="175" formatCode="&quot;$&quot;#,##0.0_);\(&quot;$&quot;#,##0.0\)"/>
    <numFmt numFmtId="176" formatCode="0.0000"/>
    <numFmt numFmtId="177" formatCode="##,##0.0"/>
    <numFmt numFmtId="178" formatCode="##,##0.0000"/>
  </numFmts>
  <fonts count="85" x14ac:knownFonts="1">
    <font>
      <sz val="11"/>
      <color theme="1"/>
      <name val="Calibri"/>
      <family val="2"/>
      <scheme val="minor"/>
    </font>
    <font>
      <b/>
      <sz val="11"/>
      <color theme="1"/>
      <name val="Calibri"/>
      <family val="2"/>
      <scheme val="minor"/>
    </font>
    <font>
      <sz val="11"/>
      <color indexed="8"/>
      <name val="Calibri"/>
      <family val="2"/>
    </font>
    <font>
      <sz val="10"/>
      <name val="Arial"/>
      <family val="2"/>
    </font>
    <font>
      <b/>
      <sz val="11"/>
      <color indexed="8"/>
      <name val="Calibri"/>
      <family val="2"/>
    </font>
    <font>
      <b/>
      <sz val="14"/>
      <color indexed="8"/>
      <name val="Calibri"/>
      <family val="2"/>
    </font>
    <font>
      <sz val="11"/>
      <name val="Calibri"/>
      <family val="2"/>
      <scheme val="minor"/>
    </font>
    <font>
      <b/>
      <i/>
      <sz val="11"/>
      <color theme="1"/>
      <name val="Calibri"/>
      <family val="2"/>
      <scheme val="minor"/>
    </font>
    <font>
      <sz val="11"/>
      <name val="Arial"/>
      <family val="2"/>
    </font>
    <font>
      <sz val="10"/>
      <color rgb="FFFFFFFF"/>
      <name val="Arial"/>
      <family val="2"/>
    </font>
    <font>
      <sz val="10"/>
      <color rgb="FF000000"/>
      <name val="Arial"/>
      <family val="2"/>
    </font>
    <font>
      <sz val="9"/>
      <color rgb="FF000000"/>
      <name val="Arial"/>
      <family val="2"/>
    </font>
    <font>
      <b/>
      <sz val="9"/>
      <color rgb="FFFFFFFF"/>
      <name val="Arial"/>
      <family val="2"/>
    </font>
    <font>
      <sz val="11"/>
      <color theme="0"/>
      <name val="Calibri"/>
      <family val="2"/>
      <scheme val="minor"/>
    </font>
    <font>
      <b/>
      <sz val="10"/>
      <color rgb="FF000000"/>
      <name val="Arial"/>
      <family val="2"/>
    </font>
    <font>
      <b/>
      <sz val="14"/>
      <color theme="0"/>
      <name val="Calibri"/>
      <family val="2"/>
      <scheme val="minor"/>
    </font>
    <font>
      <b/>
      <sz val="12"/>
      <color theme="0"/>
      <name val="Arial"/>
      <family val="2"/>
    </font>
    <font>
      <sz val="9"/>
      <color theme="0"/>
      <name val="Arial"/>
      <family val="2"/>
    </font>
    <font>
      <sz val="11"/>
      <color theme="1"/>
      <name val="Calibri"/>
      <family val="2"/>
      <scheme val="minor"/>
    </font>
    <font>
      <b/>
      <sz val="10"/>
      <color rgb="FFFFFFFF"/>
      <name val="Arial"/>
      <family val="2"/>
    </font>
    <font>
      <b/>
      <sz val="11"/>
      <color theme="0"/>
      <name val="Calibri"/>
      <family val="2"/>
      <scheme val="minor"/>
    </font>
    <font>
      <sz val="11"/>
      <color rgb="FFFF0000"/>
      <name val="Calibri"/>
      <family val="2"/>
      <scheme val="minor"/>
    </font>
    <font>
      <sz val="10"/>
      <name val="Calibri"/>
      <family val="2"/>
      <scheme val="minor"/>
    </font>
    <font>
      <b/>
      <sz val="11"/>
      <name val="Calibri"/>
      <family val="2"/>
      <scheme val="minor"/>
    </font>
    <font>
      <b/>
      <i/>
      <sz val="11"/>
      <name val="Calibri"/>
      <family val="2"/>
      <scheme val="minor"/>
    </font>
    <font>
      <i/>
      <sz val="11"/>
      <color theme="3"/>
      <name val="Calibri"/>
      <family val="2"/>
      <scheme val="minor"/>
    </font>
    <font>
      <b/>
      <sz val="18"/>
      <name val="Calibri"/>
      <family val="2"/>
      <scheme val="minor"/>
    </font>
    <font>
      <sz val="12"/>
      <name val="Calibri"/>
      <family val="2"/>
      <scheme val="minor"/>
    </font>
    <font>
      <sz val="11"/>
      <color theme="1"/>
      <name val="Calibri"/>
      <family val="2"/>
    </font>
    <font>
      <b/>
      <sz val="11"/>
      <color theme="1"/>
      <name val="Calibri"/>
      <family val="2"/>
    </font>
    <font>
      <sz val="11"/>
      <name val="Calibri"/>
      <family val="2"/>
    </font>
    <font>
      <b/>
      <sz val="12"/>
      <name val="Calibri"/>
      <family val="2"/>
    </font>
    <font>
      <b/>
      <i/>
      <sz val="8"/>
      <color theme="1" tint="0.499984740745262"/>
      <name val="Calibri"/>
      <family val="2"/>
      <scheme val="minor"/>
    </font>
    <font>
      <b/>
      <sz val="12"/>
      <color theme="1"/>
      <name val="Calibri"/>
      <family val="2"/>
      <scheme val="minor"/>
    </font>
    <font>
      <b/>
      <sz val="18"/>
      <color theme="1"/>
      <name val="Calibri"/>
      <family val="2"/>
      <scheme val="minor"/>
    </font>
    <font>
      <b/>
      <sz val="11"/>
      <color theme="0"/>
      <name val="Calibri"/>
      <family val="2"/>
    </font>
    <font>
      <b/>
      <sz val="11"/>
      <name val="Calibri"/>
      <family val="2"/>
    </font>
    <font>
      <b/>
      <sz val="11"/>
      <color theme="4" tint="0.39997558519241921"/>
      <name val="Calibri"/>
      <family val="2"/>
    </font>
    <font>
      <b/>
      <i/>
      <sz val="11"/>
      <color theme="0"/>
      <name val="Calibri"/>
      <family val="2"/>
    </font>
    <font>
      <b/>
      <sz val="11"/>
      <color rgb="FFFF0000"/>
      <name val="Calibri"/>
      <family val="2"/>
    </font>
    <font>
      <sz val="11"/>
      <color rgb="FF000000"/>
      <name val="Arial"/>
      <family val="2"/>
    </font>
    <font>
      <sz val="11"/>
      <color theme="1"/>
      <name val="Arial"/>
      <family val="2"/>
    </font>
    <font>
      <b/>
      <sz val="25"/>
      <color theme="1"/>
      <name val="Calibri"/>
      <family val="2"/>
      <scheme val="minor"/>
    </font>
    <font>
      <b/>
      <sz val="9"/>
      <name val="Arial"/>
      <family val="2"/>
    </font>
    <font>
      <i/>
      <sz val="11"/>
      <color theme="1"/>
      <name val="Arial"/>
      <family val="2"/>
    </font>
    <font>
      <i/>
      <sz val="11"/>
      <color theme="1" tint="0.34998626667073579"/>
      <name val="Arial"/>
      <family val="2"/>
    </font>
    <font>
      <i/>
      <sz val="11"/>
      <color rgb="FFFF0000"/>
      <name val="Arial"/>
      <family val="2"/>
    </font>
    <font>
      <b/>
      <sz val="11"/>
      <color theme="1"/>
      <name val="Arial"/>
      <family val="2"/>
    </font>
    <font>
      <i/>
      <sz val="11"/>
      <name val="Arial"/>
      <family val="2"/>
    </font>
    <font>
      <sz val="11"/>
      <color rgb="FF0000FF"/>
      <name val="Arial"/>
      <family val="2"/>
    </font>
    <font>
      <b/>
      <sz val="11"/>
      <color theme="0"/>
      <name val="Arial"/>
      <family val="2"/>
    </font>
    <font>
      <b/>
      <sz val="14"/>
      <color theme="1"/>
      <name val="Arial"/>
      <family val="2"/>
    </font>
    <font>
      <sz val="11"/>
      <color theme="0" tint="-0.499984740745262"/>
      <name val="Calibri"/>
      <family val="2"/>
      <scheme val="minor"/>
    </font>
    <font>
      <b/>
      <sz val="11"/>
      <color theme="0"/>
      <name val="Arial Black"/>
      <family val="2"/>
    </font>
    <font>
      <sz val="11"/>
      <color theme="0"/>
      <name val="Arial Black"/>
      <family val="2"/>
    </font>
    <font>
      <sz val="11"/>
      <color rgb="FFFF0000"/>
      <name val="Arial"/>
      <family val="2"/>
    </font>
    <font>
      <u/>
      <sz val="11"/>
      <color theme="1"/>
      <name val="Calibri"/>
      <family val="2"/>
      <scheme val="minor"/>
    </font>
    <font>
      <sz val="9"/>
      <color theme="1" tint="0.34998626667073579"/>
      <name val="Calibri"/>
      <family val="2"/>
      <scheme val="minor"/>
    </font>
    <font>
      <sz val="9"/>
      <color theme="1" tint="0.34998626667073579"/>
      <name val="Arial"/>
      <family val="2"/>
    </font>
    <font>
      <b/>
      <sz val="10"/>
      <name val="Arial"/>
      <family val="2"/>
    </font>
    <font>
      <b/>
      <sz val="18"/>
      <color theme="8" tint="-0.249977111117893"/>
      <name val="Calibri"/>
      <family val="2"/>
      <scheme val="minor"/>
    </font>
    <font>
      <sz val="9"/>
      <color theme="1"/>
      <name val="Calibri"/>
      <family val="2"/>
      <scheme val="minor"/>
    </font>
    <font>
      <sz val="11"/>
      <color theme="4"/>
      <name val="Calibri"/>
      <family val="2"/>
      <scheme val="minor"/>
    </font>
    <font>
      <sz val="10"/>
      <color theme="1"/>
      <name val="Calibri"/>
      <family val="2"/>
      <scheme val="minor"/>
    </font>
    <font>
      <sz val="11"/>
      <color theme="1" tint="0.34998626667073579"/>
      <name val="Calibri"/>
      <family val="2"/>
      <scheme val="minor"/>
    </font>
    <font>
      <sz val="11"/>
      <color theme="2" tint="-0.499984740745262"/>
      <name val="Calibri"/>
      <family val="2"/>
      <scheme val="minor"/>
    </font>
    <font>
      <sz val="9"/>
      <color theme="2" tint="-0.499984740745262"/>
      <name val="Calibri"/>
      <family val="2"/>
      <scheme val="minor"/>
    </font>
    <font>
      <sz val="11"/>
      <color rgb="FF000000"/>
      <name val="Calibri"/>
      <family val="2"/>
    </font>
    <font>
      <b/>
      <sz val="10"/>
      <color indexed="8"/>
      <name val="Times New Roman"/>
      <family val="1"/>
    </font>
    <font>
      <sz val="10"/>
      <color indexed="8"/>
      <name val="Times New Roman"/>
      <family val="1"/>
    </font>
    <font>
      <sz val="10"/>
      <color indexed="8"/>
      <name val="Times New Roman"/>
      <family val="1"/>
    </font>
    <font>
      <b/>
      <sz val="20"/>
      <color theme="1"/>
      <name val="Calibri"/>
      <family val="2"/>
      <scheme val="minor"/>
    </font>
    <font>
      <i/>
      <sz val="11"/>
      <color theme="1"/>
      <name val="Calibri"/>
      <family val="2"/>
      <scheme val="minor"/>
    </font>
    <font>
      <b/>
      <sz val="14"/>
      <color theme="1"/>
      <name val="Calibri"/>
      <family val="2"/>
      <scheme val="minor"/>
    </font>
    <font>
      <sz val="11"/>
      <color theme="0" tint="-0.499984740745262"/>
      <name val="Calibri"/>
      <family val="2"/>
    </font>
    <font>
      <sz val="9"/>
      <color indexed="81"/>
      <name val="Tahoma"/>
      <family val="2"/>
    </font>
    <font>
      <b/>
      <sz val="9"/>
      <color indexed="81"/>
      <name val="Tahoma"/>
      <family val="2"/>
    </font>
    <font>
      <sz val="11"/>
      <color theme="0" tint="-0.34998626667073579"/>
      <name val="Calibri"/>
      <family val="2"/>
      <scheme val="minor"/>
    </font>
    <font>
      <b/>
      <sz val="9"/>
      <color rgb="FFFFFFFF"/>
      <name val="Arial Narrow"/>
      <family val="2"/>
    </font>
    <font>
      <sz val="10"/>
      <color theme="1"/>
      <name val="Arial"/>
      <family val="2"/>
    </font>
    <font>
      <sz val="9"/>
      <color theme="1"/>
      <name val="Arial"/>
      <family val="2"/>
    </font>
    <font>
      <b/>
      <sz val="9"/>
      <color theme="1"/>
      <name val="Arial"/>
      <family val="2"/>
    </font>
    <font>
      <b/>
      <sz val="9"/>
      <color rgb="FF000000"/>
      <name val="Arial"/>
      <family val="2"/>
    </font>
    <font>
      <b/>
      <sz val="10"/>
      <color theme="0"/>
      <name val="Arial"/>
      <family val="2"/>
    </font>
    <font>
      <i/>
      <sz val="10"/>
      <color theme="1"/>
      <name val="Arial"/>
      <family val="2"/>
    </font>
  </fonts>
  <fills count="17">
    <fill>
      <patternFill patternType="none"/>
    </fill>
    <fill>
      <patternFill patternType="gray125"/>
    </fill>
    <fill>
      <patternFill patternType="solid">
        <fgColor rgb="FFFFFF00"/>
        <bgColor indexed="64"/>
      </patternFill>
    </fill>
    <fill>
      <patternFill patternType="solid">
        <fgColor rgb="FF54585A"/>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2" tint="-9.9978637043366805E-2"/>
        <bgColor indexed="64"/>
      </patternFill>
    </fill>
    <fill>
      <patternFill patternType="solid">
        <fgColor rgb="FF0F243E"/>
        <bgColor indexed="64"/>
      </patternFill>
    </fill>
    <fill>
      <patternFill patternType="solid">
        <fgColor theme="4" tint="-0.499984740745262"/>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rgb="FFD8EAF1"/>
        <bgColor indexed="64"/>
      </patternFill>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theme="0" tint="-0.24994659260841701"/>
      </left>
      <right style="thin">
        <color indexed="64"/>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style="medium">
        <color indexed="64"/>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thin">
        <color theme="4" tint="0.59999389629810485"/>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thin">
        <color theme="2" tint="-9.9978637043366805E-2"/>
      </right>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0" tint="-0.14999847407452621"/>
      </left>
      <right style="thin">
        <color theme="0" tint="-0.14999847407452621"/>
      </right>
      <top style="thin">
        <color theme="0" tint="-0.14999847407452621"/>
      </top>
      <bottom/>
      <diagonal/>
    </border>
    <border>
      <left style="thin">
        <color theme="2" tint="-9.9978637043366805E-2"/>
      </left>
      <right style="thin">
        <color theme="2" tint="-9.9978637043366805E-2"/>
      </right>
      <top/>
      <bottom style="thin">
        <color theme="2" tint="-9.9978637043366805E-2"/>
      </bottom>
      <diagonal/>
    </border>
    <border>
      <left/>
      <right/>
      <top style="thin">
        <color theme="2" tint="-9.9978637043366805E-2"/>
      </top>
      <bottom style="thin">
        <color theme="2" tint="-9.9978637043366805E-2"/>
      </bottom>
      <diagonal/>
    </border>
    <border>
      <left style="thin">
        <color theme="0" tint="-0.14999847407452621"/>
      </left>
      <right style="thin">
        <color theme="0" tint="-0.14999847407452621"/>
      </right>
      <top/>
      <bottom style="thin">
        <color theme="0" tint="-0.14999847407452621"/>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medium">
        <color indexed="64"/>
      </top>
      <bottom style="double">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top style="thin">
        <color rgb="FF000000"/>
      </top>
      <bottom/>
      <diagonal/>
    </border>
    <border>
      <left style="thin">
        <color indexed="64"/>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2" tint="-9.9978637043366805E-2"/>
      </left>
      <right style="thin">
        <color theme="2" tint="-9.9978637043366805E-2"/>
      </right>
      <top style="thin">
        <color theme="2" tint="-9.9978637043366805E-2"/>
      </top>
      <bottom style="thin">
        <color theme="0" tint="-0.14999847407452621"/>
      </bottom>
      <diagonal/>
    </border>
    <border>
      <left style="thin">
        <color theme="2" tint="-9.9978637043366805E-2"/>
      </left>
      <right style="thin">
        <color theme="2" tint="-9.9978637043366805E-2"/>
      </right>
      <top style="thin">
        <color theme="0" tint="-0.14999847407452621"/>
      </top>
      <bottom style="thin">
        <color theme="0" tint="-0.14999847407452621"/>
      </bottom>
      <diagonal/>
    </border>
    <border>
      <left style="thin">
        <color theme="2" tint="-9.9978637043366805E-2"/>
      </left>
      <right style="thin">
        <color theme="2" tint="-9.9978637043366805E-2"/>
      </right>
      <top style="thin">
        <color theme="0" tint="-0.14999847407452621"/>
      </top>
      <bottom style="thin">
        <color theme="2" tint="-9.9978637043366805E-2"/>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diagonal/>
    </border>
    <border>
      <left style="thin">
        <color theme="0" tint="-0.24994659260841701"/>
      </left>
      <right/>
      <top/>
      <bottom/>
      <diagonal/>
    </border>
    <border>
      <left style="thin">
        <color theme="0" tint="-0.24994659260841701"/>
      </left>
      <right style="thin">
        <color indexed="64"/>
      </right>
      <top/>
      <bottom/>
      <diagonal/>
    </border>
    <border>
      <left style="thin">
        <color theme="2" tint="-9.9978637043366805E-2"/>
      </left>
      <right style="thin">
        <color indexed="64"/>
      </right>
      <top style="thin">
        <color theme="2" tint="-9.9978637043366805E-2"/>
      </top>
      <bottom style="thin">
        <color theme="2" tint="-9.9978637043366805E-2"/>
      </bottom>
      <diagonal/>
    </border>
    <border>
      <left style="thin">
        <color theme="0" tint="-0.24994659260841701"/>
      </left>
      <right style="thin">
        <color indexed="64"/>
      </right>
      <top style="thin">
        <color theme="2" tint="-9.9978637043366805E-2"/>
      </top>
      <bottom style="thin">
        <color indexed="64"/>
      </bottom>
      <diagonal/>
    </border>
    <border>
      <left style="thin">
        <color indexed="64"/>
      </left>
      <right style="thin">
        <color indexed="64"/>
      </right>
      <top style="thin">
        <color theme="2" tint="-9.9978637043366805E-2"/>
      </top>
      <bottom style="thin">
        <color indexed="64"/>
      </bottom>
      <diagonal/>
    </border>
    <border>
      <left style="thin">
        <color indexed="64"/>
      </left>
      <right style="thin">
        <color indexed="64"/>
      </right>
      <top style="thin">
        <color theme="2" tint="-9.9978637043366805E-2"/>
      </top>
      <bottom/>
      <diagonal/>
    </border>
    <border>
      <left style="thin">
        <color indexed="64"/>
      </left>
      <right style="thin">
        <color indexed="64"/>
      </right>
      <top style="thin">
        <color theme="2" tint="-9.9978637043366805E-2"/>
      </top>
      <bottom style="thin">
        <color theme="2" tint="-9.9978637043366805E-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theme="2" tint="-9.9978637043366805E-2"/>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medium">
        <color rgb="FF000000"/>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s>
  <cellStyleXfs count="9">
    <xf numFmtId="0" fontId="0"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44" fontId="18" fillId="0" borderId="0" applyFont="0" applyFill="0" applyBorder="0" applyAlignment="0" applyProtection="0"/>
    <xf numFmtId="0" fontId="28" fillId="0" borderId="0"/>
    <xf numFmtId="9" fontId="28" fillId="0" borderId="0" applyFont="0" applyFill="0" applyBorder="0" applyAlignment="0" applyProtection="0"/>
    <xf numFmtId="43" fontId="18" fillId="0" borderId="0" applyFont="0" applyFill="0" applyBorder="0" applyAlignment="0" applyProtection="0"/>
  </cellStyleXfs>
  <cellXfs count="624">
    <xf numFmtId="0" fontId="0" fillId="0" borderId="0" xfId="0"/>
    <xf numFmtId="164" fontId="0" fillId="0" borderId="0" xfId="0" applyNumberFormat="1"/>
    <xf numFmtId="9" fontId="0" fillId="0" borderId="0" xfId="0" applyNumberFormat="1"/>
    <xf numFmtId="3" fontId="0" fillId="0" borderId="0" xfId="0" applyNumberFormat="1"/>
    <xf numFmtId="0" fontId="2" fillId="0" borderId="0" xfId="0" applyNumberFormat="1" applyFont="1" applyFill="1" applyBorder="1" applyAlignment="1" applyProtection="1"/>
    <xf numFmtId="167" fontId="0" fillId="0" borderId="0" xfId="0" applyNumberFormat="1"/>
    <xf numFmtId="0" fontId="0" fillId="0" borderId="0" xfId="0" applyFill="1"/>
    <xf numFmtId="0" fontId="1" fillId="0" borderId="0" xfId="0" applyFont="1"/>
    <xf numFmtId="0" fontId="0" fillId="0" borderId="0" xfId="0" applyBorder="1"/>
    <xf numFmtId="0" fontId="10" fillId="4" borderId="1" xfId="0" applyFont="1" applyFill="1" applyBorder="1" applyAlignment="1">
      <alignment vertical="center" wrapText="1"/>
    </xf>
    <xf numFmtId="169" fontId="10" fillId="0" borderId="1" xfId="0" applyNumberFormat="1" applyFont="1" applyBorder="1" applyAlignment="1">
      <alignment horizontal="center" vertical="center"/>
    </xf>
    <xf numFmtId="0" fontId="10" fillId="4" borderId="1" xfId="0" applyFont="1" applyFill="1" applyBorder="1" applyAlignment="1">
      <alignment vertical="center"/>
    </xf>
    <xf numFmtId="0" fontId="11" fillId="0" borderId="1" xfId="0" applyFont="1" applyBorder="1" applyAlignment="1">
      <alignment horizontal="center" vertical="center" wrapText="1"/>
    </xf>
    <xf numFmtId="0" fontId="10" fillId="0" borderId="1" xfId="0" applyFont="1" applyBorder="1" applyAlignment="1">
      <alignment vertical="center" wrapText="1"/>
    </xf>
    <xf numFmtId="0" fontId="0" fillId="0" borderId="0" xfId="0" applyBorder="1" applyAlignment="1">
      <alignment wrapText="1"/>
    </xf>
    <xf numFmtId="0" fontId="14" fillId="0" borderId="0" xfId="0" applyFont="1" applyFill="1" applyBorder="1" applyAlignment="1">
      <alignment vertical="center" wrapText="1"/>
    </xf>
    <xf numFmtId="0" fontId="0" fillId="3" borderId="0" xfId="0" applyFill="1"/>
    <xf numFmtId="0" fontId="0" fillId="3" borderId="0" xfId="0" applyFill="1" applyAlignment="1"/>
    <xf numFmtId="0" fontId="0" fillId="3" borderId="0" xfId="0" quotePrefix="1" applyFill="1"/>
    <xf numFmtId="0" fontId="0" fillId="0" borderId="0" xfId="0" applyFont="1" applyFill="1" applyBorder="1" applyAlignment="1">
      <alignment horizontal="left" wrapText="1" indent="1"/>
    </xf>
    <xf numFmtId="0" fontId="0" fillId="0" borderId="0" xfId="0" quotePrefix="1"/>
    <xf numFmtId="9" fontId="0" fillId="0" borderId="0" xfId="4" applyFont="1"/>
    <xf numFmtId="0" fontId="6" fillId="6" borderId="0" xfId="0" applyFont="1" applyFill="1" applyAlignment="1">
      <alignment vertical="center"/>
    </xf>
    <xf numFmtId="0" fontId="6" fillId="6" borderId="0" xfId="0" applyFont="1" applyFill="1" applyAlignment="1">
      <alignment horizontal="center" vertical="center"/>
    </xf>
    <xf numFmtId="0" fontId="22" fillId="0" borderId="0" xfId="0" applyFont="1" applyFill="1" applyAlignment="1">
      <alignment horizontal="center" vertical="center"/>
    </xf>
    <xf numFmtId="0" fontId="6" fillId="0" borderId="0" xfId="0" applyFont="1" applyFill="1" applyAlignment="1">
      <alignment vertical="center"/>
    </xf>
    <xf numFmtId="164" fontId="6" fillId="0" borderId="9" xfId="0" applyNumberFormat="1"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vertical="center"/>
    </xf>
    <xf numFmtId="164" fontId="23" fillId="8" borderId="12" xfId="0" applyNumberFormat="1" applyFont="1" applyFill="1" applyBorder="1" applyAlignment="1">
      <alignment horizontal="center" vertical="center"/>
    </xf>
    <xf numFmtId="171" fontId="23" fillId="8" borderId="12" xfId="0" applyNumberFormat="1" applyFont="1" applyFill="1" applyBorder="1" applyAlignment="1">
      <alignment horizontal="center" vertical="center"/>
    </xf>
    <xf numFmtId="0" fontId="23" fillId="8" borderId="13" xfId="0" applyFont="1" applyFill="1" applyBorder="1" applyAlignment="1">
      <alignment vertical="center"/>
    </xf>
    <xf numFmtId="164" fontId="23" fillId="9" borderId="12" xfId="0" applyNumberFormat="1" applyFont="1" applyFill="1" applyBorder="1" applyAlignment="1">
      <alignment horizontal="center" vertical="center"/>
    </xf>
    <xf numFmtId="171" fontId="23" fillId="9" borderId="12" xfId="0" applyNumberFormat="1" applyFont="1" applyFill="1" applyBorder="1" applyAlignment="1">
      <alignment horizontal="center" vertical="center"/>
    </xf>
    <xf numFmtId="0" fontId="23" fillId="9" borderId="13" xfId="0" applyFont="1" applyFill="1" applyBorder="1" applyAlignment="1">
      <alignment vertical="center"/>
    </xf>
    <xf numFmtId="164" fontId="6" fillId="0" borderId="12" xfId="0" applyNumberFormat="1" applyFont="1" applyFill="1" applyBorder="1" applyAlignment="1">
      <alignment horizontal="center" vertical="center"/>
    </xf>
    <xf numFmtId="171" fontId="6" fillId="0" borderId="12" xfId="0" applyNumberFormat="1" applyFont="1" applyFill="1" applyBorder="1" applyAlignment="1">
      <alignment horizontal="center" vertical="center"/>
    </xf>
    <xf numFmtId="0" fontId="6" fillId="6" borderId="13" xfId="0" applyFont="1" applyFill="1" applyBorder="1" applyAlignment="1">
      <alignment vertical="center"/>
    </xf>
    <xf numFmtId="0" fontId="6" fillId="0" borderId="14" xfId="0" applyFont="1" applyFill="1" applyBorder="1" applyAlignment="1">
      <alignment vertical="center"/>
    </xf>
    <xf numFmtId="0" fontId="20" fillId="10" borderId="16" xfId="0" applyFont="1" applyFill="1" applyBorder="1" applyAlignment="1">
      <alignment horizontal="center" vertical="center"/>
    </xf>
    <xf numFmtId="0" fontId="20" fillId="10" borderId="17" xfId="0" applyFont="1" applyFill="1" applyBorder="1" applyAlignment="1">
      <alignment vertical="center"/>
    </xf>
    <xf numFmtId="0" fontId="24" fillId="6" borderId="0" xfId="0" applyFont="1" applyFill="1" applyAlignment="1">
      <alignment vertical="center"/>
    </xf>
    <xf numFmtId="0" fontId="21" fillId="6" borderId="0" xfId="0" applyFont="1" applyFill="1" applyAlignment="1">
      <alignment vertical="center"/>
    </xf>
    <xf numFmtId="2" fontId="6" fillId="6" borderId="0" xfId="0" applyNumberFormat="1" applyFont="1" applyFill="1" applyAlignment="1">
      <alignment vertical="center"/>
    </xf>
    <xf numFmtId="166" fontId="6" fillId="6" borderId="8" xfId="0" applyNumberFormat="1" applyFont="1" applyFill="1" applyBorder="1" applyAlignment="1">
      <alignment horizontal="center" vertical="center"/>
    </xf>
    <xf numFmtId="9" fontId="20" fillId="10" borderId="15" xfId="4" applyFont="1" applyFill="1" applyBorder="1" applyAlignment="1">
      <alignment horizontal="center" vertical="center"/>
    </xf>
    <xf numFmtId="9" fontId="20" fillId="10" borderId="16" xfId="4" applyFont="1" applyFill="1" applyBorder="1" applyAlignment="1">
      <alignment horizontal="center" vertical="center"/>
    </xf>
    <xf numFmtId="0" fontId="20" fillId="10" borderId="16" xfId="0" applyFont="1" applyFill="1" applyBorder="1" applyAlignment="1">
      <alignment horizontal="center" vertical="center" wrapText="1"/>
    </xf>
    <xf numFmtId="0" fontId="6" fillId="0" borderId="0" xfId="0" applyFont="1" applyFill="1" applyBorder="1" applyAlignment="1">
      <alignment vertical="center"/>
    </xf>
    <xf numFmtId="164" fontId="6" fillId="6" borderId="0" xfId="0" applyNumberFormat="1" applyFont="1" applyFill="1" applyBorder="1" applyAlignment="1">
      <alignment vertical="center"/>
    </xf>
    <xf numFmtId="164" fontId="6" fillId="6" borderId="0" xfId="5" applyNumberFormat="1" applyFont="1" applyFill="1" applyBorder="1" applyAlignment="1">
      <alignment vertical="center"/>
    </xf>
    <xf numFmtId="0" fontId="23" fillId="9" borderId="9" xfId="0" applyFont="1" applyFill="1" applyBorder="1" applyAlignment="1">
      <alignment horizontal="center" vertical="center"/>
    </xf>
    <xf numFmtId="0" fontId="23" fillId="9" borderId="10" xfId="0" applyFont="1" applyFill="1" applyBorder="1" applyAlignment="1">
      <alignment vertical="center"/>
    </xf>
    <xf numFmtId="0" fontId="6" fillId="0" borderId="12" xfId="0" applyFont="1" applyFill="1" applyBorder="1" applyAlignment="1">
      <alignment horizontal="center" vertical="center"/>
    </xf>
    <xf numFmtId="167" fontId="6" fillId="6" borderId="0" xfId="0" applyNumberFormat="1" applyFont="1" applyFill="1" applyAlignment="1">
      <alignment vertical="center"/>
    </xf>
    <xf numFmtId="0" fontId="6" fillId="6" borderId="0" xfId="0" applyFont="1" applyFill="1" applyBorder="1" applyAlignment="1">
      <alignment vertical="center"/>
    </xf>
    <xf numFmtId="9" fontId="6" fillId="6" borderId="0" xfId="0" applyNumberFormat="1" applyFont="1" applyFill="1" applyBorder="1" applyAlignment="1">
      <alignment vertical="center"/>
    </xf>
    <xf numFmtId="9" fontId="20" fillId="10" borderId="11" xfId="4" applyFont="1" applyFill="1" applyBorder="1" applyAlignment="1">
      <alignment horizontal="center" vertical="center"/>
    </xf>
    <xf numFmtId="9" fontId="20" fillId="10" borderId="12" xfId="4" applyFont="1" applyFill="1" applyBorder="1" applyAlignment="1">
      <alignment horizontal="center" vertical="center"/>
    </xf>
    <xf numFmtId="0" fontId="20" fillId="10" borderId="12" xfId="0" applyFont="1" applyFill="1" applyBorder="1" applyAlignment="1">
      <alignment horizontal="center" vertical="center" wrapText="1"/>
    </xf>
    <xf numFmtId="0" fontId="26" fillId="6" borderId="0" xfId="0" applyFont="1" applyFill="1" applyAlignment="1">
      <alignment horizontal="left" vertical="center"/>
    </xf>
    <xf numFmtId="0" fontId="27" fillId="6" borderId="0" xfId="0" applyFont="1" applyFill="1" applyAlignment="1">
      <alignment horizontal="center" vertical="center"/>
    </xf>
    <xf numFmtId="2" fontId="27" fillId="6" borderId="0" xfId="0" applyNumberFormat="1" applyFont="1" applyFill="1" applyAlignment="1">
      <alignment horizontal="center" vertical="center"/>
    </xf>
    <xf numFmtId="0" fontId="6" fillId="0" borderId="1" xfId="0" applyFont="1" applyBorder="1" applyAlignment="1">
      <alignment horizontal="left" wrapText="1"/>
    </xf>
    <xf numFmtId="0" fontId="6" fillId="0" borderId="1" xfId="0" applyFont="1" applyBorder="1" applyAlignment="1">
      <alignment wrapText="1"/>
    </xf>
    <xf numFmtId="0" fontId="6" fillId="0" borderId="1" xfId="0" applyFont="1" applyBorder="1"/>
    <xf numFmtId="0" fontId="23" fillId="0" borderId="0" xfId="0" applyFont="1"/>
    <xf numFmtId="0" fontId="30" fillId="0" borderId="0" xfId="0" applyFont="1" applyFill="1" applyBorder="1" applyAlignment="1">
      <alignment vertical="center"/>
    </xf>
    <xf numFmtId="0" fontId="6" fillId="0" borderId="0" xfId="0" applyFont="1" applyFill="1"/>
    <xf numFmtId="167" fontId="0" fillId="0" borderId="0" xfId="0" applyNumberFormat="1" applyFill="1" applyBorder="1" applyAlignment="1">
      <alignment vertical="center"/>
    </xf>
    <xf numFmtId="0" fontId="31" fillId="0" borderId="0" xfId="0" applyFont="1" applyFill="1" applyBorder="1" applyAlignment="1">
      <alignment vertical="center"/>
    </xf>
    <xf numFmtId="0" fontId="0" fillId="0" borderId="0" xfId="0" applyFill="1" applyBorder="1"/>
    <xf numFmtId="167" fontId="32" fillId="0" borderId="0" xfId="0" applyNumberFormat="1" applyFont="1" applyFill="1" applyBorder="1" applyAlignment="1">
      <alignment vertical="center"/>
    </xf>
    <xf numFmtId="164" fontId="0" fillId="0" borderId="12" xfId="0" applyNumberFormat="1" applyFill="1" applyBorder="1" applyAlignment="1">
      <alignment vertical="center"/>
    </xf>
    <xf numFmtId="0" fontId="33" fillId="0" borderId="0" xfId="0" applyFont="1"/>
    <xf numFmtId="164" fontId="0" fillId="6" borderId="0" xfId="0" applyNumberFormat="1" applyFont="1" applyFill="1"/>
    <xf numFmtId="9" fontId="1" fillId="0" borderId="0" xfId="4" applyFont="1" applyFill="1" applyBorder="1" applyAlignment="1">
      <alignment horizontal="center"/>
    </xf>
    <xf numFmtId="0" fontId="23" fillId="0" borderId="0" xfId="0" applyFont="1" applyFill="1" applyBorder="1" applyAlignment="1">
      <alignment horizontal="left"/>
    </xf>
    <xf numFmtId="1" fontId="20" fillId="10" borderId="0" xfId="0" applyNumberFormat="1" applyFont="1" applyFill="1" applyBorder="1" applyAlignment="1">
      <alignment horizontal="right"/>
    </xf>
    <xf numFmtId="0" fontId="7" fillId="0" borderId="0" xfId="0" applyFont="1" applyFill="1" applyBorder="1" applyAlignment="1">
      <alignment horizontal="left"/>
    </xf>
    <xf numFmtId="0" fontId="1" fillId="0" borderId="0" xfId="0" applyFont="1" applyFill="1" applyBorder="1"/>
    <xf numFmtId="0" fontId="0" fillId="6" borderId="0" xfId="0" applyFont="1" applyFill="1"/>
    <xf numFmtId="0" fontId="0" fillId="6" borderId="0" xfId="0" applyFont="1" applyFill="1" applyAlignment="1">
      <alignment horizontal="right"/>
    </xf>
    <xf numFmtId="1" fontId="1" fillId="5" borderId="1" xfId="0" applyNumberFormat="1" applyFont="1" applyFill="1" applyBorder="1" applyAlignment="1">
      <alignment horizontal="center"/>
    </xf>
    <xf numFmtId="0" fontId="25" fillId="6" borderId="1" xfId="0" applyFont="1" applyFill="1" applyBorder="1" applyAlignment="1">
      <alignment horizontal="center"/>
    </xf>
    <xf numFmtId="0" fontId="0" fillId="6" borderId="0" xfId="0" applyFont="1" applyFill="1" applyAlignment="1"/>
    <xf numFmtId="0" fontId="0" fillId="6" borderId="0" xfId="0" applyFill="1"/>
    <xf numFmtId="3" fontId="1" fillId="0" borderId="0" xfId="0" applyNumberFormat="1" applyFont="1" applyFill="1" applyBorder="1" applyAlignment="1">
      <alignment horizontal="center" vertical="center"/>
    </xf>
    <xf numFmtId="0" fontId="0" fillId="0" borderId="0" xfId="0" applyFill="1" applyBorder="1" applyAlignment="1">
      <alignment horizontal="center"/>
    </xf>
    <xf numFmtId="0" fontId="0" fillId="6" borderId="0" xfId="0" applyFill="1" applyAlignment="1"/>
    <xf numFmtId="0" fontId="26" fillId="6" borderId="0" xfId="0" applyFont="1" applyFill="1" applyAlignment="1"/>
    <xf numFmtId="0" fontId="34" fillId="6" borderId="0" xfId="0" applyFont="1" applyFill="1" applyAlignment="1"/>
    <xf numFmtId="0" fontId="34" fillId="6" borderId="0" xfId="0" applyFont="1" applyFill="1" applyAlignment="1">
      <alignment horizontal="left"/>
    </xf>
    <xf numFmtId="0" fontId="0" fillId="6" borderId="0" xfId="0" applyFill="1" applyAlignment="1">
      <alignment horizontal="left"/>
    </xf>
    <xf numFmtId="0" fontId="6" fillId="0" borderId="0" xfId="0" applyFont="1" applyBorder="1"/>
    <xf numFmtId="0" fontId="0" fillId="0" borderId="0" xfId="0" applyAlignment="1">
      <alignment horizontal="center"/>
    </xf>
    <xf numFmtId="0" fontId="4" fillId="10" borderId="0" xfId="0" applyNumberFormat="1" applyFont="1" applyFill="1" applyBorder="1" applyAlignment="1" applyProtection="1"/>
    <xf numFmtId="0" fontId="35" fillId="10" borderId="0" xfId="0" applyNumberFormat="1" applyFont="1" applyFill="1" applyBorder="1" applyAlignment="1" applyProtection="1"/>
    <xf numFmtId="0" fontId="36" fillId="0" borderId="0" xfId="6" applyFont="1" applyFill="1" applyBorder="1" applyAlignment="1">
      <alignment horizontal="left"/>
    </xf>
    <xf numFmtId="9" fontId="29" fillId="0" borderId="0" xfId="7" applyFont="1" applyFill="1" applyBorder="1" applyAlignment="1">
      <alignment horizontal="center" vertical="center"/>
    </xf>
    <xf numFmtId="2" fontId="2" fillId="0" borderId="0" xfId="0" applyNumberFormat="1" applyFont="1" applyFill="1" applyBorder="1" applyAlignment="1" applyProtection="1"/>
    <xf numFmtId="0" fontId="0" fillId="0" borderId="0" xfId="0" applyFont="1" applyFill="1" applyBorder="1" applyAlignment="1">
      <alignment horizontal="left" wrapText="1"/>
    </xf>
    <xf numFmtId="0" fontId="20" fillId="10" borderId="0" xfId="0" applyFont="1" applyFill="1"/>
    <xf numFmtId="0" fontId="18" fillId="0" borderId="0" xfId="0" applyFont="1" applyAlignment="1">
      <alignment horizontal="center"/>
    </xf>
    <xf numFmtId="0" fontId="35" fillId="10" borderId="0" xfId="0" applyNumberFormat="1" applyFont="1" applyFill="1" applyBorder="1" applyAlignment="1" applyProtection="1">
      <alignment horizontal="center"/>
    </xf>
    <xf numFmtId="0" fontId="35" fillId="10" borderId="0"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xf>
    <xf numFmtId="0" fontId="34" fillId="0" borderId="0" xfId="0" applyFont="1" applyAlignment="1">
      <alignment wrapText="1"/>
    </xf>
    <xf numFmtId="0" fontId="1" fillId="0" borderId="0" xfId="0" applyFont="1" applyFill="1" applyAlignment="1">
      <alignment wrapText="1"/>
    </xf>
    <xf numFmtId="0" fontId="28" fillId="0" borderId="0" xfId="6" applyFont="1" applyFill="1" applyBorder="1" applyAlignment="1">
      <alignment vertical="center"/>
    </xf>
    <xf numFmtId="0" fontId="37" fillId="7" borderId="0" xfId="6" applyFont="1" applyFill="1" applyBorder="1" applyAlignment="1">
      <alignment horizontal="right" vertical="center"/>
    </xf>
    <xf numFmtId="0" fontId="35" fillId="7" borderId="0" xfId="6" applyFont="1" applyFill="1" applyBorder="1" applyAlignment="1">
      <alignment horizontal="right" vertical="center"/>
    </xf>
    <xf numFmtId="0" fontId="38" fillId="7" borderId="0" xfId="6" applyFont="1" applyFill="1" applyBorder="1" applyAlignment="1">
      <alignment horizontal="center" vertical="center"/>
    </xf>
    <xf numFmtId="0" fontId="35" fillId="7" borderId="0" xfId="6" applyFont="1" applyFill="1" applyBorder="1" applyAlignment="1">
      <alignment horizontal="left" vertical="center"/>
    </xf>
    <xf numFmtId="0" fontId="1" fillId="11" borderId="0" xfId="0" applyFont="1" applyFill="1" applyAlignment="1">
      <alignment wrapText="1"/>
    </xf>
    <xf numFmtId="0" fontId="0" fillId="11" borderId="0" xfId="0" applyFill="1"/>
    <xf numFmtId="172" fontId="35" fillId="7" borderId="0" xfId="6" applyNumberFormat="1" applyFont="1" applyFill="1" applyBorder="1" applyAlignment="1">
      <alignment horizontal="right" vertical="center"/>
    </xf>
    <xf numFmtId="172" fontId="37" fillId="7" borderId="0" xfId="6" applyNumberFormat="1" applyFont="1" applyFill="1" applyBorder="1" applyAlignment="1">
      <alignment horizontal="right" vertical="center"/>
    </xf>
    <xf numFmtId="172" fontId="0" fillId="11" borderId="0" xfId="0" applyNumberFormat="1" applyFill="1"/>
    <xf numFmtId="164" fontId="0" fillId="11" borderId="0" xfId="0" applyNumberFormat="1" applyFill="1"/>
    <xf numFmtId="164" fontId="0" fillId="0" borderId="0" xfId="5" applyNumberFormat="1" applyFont="1"/>
    <xf numFmtId="173" fontId="0" fillId="0" borderId="0" xfId="8" applyNumberFormat="1" applyFont="1"/>
    <xf numFmtId="0" fontId="20" fillId="0" borderId="0" xfId="0" applyFont="1" applyFill="1"/>
    <xf numFmtId="0" fontId="35" fillId="0" borderId="0" xfId="0" applyNumberFormat="1" applyFont="1" applyFill="1" applyBorder="1" applyAlignment="1" applyProtection="1">
      <alignment horizontal="center"/>
    </xf>
    <xf numFmtId="0" fontId="35" fillId="0" borderId="0" xfId="0" applyNumberFormat="1" applyFont="1" applyFill="1" applyBorder="1" applyAlignment="1" applyProtection="1">
      <alignment horizontal="center" wrapText="1"/>
    </xf>
    <xf numFmtId="0" fontId="35" fillId="0" borderId="0" xfId="0" applyNumberFormat="1" applyFont="1" applyFill="1" applyBorder="1" applyAlignment="1" applyProtection="1"/>
    <xf numFmtId="0" fontId="0" fillId="0" borderId="0" xfId="0" applyFont="1" applyFill="1"/>
    <xf numFmtId="0" fontId="29" fillId="0" borderId="0" xfId="0" applyNumberFormat="1" applyFont="1" applyFill="1" applyBorder="1" applyAlignment="1" applyProtection="1"/>
    <xf numFmtId="173" fontId="0" fillId="0" borderId="0" xfId="8" applyNumberFormat="1" applyFont="1" applyFill="1"/>
    <xf numFmtId="0" fontId="28" fillId="0" borderId="0" xfId="0" applyNumberFormat="1" applyFont="1" applyFill="1" applyBorder="1" applyAlignment="1" applyProtection="1"/>
    <xf numFmtId="173" fontId="28" fillId="0" borderId="0" xfId="0" applyNumberFormat="1" applyFont="1" applyFill="1" applyBorder="1" applyAlignment="1" applyProtection="1"/>
    <xf numFmtId="0" fontId="28" fillId="0" borderId="0" xfId="0" applyNumberFormat="1" applyFont="1" applyFill="1" applyBorder="1" applyAlignment="1" applyProtection="1">
      <alignment horizontal="center"/>
    </xf>
    <xf numFmtId="0" fontId="28" fillId="0" borderId="0" xfId="0" applyNumberFormat="1" applyFont="1" applyFill="1" applyBorder="1" applyAlignment="1" applyProtection="1">
      <alignment horizontal="left"/>
    </xf>
    <xf numFmtId="170" fontId="0" fillId="0" borderId="0" xfId="0" applyNumberFormat="1" applyFont="1" applyFill="1" applyAlignment="1">
      <alignment horizontal="left" vertical="center"/>
    </xf>
    <xf numFmtId="0" fontId="28" fillId="0" borderId="0" xfId="0" applyNumberFormat="1" applyFont="1" applyFill="1" applyBorder="1" applyAlignment="1" applyProtection="1">
      <alignment horizontal="center" wrapText="1"/>
    </xf>
    <xf numFmtId="0" fontId="18" fillId="0" borderId="0" xfId="0" applyFont="1" applyAlignment="1">
      <alignment horizontal="left"/>
    </xf>
    <xf numFmtId="9" fontId="28" fillId="0" borderId="0" xfId="7" applyFont="1" applyFill="1" applyBorder="1" applyAlignment="1">
      <alignment horizontal="left"/>
    </xf>
    <xf numFmtId="0" fontId="2" fillId="0" borderId="0" xfId="0" applyNumberFormat="1" applyFont="1" applyFill="1" applyBorder="1" applyAlignment="1" applyProtection="1">
      <alignment horizontal="left"/>
    </xf>
    <xf numFmtId="0" fontId="0" fillId="0" borderId="0" xfId="0" applyAlignment="1">
      <alignment horizontal="left"/>
    </xf>
    <xf numFmtId="43" fontId="0" fillId="0" borderId="0" xfId="0" applyNumberFormat="1"/>
    <xf numFmtId="173" fontId="0" fillId="0" borderId="0" xfId="0" applyNumberFormat="1"/>
    <xf numFmtId="0" fontId="39" fillId="0" borderId="0" xfId="0" applyNumberFormat="1" applyFont="1" applyFill="1" applyBorder="1" applyAlignment="1" applyProtection="1">
      <alignment horizontal="center" wrapText="1"/>
    </xf>
    <xf numFmtId="0" fontId="14" fillId="0" borderId="1" xfId="0" applyFont="1" applyBorder="1" applyAlignment="1">
      <alignment horizontal="left" vertical="center" wrapText="1"/>
    </xf>
    <xf numFmtId="6" fontId="0" fillId="0" borderId="0" xfId="0" applyNumberFormat="1"/>
    <xf numFmtId="164" fontId="6" fillId="6" borderId="0" xfId="0" applyNumberFormat="1" applyFont="1" applyFill="1" applyAlignment="1">
      <alignment vertical="center"/>
    </xf>
    <xf numFmtId="0" fontId="12" fillId="12" borderId="25" xfId="0" applyFont="1" applyFill="1" applyBorder="1" applyAlignment="1">
      <alignment horizontal="center" vertical="center"/>
    </xf>
    <xf numFmtId="0" fontId="12" fillId="12" borderId="25" xfId="0" applyFont="1" applyFill="1" applyBorder="1" applyAlignment="1">
      <alignment horizontal="center" vertical="center" wrapText="1"/>
    </xf>
    <xf numFmtId="0" fontId="11" fillId="0" borderId="6" xfId="0" applyFont="1" applyBorder="1" applyAlignment="1">
      <alignment vertical="center"/>
    </xf>
    <xf numFmtId="0" fontId="12" fillId="12" borderId="6" xfId="0" applyFont="1" applyFill="1" applyBorder="1" applyAlignment="1">
      <alignment vertical="center"/>
    </xf>
    <xf numFmtId="0" fontId="9" fillId="12" borderId="1" xfId="0" applyFont="1" applyFill="1" applyBorder="1" applyAlignment="1">
      <alignment horizontal="center" vertical="center" wrapText="1"/>
    </xf>
    <xf numFmtId="0" fontId="13" fillId="12" borderId="1" xfId="0" applyFont="1" applyFill="1" applyBorder="1"/>
    <xf numFmtId="0" fontId="13" fillId="12" borderId="1" xfId="0" applyFont="1" applyFill="1" applyBorder="1" applyAlignment="1">
      <alignment wrapText="1"/>
    </xf>
    <xf numFmtId="0" fontId="6" fillId="0" borderId="0" xfId="0" applyFont="1" applyBorder="1" applyAlignment="1">
      <alignment wrapText="1"/>
    </xf>
    <xf numFmtId="0" fontId="12" fillId="12" borderId="1" xfId="0" applyFont="1" applyFill="1" applyBorder="1" applyAlignment="1">
      <alignment horizontal="center" vertical="center" wrapText="1"/>
    </xf>
    <xf numFmtId="0" fontId="30" fillId="0" borderId="0" xfId="0" applyFont="1" applyFill="1" applyBorder="1" applyAlignment="1">
      <alignment horizontal="left" vertical="center"/>
    </xf>
    <xf numFmtId="0" fontId="42" fillId="0" borderId="0" xfId="0" applyFont="1"/>
    <xf numFmtId="0" fontId="10" fillId="0" borderId="1" xfId="0" applyFont="1" applyBorder="1" applyAlignment="1">
      <alignment vertical="center" wrapText="1"/>
    </xf>
    <xf numFmtId="0" fontId="9" fillId="12" borderId="1" xfId="0" applyFont="1" applyFill="1" applyBorder="1" applyAlignment="1">
      <alignment horizontal="center" vertical="center" wrapText="1"/>
    </xf>
    <xf numFmtId="0" fontId="12" fillId="0" borderId="0" xfId="0" applyFont="1" applyFill="1" applyBorder="1" applyAlignment="1">
      <alignment vertical="center"/>
    </xf>
    <xf numFmtId="8" fontId="12" fillId="0" borderId="0" xfId="0" applyNumberFormat="1" applyFont="1" applyFill="1" applyBorder="1" applyAlignment="1">
      <alignment horizontal="center" vertical="center"/>
    </xf>
    <xf numFmtId="0" fontId="43" fillId="0" borderId="0" xfId="0" applyFont="1" applyFill="1" applyBorder="1" applyAlignment="1">
      <alignment vertical="center"/>
    </xf>
    <xf numFmtId="164" fontId="35" fillId="7" borderId="0" xfId="6" applyNumberFormat="1" applyFont="1" applyFill="1" applyBorder="1" applyAlignment="1">
      <alignment horizontal="right" vertical="center"/>
    </xf>
    <xf numFmtId="0" fontId="41" fillId="0" borderId="0" xfId="0" applyFont="1"/>
    <xf numFmtId="167" fontId="6" fillId="6" borderId="0" xfId="0" applyNumberFormat="1" applyFont="1" applyFill="1" applyBorder="1" applyAlignment="1">
      <alignment vertical="center"/>
    </xf>
    <xf numFmtId="174" fontId="11" fillId="0" borderId="7" xfId="0" applyNumberFormat="1" applyFont="1" applyBorder="1" applyAlignment="1">
      <alignment horizontal="center" vertical="center"/>
    </xf>
    <xf numFmtId="174" fontId="12" fillId="12" borderId="7" xfId="0" applyNumberFormat="1" applyFont="1" applyFill="1" applyBorder="1" applyAlignment="1">
      <alignment horizontal="center" vertical="center"/>
    </xf>
    <xf numFmtId="6" fontId="0" fillId="0" borderId="0" xfId="0" applyNumberFormat="1" applyFill="1" applyBorder="1"/>
    <xf numFmtId="0" fontId="1" fillId="0" borderId="0" xfId="0" applyFont="1" applyFill="1" applyBorder="1" applyAlignment="1">
      <alignment horizontal="left" wrapText="1"/>
    </xf>
    <xf numFmtId="175" fontId="23" fillId="9" borderId="9" xfId="0" applyNumberFormat="1" applyFont="1" applyFill="1" applyBorder="1" applyAlignment="1">
      <alignment horizontal="center" vertical="center"/>
    </xf>
    <xf numFmtId="175" fontId="6" fillId="0" borderId="19" xfId="0" applyNumberFormat="1" applyFont="1" applyFill="1" applyBorder="1" applyAlignment="1">
      <alignment horizontal="center" vertical="center"/>
    </xf>
    <xf numFmtId="175" fontId="6" fillId="0" borderId="18" xfId="0" applyNumberFormat="1" applyFont="1" applyFill="1" applyBorder="1" applyAlignment="1">
      <alignment horizontal="center" vertical="center"/>
    </xf>
    <xf numFmtId="169" fontId="6" fillId="0" borderId="12" xfId="0" applyNumberFormat="1" applyFont="1" applyFill="1" applyBorder="1" applyAlignment="1">
      <alignment horizontal="center" vertical="center"/>
    </xf>
    <xf numFmtId="169" fontId="6" fillId="0" borderId="11" xfId="0" applyNumberFormat="1" applyFont="1" applyFill="1" applyBorder="1" applyAlignment="1">
      <alignment horizontal="center" vertical="center"/>
    </xf>
    <xf numFmtId="169" fontId="25" fillId="6" borderId="0" xfId="0" applyNumberFormat="1" applyFont="1" applyFill="1" applyBorder="1" applyAlignment="1">
      <alignment vertical="center"/>
    </xf>
    <xf numFmtId="169" fontId="6" fillId="6" borderId="0" xfId="0" applyNumberFormat="1" applyFont="1" applyFill="1" applyBorder="1" applyAlignment="1">
      <alignment vertical="center"/>
    </xf>
    <xf numFmtId="168" fontId="6" fillId="0" borderId="11" xfId="0" applyNumberFormat="1" applyFont="1" applyFill="1" applyBorder="1" applyAlignment="1">
      <alignment horizontal="center" vertical="center"/>
    </xf>
    <xf numFmtId="166" fontId="0" fillId="0" borderId="0" xfId="0" applyNumberFormat="1"/>
    <xf numFmtId="0" fontId="9" fillId="12" borderId="2" xfId="0" applyFont="1" applyFill="1" applyBorder="1" applyAlignment="1">
      <alignment horizontal="center" vertical="center" wrapText="1"/>
    </xf>
    <xf numFmtId="169" fontId="6" fillId="6" borderId="0" xfId="0" applyNumberFormat="1" applyFont="1" applyFill="1" applyAlignment="1">
      <alignment vertical="center"/>
    </xf>
    <xf numFmtId="175" fontId="6" fillId="6" borderId="0" xfId="0" applyNumberFormat="1" applyFont="1" applyFill="1" applyAlignment="1">
      <alignment vertical="center"/>
    </xf>
    <xf numFmtId="165" fontId="41" fillId="9" borderId="28" xfId="0" applyNumberFormat="1" applyFont="1" applyFill="1" applyBorder="1"/>
    <xf numFmtId="0" fontId="21" fillId="0" borderId="0" xfId="0" applyFont="1" applyFill="1"/>
    <xf numFmtId="0" fontId="44" fillId="0" borderId="0" xfId="0" applyFont="1" applyFill="1"/>
    <xf numFmtId="0" fontId="45" fillId="0" borderId="0" xfId="0" applyFont="1"/>
    <xf numFmtId="0" fontId="41" fillId="0" borderId="0" xfId="0" quotePrefix="1" applyFont="1"/>
    <xf numFmtId="0" fontId="46" fillId="0" borderId="0" xfId="0" applyFont="1"/>
    <xf numFmtId="164" fontId="41" fillId="9" borderId="28" xfId="5" applyNumberFormat="1" applyFont="1" applyFill="1" applyBorder="1"/>
    <xf numFmtId="0" fontId="44" fillId="0" borderId="0" xfId="0" applyFont="1"/>
    <xf numFmtId="0" fontId="47" fillId="0" borderId="0" xfId="0" applyFont="1"/>
    <xf numFmtId="2" fontId="8" fillId="9" borderId="28" xfId="0" applyNumberFormat="1" applyFont="1" applyFill="1" applyBorder="1"/>
    <xf numFmtId="2" fontId="41" fillId="9" borderId="28" xfId="0" applyNumberFormat="1" applyFont="1" applyFill="1" applyBorder="1"/>
    <xf numFmtId="2" fontId="49" fillId="9" borderId="28" xfId="0" applyNumberFormat="1" applyFont="1" applyFill="1" applyBorder="1"/>
    <xf numFmtId="0" fontId="49" fillId="9" borderId="28" xfId="0" applyFont="1" applyFill="1" applyBorder="1"/>
    <xf numFmtId="0" fontId="50" fillId="13" borderId="29" xfId="0" applyFont="1" applyFill="1" applyBorder="1"/>
    <xf numFmtId="0" fontId="51" fillId="0" borderId="0" xfId="0" applyFont="1"/>
    <xf numFmtId="43" fontId="0" fillId="0" borderId="0" xfId="8" applyFont="1"/>
    <xf numFmtId="173" fontId="33" fillId="0" borderId="0" xfId="8" applyNumberFormat="1" applyFont="1"/>
    <xf numFmtId="0" fontId="1" fillId="0" borderId="0" xfId="0" applyFont="1" applyAlignment="1">
      <alignment horizontal="center" vertical="center"/>
    </xf>
    <xf numFmtId="0" fontId="33" fillId="0" borderId="34" xfId="0" applyFont="1" applyFill="1" applyBorder="1" applyAlignment="1">
      <alignment horizontal="center"/>
    </xf>
    <xf numFmtId="173" fontId="6" fillId="0" borderId="35" xfId="8" applyNumberFormat="1" applyFont="1" applyFill="1" applyBorder="1"/>
    <xf numFmtId="173" fontId="0" fillId="0" borderId="1" xfId="8" applyNumberFormat="1" applyFont="1" applyFill="1" applyBorder="1"/>
    <xf numFmtId="173" fontId="0" fillId="0" borderId="37" xfId="8" applyNumberFormat="1" applyFont="1" applyFill="1" applyBorder="1"/>
    <xf numFmtId="173" fontId="0" fillId="0" borderId="35" xfId="8" applyNumberFormat="1" applyFont="1" applyFill="1" applyBorder="1"/>
    <xf numFmtId="173" fontId="0" fillId="0" borderId="4" xfId="8" applyNumberFormat="1" applyFont="1" applyFill="1" applyBorder="1"/>
    <xf numFmtId="0" fontId="0" fillId="0" borderId="39" xfId="0" applyFill="1" applyBorder="1" applyAlignment="1">
      <alignment horizontal="center"/>
    </xf>
    <xf numFmtId="173" fontId="20" fillId="10" borderId="35" xfId="8" applyNumberFormat="1" applyFont="1" applyFill="1" applyBorder="1" applyAlignment="1">
      <alignment horizontal="center" vertical="center"/>
    </xf>
    <xf numFmtId="173" fontId="20" fillId="10" borderId="1" xfId="8" applyNumberFormat="1" applyFont="1" applyFill="1" applyBorder="1" applyAlignment="1">
      <alignment horizontal="center" vertical="center"/>
    </xf>
    <xf numFmtId="173" fontId="20" fillId="10" borderId="4" xfId="8" applyNumberFormat="1" applyFont="1" applyFill="1" applyBorder="1" applyAlignment="1">
      <alignment horizontal="center" vertical="center"/>
    </xf>
    <xf numFmtId="173" fontId="20" fillId="10" borderId="1" xfId="8" applyNumberFormat="1" applyFont="1" applyFill="1" applyBorder="1" applyAlignment="1">
      <alignment horizontal="center" vertical="center" wrapText="1"/>
    </xf>
    <xf numFmtId="173" fontId="20" fillId="10" borderId="37" xfId="8" applyNumberFormat="1" applyFont="1" applyFill="1" applyBorder="1" applyAlignment="1">
      <alignment horizontal="center" vertical="center" wrapText="1"/>
    </xf>
    <xf numFmtId="0" fontId="48" fillId="2" borderId="0" xfId="0" applyFont="1" applyFill="1"/>
    <xf numFmtId="0" fontId="48" fillId="0" borderId="0" xfId="0" applyFont="1" applyFill="1"/>
    <xf numFmtId="0" fontId="41" fillId="0" borderId="0" xfId="0" quotePrefix="1" applyFont="1" applyAlignment="1">
      <alignment horizontal="left" indent="1"/>
    </xf>
    <xf numFmtId="0" fontId="47" fillId="0" borderId="0" xfId="0" quotePrefix="1" applyFont="1"/>
    <xf numFmtId="168" fontId="41" fillId="9" borderId="28" xfId="5" applyNumberFormat="1" applyFont="1" applyFill="1" applyBorder="1"/>
    <xf numFmtId="3" fontId="41" fillId="0" borderId="0" xfId="0" quotePrefix="1" applyNumberFormat="1" applyFont="1"/>
    <xf numFmtId="0" fontId="41" fillId="0" borderId="0" xfId="0" applyFont="1" applyFill="1"/>
    <xf numFmtId="0" fontId="55" fillId="0" borderId="0" xfId="0" applyFont="1" applyFill="1"/>
    <xf numFmtId="166" fontId="0" fillId="0" borderId="0" xfId="4" applyNumberFormat="1" applyFont="1"/>
    <xf numFmtId="0" fontId="56" fillId="0" borderId="0" xfId="0" applyFont="1" applyFill="1"/>
    <xf numFmtId="0" fontId="57" fillId="0" borderId="0" xfId="0" applyFont="1" applyAlignment="1">
      <alignment horizontal="right"/>
    </xf>
    <xf numFmtId="2" fontId="58" fillId="9" borderId="28" xfId="0" applyNumberFormat="1" applyFont="1" applyFill="1" applyBorder="1"/>
    <xf numFmtId="43" fontId="0" fillId="0" borderId="0" xfId="8" applyNumberFormat="1" applyFont="1" applyFill="1"/>
    <xf numFmtId="43" fontId="0" fillId="0" borderId="0" xfId="8" applyNumberFormat="1" applyFont="1" applyFill="1" applyAlignment="1">
      <alignment horizontal="left" indent="2"/>
    </xf>
    <xf numFmtId="173" fontId="0" fillId="0" borderId="0" xfId="0" applyNumberFormat="1" applyAlignment="1">
      <alignment horizontal="center"/>
    </xf>
    <xf numFmtId="0" fontId="0" fillId="0" borderId="0" xfId="0" applyAlignment="1">
      <alignment horizontal="center"/>
    </xf>
    <xf numFmtId="0" fontId="0" fillId="0" borderId="33" xfId="0" applyBorder="1" applyAlignment="1">
      <alignment horizontal="center"/>
    </xf>
    <xf numFmtId="0" fontId="0" fillId="0" borderId="54" xfId="0" applyBorder="1" applyAlignment="1">
      <alignment horizontal="center"/>
    </xf>
    <xf numFmtId="0" fontId="0" fillId="0" borderId="30" xfId="0" applyBorder="1" applyAlignment="1">
      <alignment horizontal="center"/>
    </xf>
    <xf numFmtId="0" fontId="0" fillId="0" borderId="32" xfId="0" applyBorder="1" applyAlignment="1">
      <alignment horizontal="center"/>
    </xf>
    <xf numFmtId="0" fontId="59" fillId="0" borderId="40" xfId="0" applyFont="1" applyBorder="1" applyAlignment="1">
      <alignment horizontal="center"/>
    </xf>
    <xf numFmtId="3" fontId="0" fillId="0" borderId="50" xfId="0" applyNumberFormat="1" applyBorder="1" applyAlignment="1">
      <alignment horizontal="center"/>
    </xf>
    <xf numFmtId="3" fontId="0" fillId="0" borderId="22" xfId="0" applyNumberFormat="1" applyBorder="1" applyAlignment="1">
      <alignment horizontal="center"/>
    </xf>
    <xf numFmtId="3" fontId="0" fillId="0" borderId="55" xfId="0" applyNumberFormat="1" applyBorder="1" applyAlignment="1">
      <alignment horizontal="center"/>
    </xf>
    <xf numFmtId="3" fontId="0" fillId="0" borderId="53" xfId="0" applyNumberFormat="1" applyBorder="1" applyAlignment="1">
      <alignment horizontal="center"/>
    </xf>
    <xf numFmtId="0" fontId="59" fillId="0" borderId="39" xfId="0" applyFont="1" applyBorder="1" applyAlignment="1">
      <alignment horizontal="center"/>
    </xf>
    <xf numFmtId="3" fontId="0" fillId="0" borderId="37" xfId="0" applyNumberFormat="1" applyBorder="1" applyAlignment="1">
      <alignment horizontal="center"/>
    </xf>
    <xf numFmtId="3" fontId="0" fillId="0" borderId="26" xfId="0" applyNumberFormat="1" applyBorder="1" applyAlignment="1">
      <alignment horizontal="center"/>
    </xf>
    <xf numFmtId="3" fontId="0" fillId="0" borderId="35" xfId="0" applyNumberFormat="1" applyBorder="1" applyAlignment="1">
      <alignment horizontal="center"/>
    </xf>
    <xf numFmtId="3" fontId="0" fillId="0" borderId="4" xfId="0" applyNumberFormat="1" applyBorder="1" applyAlignment="1">
      <alignment horizontal="center"/>
    </xf>
    <xf numFmtId="0" fontId="59" fillId="0" borderId="34" xfId="0" applyFont="1" applyBorder="1" applyAlignment="1">
      <alignment horizontal="center"/>
    </xf>
    <xf numFmtId="3" fontId="0" fillId="0" borderId="33" xfId="0" applyNumberFormat="1" applyBorder="1" applyAlignment="1">
      <alignment horizontal="center"/>
    </xf>
    <xf numFmtId="3" fontId="0" fillId="0" borderId="54" xfId="0" applyNumberFormat="1" applyBorder="1" applyAlignment="1">
      <alignment horizontal="center"/>
    </xf>
    <xf numFmtId="3" fontId="0" fillId="0" borderId="30" xfId="0" applyNumberFormat="1" applyBorder="1" applyAlignment="1">
      <alignment horizontal="center"/>
    </xf>
    <xf numFmtId="0" fontId="20" fillId="10" borderId="16" xfId="0" applyFont="1" applyFill="1" applyBorder="1" applyAlignment="1">
      <alignment horizontal="center" vertical="center"/>
    </xf>
    <xf numFmtId="0" fontId="0" fillId="0" borderId="0" xfId="0" applyAlignment="1">
      <alignment horizontal="center"/>
    </xf>
    <xf numFmtId="0" fontId="41" fillId="0" borderId="0" xfId="0" quotePrefix="1" applyFont="1" applyAlignment="1">
      <alignment horizontal="left" indent="2"/>
    </xf>
    <xf numFmtId="0" fontId="60" fillId="0" borderId="0" xfId="0" applyFont="1"/>
    <xf numFmtId="0" fontId="61" fillId="0" borderId="0" xfId="0" applyFont="1"/>
    <xf numFmtId="1" fontId="0" fillId="0" borderId="0" xfId="0" applyNumberFormat="1"/>
    <xf numFmtId="0" fontId="62" fillId="0" borderId="0" xfId="0" applyFont="1"/>
    <xf numFmtId="0" fontId="63" fillId="0" borderId="0" xfId="0" applyFont="1"/>
    <xf numFmtId="0" fontId="0" fillId="0" borderId="0" xfId="0" applyAlignment="1">
      <alignment wrapText="1"/>
    </xf>
    <xf numFmtId="173" fontId="28" fillId="0" borderId="0" xfId="8" applyNumberFormat="1" applyFont="1" applyFill="1" applyBorder="1" applyAlignment="1" applyProtection="1">
      <alignment horizontal="center" wrapText="1"/>
    </xf>
    <xf numFmtId="173" fontId="28" fillId="0" borderId="0" xfId="8" applyNumberFormat="1" applyFont="1" applyFill="1" applyBorder="1" applyAlignment="1" applyProtection="1"/>
    <xf numFmtId="2" fontId="28" fillId="0" borderId="0" xfId="7" applyNumberFormat="1" applyFont="1" applyFill="1" applyBorder="1" applyAlignment="1">
      <alignment horizontal="right" vertical="center"/>
    </xf>
    <xf numFmtId="0" fontId="2" fillId="0" borderId="0" xfId="0" applyNumberFormat="1" applyFont="1" applyFill="1" applyBorder="1" applyAlignment="1" applyProtection="1">
      <alignment horizontal="center"/>
    </xf>
    <xf numFmtId="164" fontId="0" fillId="0" borderId="0" xfId="0" applyNumberFormat="1" applyAlignment="1">
      <alignment horizontal="right"/>
    </xf>
    <xf numFmtId="164" fontId="0" fillId="0" borderId="0" xfId="8" applyNumberFormat="1" applyFont="1" applyFill="1"/>
    <xf numFmtId="1" fontId="28" fillId="0" borderId="0" xfId="7" applyNumberFormat="1" applyFont="1" applyFill="1" applyBorder="1" applyAlignment="1">
      <alignment horizontal="right" vertical="center"/>
    </xf>
    <xf numFmtId="167" fontId="41" fillId="9" borderId="28" xfId="0" applyNumberFormat="1" applyFont="1" applyFill="1" applyBorder="1"/>
    <xf numFmtId="167" fontId="8" fillId="9" borderId="28" xfId="0" applyNumberFormat="1" applyFont="1" applyFill="1" applyBorder="1"/>
    <xf numFmtId="2" fontId="44" fillId="0" borderId="0" xfId="0" applyNumberFormat="1" applyFont="1"/>
    <xf numFmtId="0" fontId="0" fillId="0" borderId="0" xfId="0" applyFont="1" applyFill="1" applyBorder="1" applyAlignment="1">
      <alignment horizontal="right" wrapText="1"/>
    </xf>
    <xf numFmtId="9" fontId="64" fillId="9" borderId="28" xfId="0" applyNumberFormat="1" applyFont="1" applyFill="1" applyBorder="1"/>
    <xf numFmtId="0" fontId="0" fillId="0" borderId="0" xfId="0" applyAlignment="1">
      <alignment horizontal="center"/>
    </xf>
    <xf numFmtId="0" fontId="45" fillId="0" borderId="56" xfId="0" applyFont="1" applyBorder="1"/>
    <xf numFmtId="166" fontId="8" fillId="9" borderId="59" xfId="4" applyNumberFormat="1" applyFont="1" applyFill="1" applyBorder="1"/>
    <xf numFmtId="173" fontId="8" fillId="9" borderId="57" xfId="8" applyNumberFormat="1" applyFont="1" applyFill="1" applyBorder="1"/>
    <xf numFmtId="0" fontId="44" fillId="0" borderId="60" xfId="0" applyFont="1" applyBorder="1"/>
    <xf numFmtId="1" fontId="64" fillId="9" borderId="57" xfId="0" applyNumberFormat="1" applyFont="1" applyFill="1" applyBorder="1"/>
    <xf numFmtId="166" fontId="0" fillId="9" borderId="57" xfId="4" applyNumberFormat="1" applyFont="1" applyFill="1" applyBorder="1" applyAlignment="1">
      <alignment horizontal="center"/>
    </xf>
    <xf numFmtId="173" fontId="0" fillId="0" borderId="0" xfId="8" applyNumberFormat="1" applyFont="1" applyAlignment="1">
      <alignment horizontal="left"/>
    </xf>
    <xf numFmtId="164" fontId="28" fillId="0" borderId="0" xfId="0" applyNumberFormat="1" applyFont="1" applyFill="1" applyBorder="1" applyAlignment="1" applyProtection="1">
      <alignment horizontal="right" wrapText="1"/>
    </xf>
    <xf numFmtId="1" fontId="64" fillId="9" borderId="28" xfId="0" applyNumberFormat="1" applyFont="1" applyFill="1" applyBorder="1" applyAlignment="1">
      <alignment horizontal="right"/>
    </xf>
    <xf numFmtId="0" fontId="65" fillId="0" borderId="0" xfId="0" applyFont="1" applyFill="1"/>
    <xf numFmtId="0" fontId="65" fillId="0" borderId="0" xfId="0" applyFont="1"/>
    <xf numFmtId="164" fontId="65" fillId="9" borderId="57" xfId="0" applyNumberFormat="1" applyFont="1" applyFill="1" applyBorder="1"/>
    <xf numFmtId="167" fontId="0" fillId="0" borderId="0" xfId="0" applyNumberFormat="1" applyFont="1" applyFill="1"/>
    <xf numFmtId="0" fontId="0" fillId="0" borderId="0" xfId="0" quotePrefix="1" applyFont="1" applyFill="1" applyAlignment="1">
      <alignment horizontal="right"/>
    </xf>
    <xf numFmtId="0" fontId="66" fillId="0" borderId="0" xfId="0" applyFont="1" applyAlignment="1">
      <alignment horizontal="right"/>
    </xf>
    <xf numFmtId="0" fontId="41" fillId="0" borderId="0" xfId="0" quotePrefix="1" applyFont="1" applyAlignment="1">
      <alignment horizontal="left"/>
    </xf>
    <xf numFmtId="9" fontId="8" fillId="9" borderId="58" xfId="0" applyNumberFormat="1" applyFont="1" applyFill="1" applyBorder="1"/>
    <xf numFmtId="9" fontId="65" fillId="9" borderId="61" xfId="0" applyNumberFormat="1" applyFont="1" applyFill="1" applyBorder="1"/>
    <xf numFmtId="173" fontId="28" fillId="0" borderId="0" xfId="8" applyNumberFormat="1" applyFont="1" applyFill="1" applyBorder="1" applyAlignment="1" applyProtection="1">
      <alignment horizontal="right" wrapText="1"/>
    </xf>
    <xf numFmtId="0" fontId="0" fillId="0" borderId="0" xfId="0" applyFont="1" applyFill="1" applyBorder="1" applyAlignment="1">
      <alignment horizontal="right" wrapText="1" indent="1"/>
    </xf>
    <xf numFmtId="170" fontId="0" fillId="0" borderId="0" xfId="0" applyNumberFormat="1" applyFont="1" applyFill="1" applyAlignment="1">
      <alignment horizontal="right" vertical="center"/>
    </xf>
    <xf numFmtId="0" fontId="0" fillId="0" borderId="0" xfId="0" applyAlignment="1">
      <alignment horizontal="right"/>
    </xf>
    <xf numFmtId="164" fontId="0" fillId="0" borderId="0" xfId="5" applyNumberFormat="1" applyFont="1" applyAlignment="1">
      <alignment horizontal="right"/>
    </xf>
    <xf numFmtId="0" fontId="20" fillId="10" borderId="16" xfId="0" applyFont="1" applyFill="1" applyBorder="1" applyAlignment="1">
      <alignment horizontal="center" vertical="center"/>
    </xf>
    <xf numFmtId="0" fontId="0" fillId="0" borderId="0" xfId="0" applyAlignment="1">
      <alignment horizontal="center"/>
    </xf>
    <xf numFmtId="10" fontId="1" fillId="0" borderId="0" xfId="4" applyNumberFormat="1" applyFont="1" applyAlignment="1">
      <alignment horizontal="center"/>
    </xf>
    <xf numFmtId="164" fontId="6" fillId="6" borderId="0" xfId="0" applyNumberFormat="1" applyFont="1" applyFill="1" applyAlignment="1">
      <alignment horizontal="center" vertical="center"/>
    </xf>
    <xf numFmtId="14" fontId="8" fillId="9" borderId="58" xfId="0" applyNumberFormat="1" applyFont="1" applyFill="1" applyBorder="1"/>
    <xf numFmtId="164" fontId="0" fillId="0" borderId="0" xfId="0" applyNumberFormat="1" applyFill="1"/>
    <xf numFmtId="0" fontId="0" fillId="0" borderId="44" xfId="0" applyBorder="1" applyAlignment="1">
      <alignment horizontal="center" wrapText="1"/>
    </xf>
    <xf numFmtId="0" fontId="1" fillId="14" borderId="62" xfId="0" applyFont="1" applyFill="1" applyBorder="1" applyAlignment="1">
      <alignment horizontal="center" wrapText="1"/>
    </xf>
    <xf numFmtId="0" fontId="1" fillId="14" borderId="63" xfId="0" applyFont="1" applyFill="1" applyBorder="1" applyAlignment="1">
      <alignment horizontal="center" wrapText="1"/>
    </xf>
    <xf numFmtId="0" fontId="1" fillId="0" borderId="62" xfId="0" applyFont="1" applyBorder="1" applyAlignment="1">
      <alignment horizontal="center" wrapText="1"/>
    </xf>
    <xf numFmtId="0" fontId="1" fillId="0" borderId="63" xfId="0" applyFont="1" applyBorder="1" applyAlignment="1">
      <alignment horizontal="center" wrapText="1"/>
    </xf>
    <xf numFmtId="0" fontId="1" fillId="0" borderId="64" xfId="0" applyFont="1" applyBorder="1" applyAlignment="1">
      <alignment horizontal="center" wrapText="1"/>
    </xf>
    <xf numFmtId="0" fontId="1" fillId="0" borderId="43" xfId="0" applyFont="1" applyBorder="1" applyAlignment="1">
      <alignment horizontal="center" wrapText="1"/>
    </xf>
    <xf numFmtId="0" fontId="0" fillId="14" borderId="50" xfId="0" applyFill="1" applyBorder="1" applyAlignment="1">
      <alignment horizontal="center" vertical="center"/>
    </xf>
    <xf numFmtId="0" fontId="0" fillId="14" borderId="55" xfId="0" applyFill="1"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0" borderId="53" xfId="0" applyBorder="1" applyAlignment="1">
      <alignment horizontal="center" vertical="center"/>
    </xf>
    <xf numFmtId="0" fontId="1" fillId="0" borderId="34" xfId="0" applyFont="1" applyBorder="1" applyAlignment="1">
      <alignment horizontal="center" wrapText="1"/>
    </xf>
    <xf numFmtId="0" fontId="0" fillId="14" borderId="33" xfId="0" applyFill="1" applyBorder="1" applyAlignment="1">
      <alignment horizontal="center" vertical="center"/>
    </xf>
    <xf numFmtId="0" fontId="0" fillId="14" borderId="30" xfId="0" applyFill="1" applyBorder="1" applyAlignment="1">
      <alignment horizontal="center" vertical="center"/>
    </xf>
    <xf numFmtId="0" fontId="0" fillId="0" borderId="33" xfId="0" applyBorder="1" applyAlignment="1">
      <alignment horizontal="center" vertical="center"/>
    </xf>
    <xf numFmtId="0" fontId="0" fillId="0" borderId="30" xfId="0" applyBorder="1" applyAlignment="1">
      <alignment horizontal="center" vertical="center"/>
    </xf>
    <xf numFmtId="0" fontId="0" fillId="0" borderId="32" xfId="0" applyBorder="1" applyAlignment="1">
      <alignment horizontal="center" vertical="center"/>
    </xf>
    <xf numFmtId="0" fontId="1" fillId="0" borderId="0" xfId="0" applyFont="1" applyAlignment="1">
      <alignment horizontal="center"/>
    </xf>
    <xf numFmtId="2" fontId="0" fillId="0" borderId="0" xfId="0" applyNumberFormat="1"/>
    <xf numFmtId="173" fontId="18" fillId="0" borderId="0" xfId="8" applyNumberFormat="1" applyFont="1"/>
    <xf numFmtId="173" fontId="18" fillId="0" borderId="0" xfId="8" applyNumberFormat="1" applyFont="1" applyAlignment="1">
      <alignment horizontal="center"/>
    </xf>
    <xf numFmtId="0" fontId="35" fillId="10" borderId="0" xfId="0" applyNumberFormat="1" applyFont="1" applyFill="1" applyBorder="1" applyAlignment="1" applyProtection="1">
      <alignment horizontal="right" wrapText="1"/>
    </xf>
    <xf numFmtId="0" fontId="56" fillId="0" borderId="0" xfId="0" applyFont="1" applyFill="1" applyBorder="1" applyAlignment="1">
      <alignment horizontal="left" wrapText="1"/>
    </xf>
    <xf numFmtId="164" fontId="0" fillId="0" borderId="0" xfId="8" applyNumberFormat="1" applyFont="1" applyFill="1" applyAlignment="1">
      <alignment horizontal="right"/>
    </xf>
    <xf numFmtId="0" fontId="41" fillId="0" borderId="0" xfId="0" quotePrefix="1" applyFont="1" applyAlignment="1"/>
    <xf numFmtId="0" fontId="0" fillId="0" borderId="65" xfId="0" applyBorder="1" applyAlignment="1">
      <alignment horizontal="center" wrapText="1"/>
    </xf>
    <xf numFmtId="0" fontId="1" fillId="0" borderId="66" xfId="0" applyFont="1" applyBorder="1" applyAlignment="1">
      <alignment horizontal="center" wrapText="1"/>
    </xf>
    <xf numFmtId="0" fontId="0" fillId="14" borderId="67" xfId="0" applyFill="1" applyBorder="1" applyAlignment="1">
      <alignment horizontal="center" vertical="center"/>
    </xf>
    <xf numFmtId="0" fontId="0" fillId="14" borderId="68" xfId="0" applyFill="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166" fontId="6" fillId="0" borderId="0" xfId="4" applyNumberFormat="1" applyFont="1" applyBorder="1"/>
    <xf numFmtId="0" fontId="6" fillId="0" borderId="0" xfId="0" applyFont="1" applyBorder="1" applyAlignment="1">
      <alignment horizontal="left" wrapText="1"/>
    </xf>
    <xf numFmtId="164" fontId="6" fillId="0" borderId="1" xfId="0" applyNumberFormat="1" applyFont="1" applyBorder="1"/>
    <xf numFmtId="166" fontId="10" fillId="0" borderId="1" xfId="0" applyNumberFormat="1" applyFont="1" applyBorder="1" applyAlignment="1">
      <alignment horizontal="center" vertical="center"/>
    </xf>
    <xf numFmtId="0" fontId="10" fillId="0" borderId="0" xfId="0" applyFont="1" applyBorder="1" applyAlignment="1">
      <alignment horizontal="left" vertical="center" indent="1"/>
    </xf>
    <xf numFmtId="0" fontId="6" fillId="0" borderId="0" xfId="0" applyFont="1" applyBorder="1" applyAlignment="1">
      <alignment horizontal="center"/>
    </xf>
    <xf numFmtId="0" fontId="6" fillId="0" borderId="0" xfId="0" applyFont="1" applyBorder="1" applyAlignment="1">
      <alignment horizontal="center" vertical="center"/>
    </xf>
    <xf numFmtId="0" fontId="0" fillId="0" borderId="0" xfId="0" applyAlignment="1">
      <alignment horizontal="center"/>
    </xf>
    <xf numFmtId="173" fontId="23" fillId="0" borderId="37" xfId="8" applyNumberFormat="1" applyFont="1" applyFill="1" applyBorder="1" applyAlignment="1">
      <alignment horizontal="center" vertical="center" wrapText="1"/>
    </xf>
    <xf numFmtId="0" fontId="1" fillId="0" borderId="0" xfId="0" applyFont="1" applyAlignment="1">
      <alignment horizontal="center" vertical="center" wrapText="1"/>
    </xf>
    <xf numFmtId="0" fontId="68" fillId="0" borderId="73" xfId="0" applyNumberFormat="1" applyFont="1" applyBorder="1" applyAlignment="1">
      <alignment horizontal="center" vertical="center" wrapText="1"/>
    </xf>
    <xf numFmtId="0" fontId="68" fillId="0" borderId="75" xfId="0" applyNumberFormat="1" applyFont="1" applyBorder="1" applyAlignment="1">
      <alignment horizontal="center" vertical="center" wrapText="1"/>
    </xf>
    <xf numFmtId="0" fontId="68" fillId="0" borderId="72" xfId="0" applyNumberFormat="1" applyFont="1" applyBorder="1" applyAlignment="1">
      <alignment horizontal="center" vertical="center" wrapText="1"/>
    </xf>
    <xf numFmtId="0" fontId="68" fillId="0" borderId="74" xfId="0" applyNumberFormat="1" applyFont="1" applyBorder="1" applyAlignment="1">
      <alignment horizontal="center" vertical="center" wrapText="1"/>
    </xf>
    <xf numFmtId="0" fontId="69" fillId="0" borderId="0" xfId="0" applyNumberFormat="1" applyFont="1" applyAlignment="1">
      <alignment horizontal="left" vertical="top" wrapText="1"/>
    </xf>
    <xf numFmtId="177" fontId="69" fillId="0" borderId="76" xfId="0" applyNumberFormat="1" applyFont="1" applyBorder="1" applyAlignment="1">
      <alignment horizontal="right" vertical="top" wrapText="1"/>
    </xf>
    <xf numFmtId="178" fontId="69" fillId="0" borderId="76" xfId="0" applyNumberFormat="1" applyFont="1" applyBorder="1" applyAlignment="1">
      <alignment horizontal="right" vertical="top" wrapText="1"/>
    </xf>
    <xf numFmtId="178" fontId="69" fillId="0" borderId="0" xfId="0" applyNumberFormat="1" applyFont="1" applyAlignment="1">
      <alignment horizontal="right" vertical="top" wrapText="1"/>
    </xf>
    <xf numFmtId="178" fontId="69" fillId="0" borderId="77" xfId="0" applyNumberFormat="1" applyFont="1" applyBorder="1" applyAlignment="1">
      <alignment horizontal="right" vertical="top" wrapText="1"/>
    </xf>
    <xf numFmtId="0" fontId="70" fillId="0" borderId="0" xfId="0" applyNumberFormat="1" applyFont="1" applyAlignment="1">
      <alignment horizontal="left" vertical="top" wrapText="1"/>
    </xf>
    <xf numFmtId="0" fontId="71" fillId="0" borderId="0" xfId="0" applyFont="1"/>
    <xf numFmtId="0" fontId="72" fillId="0" borderId="0" xfId="0" applyFont="1"/>
    <xf numFmtId="0" fontId="73" fillId="0" borderId="0" xfId="0" applyFont="1"/>
    <xf numFmtId="3" fontId="1" fillId="0" borderId="0" xfId="0" applyNumberFormat="1" applyFont="1"/>
    <xf numFmtId="0" fontId="1" fillId="0" borderId="0" xfId="0" applyFont="1" applyFill="1" applyBorder="1" applyAlignment="1">
      <alignment horizontal="left"/>
    </xf>
    <xf numFmtId="2" fontId="74" fillId="0" borderId="0" xfId="0" applyNumberFormat="1" applyFont="1" applyFill="1" applyBorder="1" applyAlignment="1" applyProtection="1"/>
    <xf numFmtId="0" fontId="52" fillId="0" borderId="0" xfId="0" applyFont="1"/>
    <xf numFmtId="3" fontId="52" fillId="0" borderId="0" xfId="0" applyNumberFormat="1" applyFont="1"/>
    <xf numFmtId="167" fontId="65" fillId="9" borderId="57" xfId="0" applyNumberFormat="1" applyFont="1" applyFill="1" applyBorder="1"/>
    <xf numFmtId="167" fontId="0" fillId="0" borderId="0" xfId="0" quotePrefix="1" applyNumberFormat="1" applyFont="1" applyFill="1" applyAlignment="1">
      <alignment horizontal="right"/>
    </xf>
    <xf numFmtId="4" fontId="6" fillId="0" borderId="12" xfId="0" applyNumberFormat="1" applyFont="1" applyFill="1" applyBorder="1" applyAlignment="1">
      <alignment horizontal="center" vertical="center"/>
    </xf>
    <xf numFmtId="4" fontId="6" fillId="0" borderId="9" xfId="0" applyNumberFormat="1" applyFont="1" applyFill="1" applyBorder="1" applyAlignment="1">
      <alignment horizontal="center" vertical="center"/>
    </xf>
    <xf numFmtId="4" fontId="6" fillId="0" borderId="8" xfId="0" applyNumberFormat="1" applyFont="1" applyFill="1" applyBorder="1" applyAlignment="1">
      <alignment horizontal="center" vertical="center"/>
    </xf>
    <xf numFmtId="168" fontId="0" fillId="0" borderId="0" xfId="0" applyNumberFormat="1"/>
    <xf numFmtId="0" fontId="1" fillId="0" borderId="0" xfId="0" applyFont="1" applyAlignment="1">
      <alignment wrapText="1"/>
    </xf>
    <xf numFmtId="168" fontId="1" fillId="0" borderId="0" xfId="0" applyNumberFormat="1" applyFont="1"/>
    <xf numFmtId="166" fontId="1" fillId="0" borderId="0" xfId="0" applyNumberFormat="1" applyFont="1"/>
    <xf numFmtId="166" fontId="6" fillId="0" borderId="12" xfId="4" applyNumberFormat="1" applyFont="1" applyFill="1" applyBorder="1" applyAlignment="1">
      <alignment horizontal="center" vertical="center"/>
    </xf>
    <xf numFmtId="166" fontId="6" fillId="0" borderId="11" xfId="4" applyNumberFormat="1" applyFont="1" applyFill="1" applyBorder="1" applyAlignment="1">
      <alignment horizontal="center" vertical="center"/>
    </xf>
    <xf numFmtId="0" fontId="6" fillId="0" borderId="80" xfId="0" applyFont="1" applyFill="1" applyBorder="1" applyAlignment="1">
      <alignment horizontal="center" vertical="center"/>
    </xf>
    <xf numFmtId="0" fontId="23" fillId="0" borderId="79" xfId="0" applyFont="1" applyFill="1" applyBorder="1" applyAlignment="1">
      <alignment vertical="center"/>
    </xf>
    <xf numFmtId="175" fontId="23" fillId="0" borderId="81" xfId="0" applyNumberFormat="1" applyFont="1" applyFill="1" applyBorder="1" applyAlignment="1">
      <alignment horizontal="center" vertical="center"/>
    </xf>
    <xf numFmtId="173" fontId="1" fillId="0" borderId="0" xfId="8" applyNumberFormat="1" applyFont="1"/>
    <xf numFmtId="164" fontId="0" fillId="0" borderId="37" xfId="8" applyNumberFormat="1" applyFont="1" applyFill="1" applyBorder="1"/>
    <xf numFmtId="164" fontId="0" fillId="0" borderId="1" xfId="8" applyNumberFormat="1" applyFont="1" applyFill="1" applyBorder="1"/>
    <xf numFmtId="164" fontId="0" fillId="0" borderId="35" xfId="8" applyNumberFormat="1" applyFont="1" applyFill="1" applyBorder="1"/>
    <xf numFmtId="164" fontId="0" fillId="0" borderId="4" xfId="8" applyNumberFormat="1" applyFont="1" applyFill="1" applyBorder="1"/>
    <xf numFmtId="164" fontId="6" fillId="0" borderId="35" xfId="8" applyNumberFormat="1" applyFont="1" applyFill="1" applyBorder="1"/>
    <xf numFmtId="164" fontId="52" fillId="0" borderId="37" xfId="8" applyNumberFormat="1" applyFont="1" applyFill="1" applyBorder="1"/>
    <xf numFmtId="164" fontId="67" fillId="0" borderId="1" xfId="8" applyNumberFormat="1" applyFont="1" applyBorder="1" applyAlignment="1">
      <alignment vertical="center"/>
    </xf>
    <xf numFmtId="164" fontId="67" fillId="0" borderId="1" xfId="0" applyNumberFormat="1" applyFont="1" applyBorder="1" applyAlignment="1">
      <alignment horizontal="center"/>
    </xf>
    <xf numFmtId="164" fontId="67" fillId="0" borderId="1" xfId="8" applyNumberFormat="1" applyFont="1" applyBorder="1" applyAlignment="1"/>
    <xf numFmtId="164" fontId="67" fillId="0" borderId="1" xfId="0" applyNumberFormat="1" applyFont="1" applyBorder="1" applyAlignment="1">
      <alignment vertical="center"/>
    </xf>
    <xf numFmtId="164" fontId="33" fillId="0" borderId="31" xfId="0" applyNumberFormat="1" applyFont="1" applyFill="1" applyBorder="1"/>
    <xf numFmtId="164" fontId="33" fillId="0" borderId="30" xfId="0" applyNumberFormat="1" applyFont="1" applyFill="1" applyBorder="1"/>
    <xf numFmtId="164" fontId="33" fillId="0" borderId="32" xfId="0" applyNumberFormat="1" applyFont="1" applyFill="1" applyBorder="1"/>
    <xf numFmtId="174" fontId="10" fillId="0" borderId="1" xfId="0" applyNumberFormat="1" applyFont="1" applyBorder="1" applyAlignment="1">
      <alignment horizontal="center" vertical="center" wrapText="1"/>
    </xf>
    <xf numFmtId="174" fontId="14" fillId="0" borderId="1" xfId="0" applyNumberFormat="1" applyFont="1" applyBorder="1" applyAlignment="1">
      <alignment horizontal="center" vertical="center" wrapText="1"/>
    </xf>
    <xf numFmtId="2" fontId="10" fillId="0" borderId="1" xfId="0" applyNumberFormat="1" applyFont="1" applyBorder="1" applyAlignment="1">
      <alignment horizontal="center" vertical="center"/>
    </xf>
    <xf numFmtId="0" fontId="0" fillId="0" borderId="0" xfId="0" applyFont="1"/>
    <xf numFmtId="164" fontId="0" fillId="0" borderId="0" xfId="0" applyNumberFormat="1" applyFont="1"/>
    <xf numFmtId="3" fontId="77" fillId="0" borderId="0" xfId="0" applyNumberFormat="1" applyFont="1"/>
    <xf numFmtId="14" fontId="64" fillId="9" borderId="58" xfId="0" applyNumberFormat="1" applyFont="1" applyFill="1" applyBorder="1"/>
    <xf numFmtId="176" fontId="49" fillId="9" borderId="57" xfId="0" applyNumberFormat="1" applyFont="1" applyFill="1" applyBorder="1"/>
    <xf numFmtId="176" fontId="49" fillId="9" borderId="59" xfId="0" applyNumberFormat="1" applyFont="1" applyFill="1" applyBorder="1"/>
    <xf numFmtId="0" fontId="45" fillId="0" borderId="0" xfId="0" applyFont="1" applyBorder="1"/>
    <xf numFmtId="9" fontId="49" fillId="9" borderId="82" xfId="0" applyNumberFormat="1" applyFont="1" applyFill="1" applyBorder="1"/>
    <xf numFmtId="9" fontId="49" fillId="9" borderId="83" xfId="0" applyNumberFormat="1" applyFont="1" applyFill="1" applyBorder="1"/>
    <xf numFmtId="0" fontId="49" fillId="9" borderId="83" xfId="0" applyFont="1" applyFill="1" applyBorder="1"/>
    <xf numFmtId="1" fontId="8" fillId="9" borderId="83" xfId="0" applyNumberFormat="1" applyFont="1" applyFill="1" applyBorder="1"/>
    <xf numFmtId="0" fontId="49" fillId="9" borderId="84" xfId="0" applyFont="1" applyFill="1" applyBorder="1"/>
    <xf numFmtId="0" fontId="49" fillId="9" borderId="59" xfId="0" applyFont="1" applyFill="1" applyBorder="1"/>
    <xf numFmtId="0" fontId="59" fillId="0" borderId="39" xfId="0" applyFont="1" applyFill="1" applyBorder="1" applyAlignment="1">
      <alignment horizontal="center"/>
    </xf>
    <xf numFmtId="3" fontId="0" fillId="0" borderId="37" xfId="0" applyNumberFormat="1" applyFill="1" applyBorder="1" applyAlignment="1">
      <alignment horizontal="center"/>
    </xf>
    <xf numFmtId="3" fontId="0" fillId="0" borderId="26" xfId="0" applyNumberFormat="1" applyFill="1" applyBorder="1" applyAlignment="1">
      <alignment horizontal="center"/>
    </xf>
    <xf numFmtId="3" fontId="0" fillId="0" borderId="35" xfId="0" applyNumberFormat="1" applyFill="1" applyBorder="1" applyAlignment="1">
      <alignment horizontal="center"/>
    </xf>
    <xf numFmtId="3" fontId="0" fillId="0" borderId="4" xfId="0" applyNumberFormat="1" applyFill="1" applyBorder="1" applyAlignment="1">
      <alignment horizontal="center"/>
    </xf>
    <xf numFmtId="3" fontId="6" fillId="0" borderId="26" xfId="0" applyNumberFormat="1" applyFont="1" applyFill="1" applyBorder="1" applyAlignment="1">
      <alignment horizontal="center"/>
    </xf>
    <xf numFmtId="9" fontId="10" fillId="0" borderId="0" xfId="0" applyNumberFormat="1" applyFont="1" applyBorder="1" applyAlignment="1">
      <alignment horizontal="center" vertical="center"/>
    </xf>
    <xf numFmtId="0" fontId="78" fillId="12" borderId="85" xfId="0" applyFont="1" applyFill="1" applyBorder="1" applyAlignment="1">
      <alignment horizontal="center" vertical="center" wrapText="1"/>
    </xf>
    <xf numFmtId="0" fontId="78" fillId="12" borderId="86" xfId="0" applyFont="1" applyFill="1" applyBorder="1" applyAlignment="1">
      <alignment horizontal="center" vertical="center" wrapText="1"/>
    </xf>
    <xf numFmtId="0" fontId="12" fillId="12" borderId="86" xfId="0" applyFont="1" applyFill="1" applyBorder="1" applyAlignment="1">
      <alignment horizontal="center" vertical="center" wrapText="1"/>
    </xf>
    <xf numFmtId="0" fontId="11" fillId="0" borderId="25" xfId="0" applyFont="1" applyBorder="1" applyAlignment="1">
      <alignment vertical="center" wrapText="1"/>
    </xf>
    <xf numFmtId="0" fontId="11" fillId="0" borderId="7" xfId="0" applyFont="1" applyBorder="1" applyAlignment="1">
      <alignment vertical="center" wrapText="1"/>
    </xf>
    <xf numFmtId="0" fontId="11" fillId="16" borderId="7" xfId="0" applyFont="1" applyFill="1" applyBorder="1" applyAlignment="1">
      <alignment vertical="center" wrapText="1"/>
    </xf>
    <xf numFmtId="0" fontId="79" fillId="0" borderId="6" xfId="0" applyFont="1" applyBorder="1" applyAlignment="1">
      <alignment vertical="center" wrapText="1"/>
    </xf>
    <xf numFmtId="0" fontId="79" fillId="0" borderId="7" xfId="0" applyFont="1" applyBorder="1" applyAlignment="1">
      <alignment vertical="center" wrapText="1"/>
    </xf>
    <xf numFmtId="0" fontId="10" fillId="0" borderId="7" xfId="0" applyFont="1" applyBorder="1" applyAlignment="1">
      <alignment vertical="center" wrapText="1"/>
    </xf>
    <xf numFmtId="0" fontId="79" fillId="0" borderId="7" xfId="0" applyFont="1" applyBorder="1" applyAlignment="1">
      <alignment horizontal="center" vertical="center" wrapText="1"/>
    </xf>
    <xf numFmtId="0" fontId="79" fillId="0" borderId="0" xfId="0" applyFont="1" applyBorder="1" applyAlignment="1">
      <alignment vertical="center" wrapText="1"/>
    </xf>
    <xf numFmtId="0" fontId="10" fillId="0" borderId="0" xfId="0" applyFont="1" applyBorder="1" applyAlignment="1">
      <alignment vertical="center" wrapText="1"/>
    </xf>
    <xf numFmtId="0" fontId="79" fillId="0" borderId="0" xfId="0" applyFont="1" applyBorder="1" applyAlignment="1">
      <alignment horizontal="center" vertical="center" wrapText="1"/>
    </xf>
    <xf numFmtId="175" fontId="23" fillId="0" borderId="89" xfId="0" applyNumberFormat="1" applyFont="1" applyFill="1" applyBorder="1" applyAlignment="1">
      <alignment horizontal="center" vertical="center"/>
    </xf>
    <xf numFmtId="175" fontId="6" fillId="0" borderId="90"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0" fontId="80" fillId="0" borderId="1" xfId="0" applyFont="1" applyBorder="1" applyAlignment="1">
      <alignment horizontal="left" vertical="center"/>
    </xf>
    <xf numFmtId="175" fontId="23" fillId="0" borderId="91" xfId="0" applyNumberFormat="1" applyFont="1" applyFill="1" applyBorder="1" applyAlignment="1">
      <alignment horizontal="center" vertical="center"/>
    </xf>
    <xf numFmtId="175" fontId="23" fillId="9" borderId="92" xfId="0" applyNumberFormat="1" applyFont="1" applyFill="1" applyBorder="1" applyAlignment="1">
      <alignment horizontal="center" vertical="center"/>
    </xf>
    <xf numFmtId="0" fontId="20" fillId="10" borderId="1" xfId="0" applyFont="1" applyFill="1" applyBorder="1" applyAlignment="1">
      <alignment horizontal="center" vertical="center" wrapText="1"/>
    </xf>
    <xf numFmtId="0" fontId="65" fillId="0" borderId="0" xfId="0" applyFont="1" applyFill="1" applyAlignment="1">
      <alignment horizontal="right"/>
    </xf>
    <xf numFmtId="167" fontId="30" fillId="0" borderId="0" xfId="0" applyNumberFormat="1" applyFont="1" applyFill="1" applyBorder="1" applyAlignment="1" applyProtection="1"/>
    <xf numFmtId="169" fontId="6" fillId="0" borderId="97" xfId="0" applyNumberFormat="1" applyFont="1" applyFill="1" applyBorder="1" applyAlignment="1">
      <alignment horizontal="center" vertical="center"/>
    </xf>
    <xf numFmtId="169" fontId="6" fillId="0" borderId="2" xfId="0" applyNumberFormat="1" applyFont="1" applyFill="1" applyBorder="1" applyAlignment="1">
      <alignment horizontal="center" vertical="center"/>
    </xf>
    <xf numFmtId="169" fontId="6" fillId="0" borderId="94" xfId="0" applyNumberFormat="1" applyFont="1" applyFill="1" applyBorder="1" applyAlignment="1">
      <alignment horizontal="center" vertical="center"/>
    </xf>
    <xf numFmtId="169" fontId="6" fillId="0" borderId="95" xfId="0" applyNumberFormat="1" applyFont="1" applyFill="1" applyBorder="1" applyAlignment="1">
      <alignment horizontal="center" vertical="center"/>
    </xf>
    <xf numFmtId="175" fontId="6" fillId="0" borderId="94" xfId="0" applyNumberFormat="1" applyFont="1" applyFill="1" applyBorder="1" applyAlignment="1">
      <alignment horizontal="center" vertical="center"/>
    </xf>
    <xf numFmtId="175" fontId="23" fillId="9" borderId="93" xfId="0" applyNumberFormat="1" applyFont="1" applyFill="1" applyBorder="1" applyAlignment="1">
      <alignment horizontal="center" vertical="center"/>
    </xf>
    <xf numFmtId="9" fontId="20" fillId="10" borderId="1" xfId="0" applyNumberFormat="1" applyFont="1" applyFill="1" applyBorder="1" applyAlignment="1">
      <alignment horizontal="center" vertical="center" wrapText="1"/>
    </xf>
    <xf numFmtId="2" fontId="6" fillId="6" borderId="96" xfId="0" applyNumberFormat="1" applyFont="1" applyFill="1" applyBorder="1" applyAlignment="1">
      <alignment horizontal="center" vertical="center"/>
    </xf>
    <xf numFmtId="174" fontId="11" fillId="0" borderId="1" xfId="0" applyNumberFormat="1" applyFont="1" applyFill="1" applyBorder="1" applyAlignment="1">
      <alignment horizontal="center" vertical="center" wrapText="1"/>
    </xf>
    <xf numFmtId="166" fontId="11" fillId="0" borderId="1" xfId="4" applyNumberFormat="1" applyFont="1" applyFill="1" applyBorder="1" applyAlignment="1">
      <alignment horizontal="center" vertical="center" wrapText="1"/>
    </xf>
    <xf numFmtId="0" fontId="80" fillId="0" borderId="1" xfId="0" applyFont="1" applyBorder="1" applyAlignment="1">
      <alignment horizontal="center" wrapText="1"/>
    </xf>
    <xf numFmtId="166" fontId="80" fillId="0" borderId="1" xfId="4" applyNumberFormat="1" applyFont="1" applyBorder="1" applyAlignment="1">
      <alignment horizontal="center" vertical="center"/>
    </xf>
    <xf numFmtId="0" fontId="19" fillId="12" borderId="88" xfId="0" applyFont="1" applyFill="1" applyBorder="1" applyAlignment="1">
      <alignment horizontal="center" vertical="center" wrapText="1"/>
    </xf>
    <xf numFmtId="0" fontId="19" fillId="12" borderId="7" xfId="0" applyFont="1" applyFill="1" applyBorder="1" applyAlignment="1">
      <alignment horizontal="center" vertical="center" wrapText="1"/>
    </xf>
    <xf numFmtId="20" fontId="81" fillId="0" borderId="6" xfId="0" applyNumberFormat="1" applyFont="1" applyBorder="1" applyAlignment="1">
      <alignment horizontal="center" vertical="center"/>
    </xf>
    <xf numFmtId="3" fontId="11" fillId="0" borderId="7" xfId="0" applyNumberFormat="1" applyFont="1" applyBorder="1" applyAlignment="1">
      <alignment horizontal="center" vertical="center"/>
    </xf>
    <xf numFmtId="0" fontId="12" fillId="12" borderId="7" xfId="0" applyFont="1" applyFill="1" applyBorder="1" applyAlignment="1">
      <alignment horizontal="center" vertical="center"/>
    </xf>
    <xf numFmtId="3" fontId="82" fillId="0" borderId="7" xfId="0" applyNumberFormat="1" applyFont="1" applyBorder="1" applyAlignment="1">
      <alignment horizontal="center" vertical="center"/>
    </xf>
    <xf numFmtId="0" fontId="10" fillId="0" borderId="6" xfId="0" applyFont="1" applyBorder="1" applyAlignment="1">
      <alignment vertical="center"/>
    </xf>
    <xf numFmtId="0" fontId="19" fillId="12" borderId="85" xfId="0" applyFont="1" applyFill="1" applyBorder="1" applyAlignment="1">
      <alignment horizontal="center" vertical="center"/>
    </xf>
    <xf numFmtId="0" fontId="19" fillId="12" borderId="86" xfId="0" applyFont="1" applyFill="1" applyBorder="1" applyAlignment="1">
      <alignment horizontal="center" vertical="center"/>
    </xf>
    <xf numFmtId="0" fontId="19" fillId="12" borderId="86" xfId="0" applyFont="1" applyFill="1" applyBorder="1" applyAlignment="1">
      <alignment horizontal="center" vertical="center" wrapText="1"/>
    </xf>
    <xf numFmtId="0" fontId="83" fillId="12" borderId="7" xfId="0" applyFont="1" applyFill="1" applyBorder="1" applyAlignment="1">
      <alignment horizontal="center" vertical="center"/>
    </xf>
    <xf numFmtId="3" fontId="83" fillId="12" borderId="7" xfId="0" applyNumberFormat="1" applyFont="1" applyFill="1" applyBorder="1" applyAlignment="1">
      <alignment horizontal="center" vertical="center"/>
    </xf>
    <xf numFmtId="0" fontId="83" fillId="12" borderId="6" xfId="0" applyFont="1" applyFill="1" applyBorder="1" applyAlignment="1">
      <alignment horizontal="left" vertical="center"/>
    </xf>
    <xf numFmtId="0" fontId="10" fillId="0" borderId="7" xfId="0" applyFont="1" applyBorder="1" applyAlignment="1">
      <alignment horizontal="center" vertical="center"/>
    </xf>
    <xf numFmtId="0" fontId="10" fillId="0" borderId="7" xfId="0" applyFont="1" applyBorder="1" applyAlignment="1">
      <alignment vertical="center"/>
    </xf>
    <xf numFmtId="0" fontId="10" fillId="0" borderId="6" xfId="0" applyFont="1" applyBorder="1" applyAlignment="1">
      <alignment horizontal="left" vertical="center"/>
    </xf>
    <xf numFmtId="0" fontId="23" fillId="0" borderId="0" xfId="0" applyFont="1" applyAlignment="1">
      <alignment horizontal="left"/>
    </xf>
    <xf numFmtId="0" fontId="10" fillId="0" borderId="66" xfId="0" applyFont="1" applyBorder="1" applyAlignment="1">
      <alignment horizontal="center" vertical="center"/>
    </xf>
    <xf numFmtId="6" fontId="10" fillId="0" borderId="6" xfId="0" applyNumberFormat="1" applyFont="1" applyBorder="1" applyAlignment="1">
      <alignment horizontal="center" vertical="center"/>
    </xf>
    <xf numFmtId="0" fontId="41" fillId="0" borderId="7" xfId="0" applyFont="1" applyBorder="1" applyAlignment="1">
      <alignment vertical="center"/>
    </xf>
    <xf numFmtId="0" fontId="14" fillId="0" borderId="99" xfId="0" applyFont="1" applyBorder="1" applyAlignment="1">
      <alignment horizontal="center" vertical="center"/>
    </xf>
    <xf numFmtId="0" fontId="19" fillId="12" borderId="100" xfId="0" applyFont="1" applyFill="1" applyBorder="1" applyAlignment="1">
      <alignment horizontal="center" vertical="center" wrapText="1"/>
    </xf>
    <xf numFmtId="0" fontId="19" fillId="12" borderId="6" xfId="0" applyFont="1" applyFill="1" applyBorder="1" applyAlignment="1">
      <alignment horizontal="center" vertical="center" wrapText="1"/>
    </xf>
    <xf numFmtId="0" fontId="19" fillId="12" borderId="7" xfId="0" applyFont="1" applyFill="1" applyBorder="1" applyAlignment="1">
      <alignment horizontal="center" vertical="center"/>
    </xf>
    <xf numFmtId="6" fontId="14" fillId="0" borderId="6" xfId="0" applyNumberFormat="1" applyFont="1" applyBorder="1" applyAlignment="1">
      <alignment horizontal="center" vertical="center"/>
    </xf>
    <xf numFmtId="0" fontId="14" fillId="0" borderId="6" xfId="0" applyFont="1" applyBorder="1" applyAlignment="1">
      <alignment vertical="center" wrapText="1"/>
    </xf>
    <xf numFmtId="0" fontId="41" fillId="12" borderId="85" xfId="0" applyFont="1" applyFill="1" applyBorder="1"/>
    <xf numFmtId="0" fontId="41" fillId="12" borderId="6" xfId="0" applyFont="1" applyFill="1" applyBorder="1"/>
    <xf numFmtId="0" fontId="14" fillId="0" borderId="6" xfId="0" applyFont="1" applyBorder="1" applyAlignment="1">
      <alignment horizontal="center" vertical="center" wrapText="1"/>
    </xf>
    <xf numFmtId="3" fontId="10" fillId="0" borderId="7" xfId="0" applyNumberFormat="1" applyFont="1" applyBorder="1" applyAlignment="1">
      <alignment horizontal="center" vertical="center"/>
    </xf>
    <xf numFmtId="0" fontId="9" fillId="12" borderId="85" xfId="0" applyFont="1" applyFill="1" applyBorder="1" applyAlignment="1">
      <alignment horizontal="center" vertical="center"/>
    </xf>
    <xf numFmtId="0" fontId="9" fillId="12" borderId="6" xfId="0" applyFont="1" applyFill="1" applyBorder="1" applyAlignment="1">
      <alignment horizontal="center" vertical="center"/>
    </xf>
    <xf numFmtId="0" fontId="1" fillId="0" borderId="0" xfId="0" applyFont="1" applyBorder="1"/>
    <xf numFmtId="174" fontId="1" fillId="0" borderId="0" xfId="0" applyNumberFormat="1" applyFont="1" applyBorder="1"/>
    <xf numFmtId="0" fontId="79" fillId="0" borderId="6" xfId="0" applyFont="1" applyBorder="1" applyAlignment="1">
      <alignment vertical="center"/>
    </xf>
    <xf numFmtId="8" fontId="79" fillId="0" borderId="7" xfId="0" applyNumberFormat="1" applyFont="1" applyBorder="1" applyAlignment="1">
      <alignment horizontal="center" vertical="center"/>
    </xf>
    <xf numFmtId="0" fontId="79" fillId="0" borderId="7" xfId="0" applyFont="1" applyBorder="1" applyAlignment="1">
      <alignment horizontal="center" vertical="center"/>
    </xf>
    <xf numFmtId="0" fontId="83" fillId="12" borderId="85" xfId="0" applyFont="1" applyFill="1" applyBorder="1" applyAlignment="1">
      <alignment horizontal="center" vertical="center"/>
    </xf>
    <xf numFmtId="0" fontId="83" fillId="12" borderId="86" xfId="0" applyFont="1" applyFill="1" applyBorder="1" applyAlignment="1">
      <alignment horizontal="center" vertical="center" wrapText="1"/>
    </xf>
    <xf numFmtId="0" fontId="83" fillId="12" borderId="86" xfId="0" applyFont="1" applyFill="1" applyBorder="1" applyAlignment="1">
      <alignment horizontal="center" vertical="center"/>
    </xf>
    <xf numFmtId="9" fontId="79" fillId="0" borderId="7" xfId="0" applyNumberFormat="1" applyFont="1" applyBorder="1" applyAlignment="1">
      <alignment horizontal="center" vertical="center"/>
    </xf>
    <xf numFmtId="0" fontId="10" fillId="4" borderId="0" xfId="0" applyFont="1" applyFill="1" applyBorder="1" applyAlignment="1">
      <alignment vertical="center" wrapText="1"/>
    </xf>
    <xf numFmtId="166" fontId="10" fillId="0" borderId="0" xfId="0" applyNumberFormat="1" applyFont="1" applyBorder="1" applyAlignment="1">
      <alignment horizontal="center" vertical="center"/>
    </xf>
    <xf numFmtId="169" fontId="80" fillId="0" borderId="1" xfId="0" applyNumberFormat="1" applyFont="1" applyBorder="1" applyAlignment="1">
      <alignment horizontal="center" vertical="center"/>
    </xf>
    <xf numFmtId="4" fontId="41" fillId="9" borderId="28" xfId="5" applyNumberFormat="1" applyFont="1" applyFill="1" applyBorder="1"/>
    <xf numFmtId="0" fontId="34" fillId="0" borderId="0" xfId="0" applyFont="1" applyAlignment="1">
      <alignment horizontal="left" vertical="top" wrapText="1"/>
    </xf>
    <xf numFmtId="0" fontId="34" fillId="0" borderId="0" xfId="0" applyFont="1" applyAlignment="1">
      <alignment horizontal="left" wrapText="1"/>
    </xf>
    <xf numFmtId="0" fontId="34" fillId="0" borderId="0" xfId="0" applyFont="1" applyAlignment="1">
      <alignment horizontal="left" vertical="center"/>
    </xf>
    <xf numFmtId="173" fontId="1" fillId="0" borderId="0" xfId="0" applyNumberFormat="1" applyFont="1"/>
    <xf numFmtId="164" fontId="0" fillId="0" borderId="0" xfId="0" quotePrefix="1" applyNumberFormat="1" applyFont="1" applyFill="1" applyAlignment="1">
      <alignment horizontal="right"/>
    </xf>
    <xf numFmtId="167" fontId="0" fillId="0" borderId="0" xfId="0" applyNumberFormat="1" applyFill="1"/>
    <xf numFmtId="169" fontId="6" fillId="6" borderId="94" xfId="0" applyNumberFormat="1" applyFont="1" applyFill="1" applyBorder="1" applyAlignment="1">
      <alignment horizontal="center" vertical="center"/>
    </xf>
    <xf numFmtId="169" fontId="6" fillId="6" borderId="3" xfId="0" applyNumberFormat="1" applyFont="1" applyFill="1" applyBorder="1" applyAlignment="1">
      <alignment horizontal="center" vertical="center"/>
    </xf>
    <xf numFmtId="169" fontId="6" fillId="6" borderId="95" xfId="4" applyNumberFormat="1" applyFont="1" applyFill="1" applyBorder="1" applyAlignment="1">
      <alignment horizontal="center" vertical="center"/>
    </xf>
    <xf numFmtId="8" fontId="0" fillId="0" borderId="0" xfId="0" applyNumberFormat="1"/>
    <xf numFmtId="2" fontId="11" fillId="0" borderId="1" xfId="0" applyNumberFormat="1" applyFont="1" applyFill="1" applyBorder="1" applyAlignment="1">
      <alignment horizontal="center" vertical="center" wrapText="1"/>
    </xf>
    <xf numFmtId="2" fontId="80" fillId="0" borderId="1" xfId="0" applyNumberFormat="1" applyFont="1" applyBorder="1" applyAlignment="1">
      <alignment horizontal="center" vertical="center"/>
    </xf>
    <xf numFmtId="175" fontId="23" fillId="0" borderId="94" xfId="0" applyNumberFormat="1" applyFont="1" applyFill="1" applyBorder="1" applyAlignment="1">
      <alignment horizontal="center" vertical="center"/>
    </xf>
    <xf numFmtId="164" fontId="0" fillId="0" borderId="80" xfId="0" applyNumberFormat="1" applyFill="1" applyBorder="1" applyAlignment="1">
      <alignment vertical="center"/>
    </xf>
    <xf numFmtId="164" fontId="0" fillId="0" borderId="28" xfId="0" applyNumberFormat="1" applyBorder="1"/>
    <xf numFmtId="164" fontId="0" fillId="0" borderId="28" xfId="0" applyNumberFormat="1" applyFill="1" applyBorder="1" applyAlignment="1">
      <alignment vertical="center"/>
    </xf>
    <xf numFmtId="3" fontId="0" fillId="0" borderId="28" xfId="0" applyNumberFormat="1" applyBorder="1"/>
    <xf numFmtId="7" fontId="6" fillId="6" borderId="0" xfId="0" applyNumberFormat="1" applyFont="1" applyFill="1" applyAlignment="1">
      <alignment vertical="center"/>
    </xf>
    <xf numFmtId="3" fontId="1" fillId="0" borderId="98" xfId="0" applyNumberFormat="1" applyFont="1" applyBorder="1" applyAlignment="1">
      <alignment horizontal="center"/>
    </xf>
    <xf numFmtId="3" fontId="1" fillId="0" borderId="86" xfId="0" applyNumberFormat="1" applyFont="1" applyBorder="1" applyAlignment="1">
      <alignment horizontal="center"/>
    </xf>
    <xf numFmtId="0" fontId="59" fillId="0" borderId="85" xfId="0" applyFont="1" applyBorder="1" applyAlignment="1">
      <alignment horizontal="center"/>
    </xf>
    <xf numFmtId="3" fontId="1" fillId="0" borderId="85" xfId="0" applyNumberFormat="1" applyFont="1" applyBorder="1" applyAlignment="1">
      <alignment horizontal="center"/>
    </xf>
    <xf numFmtId="3" fontId="0" fillId="0" borderId="102" xfId="0" applyNumberFormat="1" applyBorder="1" applyAlignment="1">
      <alignment horizontal="center"/>
    </xf>
    <xf numFmtId="3" fontId="0" fillId="0" borderId="101" xfId="0" applyNumberFormat="1" applyBorder="1" applyAlignment="1">
      <alignment horizontal="center"/>
    </xf>
    <xf numFmtId="0" fontId="59" fillId="0" borderId="0" xfId="0" applyFont="1" applyFill="1" applyBorder="1" applyAlignment="1">
      <alignment horizontal="left"/>
    </xf>
    <xf numFmtId="0" fontId="0" fillId="11" borderId="38" xfId="0" applyFill="1" applyBorder="1" applyAlignment="1">
      <alignment horizontal="center"/>
    </xf>
    <xf numFmtId="164" fontId="67" fillId="11" borderId="1" xfId="0" applyNumberFormat="1" applyFont="1" applyFill="1" applyBorder="1" applyAlignment="1">
      <alignment horizontal="center"/>
    </xf>
    <xf numFmtId="164" fontId="67" fillId="11" borderId="1" xfId="8" applyNumberFormat="1" applyFont="1" applyFill="1" applyBorder="1" applyAlignment="1"/>
    <xf numFmtId="164" fontId="67" fillId="11" borderId="1" xfId="0" applyNumberFormat="1" applyFont="1" applyFill="1" applyBorder="1" applyAlignment="1">
      <alignment vertical="center"/>
    </xf>
    <xf numFmtId="164" fontId="0" fillId="11" borderId="35" xfId="8" applyNumberFormat="1" applyFont="1" applyFill="1" applyBorder="1"/>
    <xf numFmtId="164" fontId="0" fillId="11" borderId="4" xfId="8" applyNumberFormat="1" applyFont="1" applyFill="1" applyBorder="1"/>
    <xf numFmtId="164" fontId="67" fillId="11" borderId="1" xfId="8" applyNumberFormat="1" applyFont="1" applyFill="1" applyBorder="1" applyAlignment="1">
      <alignment vertical="center"/>
    </xf>
    <xf numFmtId="164" fontId="6" fillId="11" borderId="35" xfId="8" applyNumberFormat="1" applyFont="1" applyFill="1" applyBorder="1"/>
    <xf numFmtId="164" fontId="0" fillId="11" borderId="37" xfId="8" applyNumberFormat="1" applyFont="1" applyFill="1" applyBorder="1"/>
    <xf numFmtId="164" fontId="0" fillId="11" borderId="3" xfId="8" applyNumberFormat="1" applyFont="1" applyFill="1" applyBorder="1"/>
    <xf numFmtId="164" fontId="0" fillId="11" borderId="36" xfId="8" applyNumberFormat="1" applyFont="1" applyFill="1" applyBorder="1"/>
    <xf numFmtId="164" fontId="0" fillId="11" borderId="1" xfId="8" applyNumberFormat="1" applyFont="1" applyFill="1" applyBorder="1"/>
    <xf numFmtId="0" fontId="17" fillId="3" borderId="0" xfId="0" applyFont="1" applyFill="1" applyAlignment="1">
      <alignment horizontal="left" vertical="top" wrapText="1"/>
    </xf>
    <xf numFmtId="0" fontId="15" fillId="3" borderId="0" xfId="0" applyFont="1" applyFill="1" applyAlignment="1">
      <alignment horizontal="center" vertical="center"/>
    </xf>
    <xf numFmtId="170" fontId="15" fillId="3" borderId="0" xfId="0" applyNumberFormat="1" applyFont="1" applyFill="1" applyAlignment="1">
      <alignment horizontal="center" vertical="center"/>
    </xf>
    <xf numFmtId="0" fontId="16" fillId="3" borderId="0" xfId="0" applyFont="1" applyFill="1" applyAlignment="1">
      <alignment horizontal="left"/>
    </xf>
    <xf numFmtId="0" fontId="20" fillId="10" borderId="1" xfId="0" applyFont="1" applyFill="1" applyBorder="1" applyAlignment="1">
      <alignment horizontal="center" vertical="center" wrapText="1"/>
    </xf>
    <xf numFmtId="0" fontId="6" fillId="0" borderId="13" xfId="0" applyFont="1" applyFill="1" applyBorder="1" applyAlignment="1">
      <alignment horizontal="left" vertical="center"/>
    </xf>
    <xf numFmtId="0" fontId="6" fillId="0" borderId="12" xfId="0" applyFont="1" applyFill="1" applyBorder="1" applyAlignment="1">
      <alignment horizontal="left" vertical="center"/>
    </xf>
    <xf numFmtId="0" fontId="6" fillId="6" borderId="10" xfId="0" applyFont="1" applyFill="1" applyBorder="1" applyAlignment="1">
      <alignment horizontal="left" vertical="center"/>
    </xf>
    <xf numFmtId="0" fontId="0" fillId="0" borderId="9" xfId="0" applyFont="1" applyBorder="1" applyAlignment="1">
      <alignment horizontal="left" vertical="center"/>
    </xf>
    <xf numFmtId="0" fontId="20" fillId="10" borderId="17" xfId="0" applyFont="1" applyFill="1" applyBorder="1" applyAlignment="1">
      <alignment horizontal="center" vertical="center"/>
    </xf>
    <xf numFmtId="0" fontId="20" fillId="10" borderId="13" xfId="0" applyFont="1" applyFill="1" applyBorder="1" applyAlignment="1">
      <alignment horizontal="center" vertical="center"/>
    </xf>
    <xf numFmtId="0" fontId="20" fillId="10" borderId="16" xfId="0" applyFont="1" applyFill="1" applyBorder="1" applyAlignment="1">
      <alignment horizontal="center" vertical="center"/>
    </xf>
    <xf numFmtId="0" fontId="20" fillId="10" borderId="12" xfId="0" applyFont="1" applyFill="1" applyBorder="1" applyAlignment="1">
      <alignment horizontal="center" vertical="center"/>
    </xf>
    <xf numFmtId="0" fontId="6" fillId="6" borderId="13" xfId="0" applyFont="1" applyFill="1" applyBorder="1" applyAlignment="1">
      <alignment horizontal="left" vertical="center"/>
    </xf>
    <xf numFmtId="0" fontId="6" fillId="6" borderId="12" xfId="0" applyFont="1" applyFill="1" applyBorder="1" applyAlignment="1">
      <alignment horizontal="left" vertical="center"/>
    </xf>
    <xf numFmtId="0" fontId="6" fillId="6" borderId="20" xfId="0" applyFont="1" applyFill="1" applyBorder="1" applyAlignment="1">
      <alignment horizontal="left" vertical="center"/>
    </xf>
    <xf numFmtId="0" fontId="6" fillId="6" borderId="21" xfId="0" applyFont="1" applyFill="1" applyBorder="1" applyAlignment="1">
      <alignment horizontal="left" vertical="center"/>
    </xf>
    <xf numFmtId="0" fontId="20" fillId="10" borderId="15" xfId="0" applyFont="1" applyFill="1" applyBorder="1" applyAlignment="1">
      <alignment horizontal="center" vertical="center"/>
    </xf>
    <xf numFmtId="0" fontId="11" fillId="0" borderId="23" xfId="0" applyFont="1" applyBorder="1" applyAlignment="1">
      <alignment vertical="center" wrapText="1"/>
    </xf>
    <xf numFmtId="0" fontId="11" fillId="0" borderId="24" xfId="0" applyFont="1" applyBorder="1" applyAlignment="1">
      <alignment vertical="center" wrapText="1"/>
    </xf>
    <xf numFmtId="0" fontId="11" fillId="0" borderId="6" xfId="0" applyFont="1" applyBorder="1" applyAlignment="1">
      <alignment vertical="center" wrapText="1"/>
    </xf>
    <xf numFmtId="166" fontId="10" fillId="0" borderId="26" xfId="4" applyNumberFormat="1" applyFont="1" applyBorder="1" applyAlignment="1">
      <alignment horizontal="center" vertical="center"/>
    </xf>
    <xf numFmtId="166" fontId="10" fillId="0" borderId="87" xfId="4" applyNumberFormat="1" applyFont="1" applyBorder="1" applyAlignment="1">
      <alignment horizontal="center" vertical="center"/>
    </xf>
    <xf numFmtId="166" fontId="10" fillId="0" borderId="4" xfId="4" applyNumberFormat="1" applyFont="1" applyBorder="1" applyAlignment="1">
      <alignment horizontal="center" vertical="center"/>
    </xf>
    <xf numFmtId="0" fontId="19" fillId="12" borderId="23" xfId="0" applyFont="1" applyFill="1" applyBorder="1" applyAlignment="1">
      <alignment horizontal="center" vertical="center" wrapText="1"/>
    </xf>
    <xf numFmtId="0" fontId="19" fillId="12" borderId="6" xfId="0" applyFont="1" applyFill="1" applyBorder="1" applyAlignment="1">
      <alignment horizontal="center" vertical="center" wrapText="1"/>
    </xf>
    <xf numFmtId="0" fontId="19" fillId="12" borderId="23" xfId="0" applyFont="1" applyFill="1" applyBorder="1" applyAlignment="1">
      <alignment vertical="center" wrapText="1"/>
    </xf>
    <xf numFmtId="0" fontId="19" fillId="12" borderId="6" xfId="0" applyFont="1" applyFill="1" applyBorder="1" applyAlignment="1">
      <alignment vertical="center" wrapText="1"/>
    </xf>
    <xf numFmtId="0" fontId="40" fillId="12" borderId="23" xfId="0" applyFont="1" applyFill="1" applyBorder="1" applyAlignment="1">
      <alignment vertical="center"/>
    </xf>
    <xf numFmtId="0" fontId="40" fillId="12" borderId="24" xfId="0" applyFont="1" applyFill="1" applyBorder="1" applyAlignment="1">
      <alignment vertical="center"/>
    </xf>
    <xf numFmtId="0" fontId="12" fillId="12" borderId="27" xfId="0" applyFont="1" applyFill="1" applyBorder="1" applyAlignment="1">
      <alignment horizontal="center" vertical="center"/>
    </xf>
    <xf numFmtId="0" fontId="12" fillId="12" borderId="0" xfId="0" applyFont="1" applyFill="1" applyBorder="1" applyAlignment="1">
      <alignment horizontal="center" vertical="center"/>
    </xf>
    <xf numFmtId="0" fontId="11" fillId="16" borderId="23" xfId="0" applyFont="1" applyFill="1" applyBorder="1" applyAlignment="1">
      <alignment vertical="center" wrapText="1"/>
    </xf>
    <xf numFmtId="0" fontId="11" fillId="16" borderId="24" xfId="0" applyFont="1" applyFill="1" applyBorder="1" applyAlignment="1">
      <alignment vertical="center" wrapText="1"/>
    </xf>
    <xf numFmtId="0" fontId="11" fillId="16" borderId="6" xfId="0" applyFont="1" applyFill="1" applyBorder="1" applyAlignment="1">
      <alignment vertical="center" wrapText="1"/>
    </xf>
    <xf numFmtId="0" fontId="79" fillId="0" borderId="23" xfId="0" applyFont="1" applyBorder="1" applyAlignment="1">
      <alignment vertical="center" wrapText="1"/>
    </xf>
    <xf numFmtId="0" fontId="79" fillId="0" borderId="6" xfId="0" applyFont="1" applyBorder="1" applyAlignment="1">
      <alignment vertical="center" wrapText="1"/>
    </xf>
    <xf numFmtId="0" fontId="80" fillId="0" borderId="1" xfId="0" applyFont="1" applyBorder="1" applyAlignment="1">
      <alignment horizontal="left" vertical="center"/>
    </xf>
    <xf numFmtId="169" fontId="80" fillId="0" borderId="3" xfId="0" applyNumberFormat="1" applyFont="1" applyBorder="1" applyAlignment="1">
      <alignment horizontal="center" vertical="center"/>
    </xf>
    <xf numFmtId="169" fontId="80" fillId="0" borderId="96" xfId="0" applyNumberFormat="1" applyFont="1" applyBorder="1" applyAlignment="1">
      <alignment horizontal="center" vertical="center"/>
    </xf>
    <xf numFmtId="166" fontId="80" fillId="0" borderId="1" xfId="4" applyNumberFormat="1" applyFont="1" applyBorder="1" applyAlignment="1">
      <alignment horizontal="center" vertical="center"/>
    </xf>
    <xf numFmtId="0" fontId="11" fillId="0" borderId="1" xfId="0" applyFont="1" applyBorder="1" applyAlignment="1">
      <alignment horizontal="left" vertical="center" wrapText="1"/>
    </xf>
    <xf numFmtId="0" fontId="12" fillId="12" borderId="96" xfId="0" applyFont="1" applyFill="1" applyBorder="1" applyAlignment="1">
      <alignment horizontal="center" vertical="center" wrapText="1"/>
    </xf>
    <xf numFmtId="0" fontId="12" fillId="12" borderId="1" xfId="0" applyFont="1" applyFill="1" applyBorder="1" applyAlignment="1">
      <alignment horizontal="center" vertical="center" wrapText="1"/>
    </xf>
    <xf numFmtId="0" fontId="9" fillId="12" borderId="1" xfId="0" applyFont="1" applyFill="1" applyBorder="1" applyAlignment="1">
      <alignment horizontal="center" vertical="center" wrapText="1"/>
    </xf>
    <xf numFmtId="2" fontId="80" fillId="0" borderId="3" xfId="0" applyNumberFormat="1" applyFont="1" applyBorder="1" applyAlignment="1">
      <alignment horizontal="center" vertical="center"/>
    </xf>
    <xf numFmtId="2" fontId="80" fillId="0" borderId="96" xfId="0" applyNumberFormat="1" applyFont="1" applyBorder="1" applyAlignment="1">
      <alignment horizontal="center" vertical="center"/>
    </xf>
    <xf numFmtId="0" fontId="12" fillId="12" borderId="23" xfId="0" applyFont="1" applyFill="1" applyBorder="1" applyAlignment="1">
      <alignment horizontal="center" vertical="center"/>
    </xf>
    <xf numFmtId="0" fontId="12" fillId="12" borderId="24" xfId="0" applyFont="1" applyFill="1" applyBorder="1" applyAlignment="1">
      <alignment horizontal="center" vertical="center"/>
    </xf>
    <xf numFmtId="0" fontId="12" fillId="12" borderId="6" xfId="0" applyFont="1" applyFill="1" applyBorder="1" applyAlignment="1">
      <alignment horizontal="center" vertical="center"/>
    </xf>
    <xf numFmtId="0" fontId="12" fillId="12" borderId="99" xfId="0" applyFont="1" applyFill="1" applyBorder="1" applyAlignment="1">
      <alignment horizontal="center" vertical="center"/>
    </xf>
    <xf numFmtId="0" fontId="12" fillId="12" borderId="98" xfId="0" applyFont="1" applyFill="1" applyBorder="1" applyAlignment="1">
      <alignment horizontal="center" vertical="center"/>
    </xf>
    <xf numFmtId="0" fontId="12" fillId="12" borderId="86" xfId="0" applyFont="1" applyFill="1" applyBorder="1" applyAlignment="1">
      <alignment horizontal="center" vertical="center"/>
    </xf>
    <xf numFmtId="0" fontId="19" fillId="12" borderId="99" xfId="0" applyFont="1" applyFill="1" applyBorder="1" applyAlignment="1">
      <alignment horizontal="center" vertical="center"/>
    </xf>
    <xf numFmtId="0" fontId="19" fillId="12" borderId="86" xfId="0" applyFont="1" applyFill="1" applyBorder="1" applyAlignment="1">
      <alignment horizontal="center" vertical="center"/>
    </xf>
    <xf numFmtId="0" fontId="9" fillId="12" borderId="22" xfId="0" applyFont="1" applyFill="1" applyBorder="1" applyAlignment="1">
      <alignment horizontal="center" vertical="center" wrapText="1"/>
    </xf>
    <xf numFmtId="0" fontId="9" fillId="12" borderId="5" xfId="0" applyFont="1" applyFill="1" applyBorder="1" applyAlignment="1">
      <alignment horizontal="center" vertical="center" wrapText="1"/>
    </xf>
    <xf numFmtId="9" fontId="10" fillId="0" borderId="26" xfId="0" applyNumberFormat="1" applyFont="1" applyBorder="1" applyAlignment="1">
      <alignment horizontal="center" vertical="center"/>
    </xf>
    <xf numFmtId="9" fontId="10" fillId="0" borderId="4" xfId="0" applyNumberFormat="1" applyFont="1" applyBorder="1" applyAlignment="1">
      <alignment horizontal="center" vertical="center"/>
    </xf>
    <xf numFmtId="0" fontId="19" fillId="12" borderId="98" xfId="0" applyFont="1" applyFill="1" applyBorder="1" applyAlignment="1">
      <alignment horizontal="center" vertical="center"/>
    </xf>
    <xf numFmtId="0" fontId="34" fillId="0" borderId="0" xfId="0" applyFont="1" applyAlignment="1">
      <alignment horizontal="left" vertical="top" wrapText="1"/>
    </xf>
    <xf numFmtId="0" fontId="34" fillId="0" borderId="0" xfId="0" applyFont="1" applyAlignment="1">
      <alignment horizontal="left" wrapText="1"/>
    </xf>
    <xf numFmtId="0" fontId="34" fillId="0" borderId="0" xfId="0" applyFont="1" applyAlignment="1">
      <alignment horizontal="left" vertical="center"/>
    </xf>
    <xf numFmtId="173" fontId="20" fillId="10" borderId="44" xfId="8" applyNumberFormat="1" applyFont="1" applyFill="1" applyBorder="1" applyAlignment="1">
      <alignment horizontal="center" vertical="center" wrapText="1"/>
    </xf>
    <xf numFmtId="173" fontId="20" fillId="10" borderId="40" xfId="8" applyNumberFormat="1" applyFont="1" applyFill="1" applyBorder="1" applyAlignment="1">
      <alignment horizontal="center" vertical="center" wrapText="1"/>
    </xf>
    <xf numFmtId="0" fontId="54" fillId="10" borderId="43" xfId="0" applyFont="1" applyFill="1" applyBorder="1" applyAlignment="1">
      <alignment horizontal="center" vertical="center"/>
    </xf>
    <xf numFmtId="0" fontId="54" fillId="10" borderId="42" xfId="0" applyFont="1" applyFill="1" applyBorder="1" applyAlignment="1">
      <alignment horizontal="center" vertical="center"/>
    </xf>
    <xf numFmtId="0" fontId="54" fillId="10" borderId="41" xfId="0" applyFont="1" applyFill="1" applyBorder="1" applyAlignment="1">
      <alignment horizontal="center" vertical="center"/>
    </xf>
    <xf numFmtId="0" fontId="53" fillId="10" borderId="42" xfId="0" applyFont="1" applyFill="1" applyBorder="1" applyAlignment="1">
      <alignment horizontal="center" vertical="center" wrapText="1"/>
    </xf>
    <xf numFmtId="0" fontId="53" fillId="10" borderId="41" xfId="0" applyFont="1" applyFill="1" applyBorder="1" applyAlignment="1">
      <alignment horizontal="center" vertical="center" wrapText="1"/>
    </xf>
    <xf numFmtId="0" fontId="1" fillId="10" borderId="0" xfId="0" applyFont="1" applyFill="1" applyBorder="1" applyAlignment="1">
      <alignment horizontal="center"/>
    </xf>
    <xf numFmtId="0" fontId="1" fillId="8" borderId="0" xfId="0" applyFont="1" applyFill="1" applyBorder="1" applyAlignment="1">
      <alignment horizontal="center"/>
    </xf>
    <xf numFmtId="166" fontId="1" fillId="0" borderId="0" xfId="4" applyNumberFormat="1" applyFont="1" applyAlignment="1">
      <alignment horizontal="center"/>
    </xf>
    <xf numFmtId="0" fontId="1" fillId="0" borderId="0" xfId="0" applyFont="1" applyAlignment="1">
      <alignment horizontal="center"/>
    </xf>
    <xf numFmtId="0" fontId="0" fillId="0" borderId="51" xfId="0" applyBorder="1" applyAlignment="1">
      <alignment horizontal="center"/>
    </xf>
    <xf numFmtId="0" fontId="0" fillId="0" borderId="52" xfId="0" applyBorder="1" applyAlignment="1">
      <alignment horizontal="center"/>
    </xf>
    <xf numFmtId="0" fontId="0" fillId="0" borderId="0" xfId="0" applyAlignment="1">
      <alignment horizontal="center"/>
    </xf>
    <xf numFmtId="0" fontId="0" fillId="0" borderId="43" xfId="0" applyBorder="1" applyAlignment="1">
      <alignment horizontal="center" vertical="center"/>
    </xf>
    <xf numFmtId="0" fontId="0" fillId="0" borderId="39" xfId="0" applyBorder="1" applyAlignment="1">
      <alignment horizontal="center" vertical="center"/>
    </xf>
    <xf numFmtId="0" fontId="0" fillId="0" borderId="34" xfId="0" applyBorder="1" applyAlignment="1">
      <alignment horizontal="center" vertical="center"/>
    </xf>
    <xf numFmtId="0" fontId="0" fillId="15" borderId="45" xfId="0" applyFill="1" applyBorder="1" applyAlignment="1">
      <alignment horizontal="center"/>
    </xf>
    <xf numFmtId="0" fontId="0" fillId="15" borderId="46" xfId="0" applyFill="1" applyBorder="1" applyAlignment="1">
      <alignment horizontal="center"/>
    </xf>
    <xf numFmtId="0" fontId="0" fillId="15" borderId="47" xfId="0" applyFill="1" applyBorder="1" applyAlignment="1">
      <alignment horizontal="center"/>
    </xf>
    <xf numFmtId="0" fontId="0" fillId="0" borderId="48" xfId="0" applyBorder="1" applyAlignment="1">
      <alignment horizontal="center"/>
    </xf>
    <xf numFmtId="0" fontId="0" fillId="0" borderId="46" xfId="0" applyBorder="1" applyAlignment="1">
      <alignment horizontal="center"/>
    </xf>
    <xf numFmtId="0" fontId="0" fillId="0" borderId="49" xfId="0" applyBorder="1" applyAlignment="1">
      <alignment horizontal="center"/>
    </xf>
    <xf numFmtId="0" fontId="0" fillId="0" borderId="45" xfId="0" applyBorder="1" applyAlignment="1">
      <alignment horizontal="center"/>
    </xf>
    <xf numFmtId="0" fontId="0" fillId="0" borderId="47" xfId="0" applyBorder="1" applyAlignment="1">
      <alignment horizontal="center"/>
    </xf>
    <xf numFmtId="0" fontId="0" fillId="0" borderId="50" xfId="0" applyBorder="1" applyAlignment="1">
      <alignment horizontal="center"/>
    </xf>
    <xf numFmtId="0" fontId="0" fillId="0" borderId="22" xfId="0" applyBorder="1" applyAlignment="1">
      <alignment horizontal="center"/>
    </xf>
    <xf numFmtId="0" fontId="0" fillId="0" borderId="53" xfId="0" applyBorder="1" applyAlignment="1">
      <alignment horizontal="center"/>
    </xf>
    <xf numFmtId="0" fontId="0" fillId="0" borderId="0" xfId="0" applyAlignment="1">
      <alignment horizontal="center" vertical="center"/>
    </xf>
    <xf numFmtId="10" fontId="1" fillId="0" borderId="0" xfId="4" applyNumberFormat="1" applyFont="1" applyAlignment="1">
      <alignment horizontal="center"/>
    </xf>
    <xf numFmtId="0" fontId="69" fillId="0" borderId="78" xfId="0" applyNumberFormat="1" applyFont="1" applyBorder="1" applyAlignment="1">
      <alignment horizontal="left" vertical="top" wrapText="1"/>
    </xf>
    <xf numFmtId="0" fontId="68" fillId="0" borderId="0" xfId="0" applyNumberFormat="1" applyFont="1" applyAlignment="1">
      <alignment horizontal="center" vertical="center" wrapText="1"/>
    </xf>
    <xf numFmtId="0" fontId="69" fillId="0" borderId="0" xfId="0" applyNumberFormat="1" applyFont="1" applyAlignment="1">
      <alignment horizontal="center" vertical="center" wrapText="1"/>
    </xf>
    <xf numFmtId="0" fontId="68" fillId="0" borderId="70" xfId="0" applyNumberFormat="1" applyFont="1" applyBorder="1" applyAlignment="1">
      <alignment horizontal="center" vertical="center" wrapText="1"/>
    </xf>
    <xf numFmtId="0" fontId="68" fillId="0" borderId="71" xfId="0" applyNumberFormat="1" applyFont="1" applyBorder="1" applyAlignment="1">
      <alignment horizontal="center" vertical="top" wrapText="1"/>
    </xf>
    <xf numFmtId="0" fontId="68" fillId="0" borderId="72" xfId="0" applyNumberFormat="1" applyFont="1" applyBorder="1" applyAlignment="1">
      <alignment horizontal="center" vertical="center" wrapText="1"/>
    </xf>
    <xf numFmtId="0" fontId="68" fillId="0" borderId="73" xfId="0" applyNumberFormat="1" applyFont="1" applyBorder="1" applyAlignment="1">
      <alignment horizontal="center" vertical="center" wrapText="1"/>
    </xf>
    <xf numFmtId="0" fontId="68" fillId="0" borderId="74" xfId="0" applyNumberFormat="1" applyFont="1" applyBorder="1" applyAlignment="1">
      <alignment horizontal="center" vertical="center" wrapText="1"/>
    </xf>
  </cellXfs>
  <cellStyles count="9">
    <cellStyle name="Comma" xfId="8" builtinId="3"/>
    <cellStyle name="Comma 2" xfId="2"/>
    <cellStyle name="Currency" xfId="5" builtinId="4"/>
    <cellStyle name="Currency 2" xfId="1"/>
    <cellStyle name="Normal" xfId="0" builtinId="0"/>
    <cellStyle name="Normal 10 3" xfId="6"/>
    <cellStyle name="Percent" xfId="4" builtinId="5"/>
    <cellStyle name="Percent 3" xfId="3"/>
    <cellStyle name="Percent 6" xfId="7"/>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0F243E"/>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961616105563283E-2"/>
          <c:y val="5.9201169074064988E-2"/>
          <c:w val="0.52693965703191081"/>
          <c:h val="0.86269629350617427"/>
        </c:manualLayout>
      </c:layout>
      <c:barChart>
        <c:barDir val="col"/>
        <c:grouping val="stacked"/>
        <c:varyColors val="0"/>
        <c:ser>
          <c:idx val="0"/>
          <c:order val="0"/>
          <c:tx>
            <c:strRef>
              <c:f>Results!$B$44</c:f>
              <c:strCache>
                <c:ptCount val="1"/>
                <c:pt idx="0">
                  <c:v>Reduction in Accident Costs </c:v>
                </c:pt>
              </c:strCache>
            </c:strRef>
          </c:tx>
          <c:invertIfNegative val="0"/>
          <c:cat>
            <c:numRef>
              <c:f>Results!$D$43:$AE$43</c:f>
              <c:numCache>
                <c:formatCode>General</c:formatCode>
                <c:ptCount val="28"/>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numCache>
            </c:numRef>
          </c:cat>
          <c:val>
            <c:numRef>
              <c:f>Results!$D$44:$AE$44</c:f>
              <c:numCache>
                <c:formatCode>"$"#,##0</c:formatCode>
                <c:ptCount val="28"/>
                <c:pt idx="0">
                  <c:v>0</c:v>
                </c:pt>
                <c:pt idx="1">
                  <c:v>0</c:v>
                </c:pt>
                <c:pt idx="2">
                  <c:v>0</c:v>
                </c:pt>
                <c:pt idx="3">
                  <c:v>0</c:v>
                </c:pt>
                <c:pt idx="4">
                  <c:v>0</c:v>
                </c:pt>
                <c:pt idx="5">
                  <c:v>0</c:v>
                </c:pt>
                <c:pt idx="6">
                  <c:v>0</c:v>
                </c:pt>
                <c:pt idx="7">
                  <c:v>0</c:v>
                </c:pt>
                <c:pt idx="8">
                  <c:v>3946707.7468974949</c:v>
                </c:pt>
                <c:pt idx="9">
                  <c:v>3738431.2642892916</c:v>
                </c:pt>
                <c:pt idx="10">
                  <c:v>3541145.9915677947</c:v>
                </c:pt>
                <c:pt idx="11">
                  <c:v>3354271.8983173734</c:v>
                </c:pt>
                <c:pt idx="12">
                  <c:v>3177259.5636081998</c:v>
                </c:pt>
                <c:pt idx="13">
                  <c:v>3009588.5606661178</c:v>
                </c:pt>
                <c:pt idx="14">
                  <c:v>2850765.9267869857</c:v>
                </c:pt>
                <c:pt idx="15">
                  <c:v>2700324.7139970935</c:v>
                </c:pt>
                <c:pt idx="16">
                  <c:v>2557822.6161983833</c:v>
                </c:pt>
                <c:pt idx="17">
                  <c:v>2422840.6687622466</c:v>
                </c:pt>
                <c:pt idx="18">
                  <c:v>2294982.0167486537</c:v>
                </c:pt>
                <c:pt idx="19">
                  <c:v>2173870.7481290717</c:v>
                </c:pt>
                <c:pt idx="20">
                  <c:v>2059150.7885827629</c:v>
                </c:pt>
                <c:pt idx="21">
                  <c:v>1950484.8546171477</c:v>
                </c:pt>
                <c:pt idx="22">
                  <c:v>1847553.461934329</c:v>
                </c:pt>
                <c:pt idx="23">
                  <c:v>1750053.986128249</c:v>
                </c:pt>
                <c:pt idx="24">
                  <c:v>1657699.7729510029</c:v>
                </c:pt>
                <c:pt idx="25">
                  <c:v>1570219.2955323069</c:v>
                </c:pt>
                <c:pt idx="26">
                  <c:v>1487355.3560743907</c:v>
                </c:pt>
                <c:pt idx="27">
                  <c:v>1408864.3296751934</c:v>
                </c:pt>
              </c:numCache>
            </c:numRef>
          </c:val>
          <c:extLst>
            <c:ext xmlns:c16="http://schemas.microsoft.com/office/drawing/2014/chart" uri="{C3380CC4-5D6E-409C-BE32-E72D297353CC}">
              <c16:uniqueId val="{00000000-FD99-4BA1-A1D8-CC3606B33F1F}"/>
            </c:ext>
          </c:extLst>
        </c:ser>
        <c:ser>
          <c:idx val="14"/>
          <c:order val="1"/>
          <c:tx>
            <c:strRef>
              <c:f>Results!$B$45</c:f>
              <c:strCache>
                <c:ptCount val="1"/>
                <c:pt idx="0">
                  <c:v>Travel Time Saving </c:v>
                </c:pt>
              </c:strCache>
            </c:strRef>
          </c:tx>
          <c:spPr>
            <a:solidFill>
              <a:srgbClr val="024D76"/>
            </a:solidFill>
          </c:spPr>
          <c:invertIfNegative val="0"/>
          <c:cat>
            <c:numRef>
              <c:f>Results!$D$43:$AE$43</c:f>
              <c:numCache>
                <c:formatCode>General</c:formatCode>
                <c:ptCount val="28"/>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numCache>
            </c:numRef>
          </c:cat>
          <c:val>
            <c:numRef>
              <c:f>Results!$D$45:$AE$45</c:f>
              <c:numCache>
                <c:formatCode>"$"#,##0</c:formatCode>
                <c:ptCount val="28"/>
                <c:pt idx="0">
                  <c:v>0</c:v>
                </c:pt>
                <c:pt idx="1">
                  <c:v>0</c:v>
                </c:pt>
                <c:pt idx="2">
                  <c:v>0</c:v>
                </c:pt>
                <c:pt idx="3">
                  <c:v>0</c:v>
                </c:pt>
                <c:pt idx="4">
                  <c:v>0</c:v>
                </c:pt>
                <c:pt idx="5">
                  <c:v>0</c:v>
                </c:pt>
                <c:pt idx="6">
                  <c:v>0</c:v>
                </c:pt>
                <c:pt idx="7">
                  <c:v>0</c:v>
                </c:pt>
                <c:pt idx="8">
                  <c:v>1479467.0190914611</c:v>
                </c:pt>
                <c:pt idx="9">
                  <c:v>1485384.329616043</c:v>
                </c:pt>
                <c:pt idx="10">
                  <c:v>1487555.1183201207</c:v>
                </c:pt>
                <c:pt idx="11">
                  <c:v>1486316.3873774032</c:v>
                </c:pt>
                <c:pt idx="12">
                  <c:v>1481981.7647790189</c:v>
                </c:pt>
                <c:pt idx="13">
                  <c:v>1474842.9589923548</c:v>
                </c:pt>
                <c:pt idx="14">
                  <c:v>1465171.1282755609</c:v>
                </c:pt>
                <c:pt idx="15">
                  <c:v>1453218.1694749303</c:v>
                </c:pt>
                <c:pt idx="16">
                  <c:v>1439217.9308660969</c:v>
                </c:pt>
                <c:pt idx="17">
                  <c:v>1423387.3533478833</c:v>
                </c:pt>
                <c:pt idx="18">
                  <c:v>1405927.544059413</c:v>
                </c:pt>
                <c:pt idx="19">
                  <c:v>1387024.7862657402</c:v>
                </c:pt>
                <c:pt idx="20">
                  <c:v>1366851.489144101</c:v>
                </c:pt>
                <c:pt idx="21">
                  <c:v>1345567.0809014586</c:v>
                </c:pt>
                <c:pt idx="22">
                  <c:v>1323318.8484634256</c:v>
                </c:pt>
                <c:pt idx="23">
                  <c:v>1300242.7267944803</c:v>
                </c:pt>
                <c:pt idx="24">
                  <c:v>1276464.0407391405</c:v>
                </c:pt>
                <c:pt idx="25">
                  <c:v>1252098.2021126398</c:v>
                </c:pt>
                <c:pt idx="26">
                  <c:v>1227251.3646174585</c:v>
                </c:pt>
                <c:pt idx="27">
                  <c:v>1202021.0390181351</c:v>
                </c:pt>
              </c:numCache>
            </c:numRef>
          </c:val>
          <c:extLst>
            <c:ext xmlns:c16="http://schemas.microsoft.com/office/drawing/2014/chart" uri="{C3380CC4-5D6E-409C-BE32-E72D297353CC}">
              <c16:uniqueId val="{00000001-FD99-4BA1-A1D8-CC3606B33F1F}"/>
            </c:ext>
          </c:extLst>
        </c:ser>
        <c:ser>
          <c:idx val="13"/>
          <c:order val="2"/>
          <c:tx>
            <c:strRef>
              <c:f>Results!$B$46</c:f>
              <c:strCache>
                <c:ptCount val="1"/>
                <c:pt idx="0">
                  <c:v>Travel Time Saving - Douglas Interchange</c:v>
                </c:pt>
              </c:strCache>
            </c:strRef>
          </c:tx>
          <c:invertIfNegative val="0"/>
          <c:cat>
            <c:numRef>
              <c:f>Results!$D$43:$AE$43</c:f>
              <c:numCache>
                <c:formatCode>General</c:formatCode>
                <c:ptCount val="28"/>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numCache>
            </c:numRef>
          </c:cat>
          <c:val>
            <c:numRef>
              <c:f>Results!$D$46:$AE$46</c:f>
              <c:numCache>
                <c:formatCode>"$"#,##0</c:formatCode>
                <c:ptCount val="28"/>
                <c:pt idx="0">
                  <c:v>0</c:v>
                </c:pt>
                <c:pt idx="1">
                  <c:v>0</c:v>
                </c:pt>
                <c:pt idx="2">
                  <c:v>0</c:v>
                </c:pt>
                <c:pt idx="3">
                  <c:v>0</c:v>
                </c:pt>
                <c:pt idx="4">
                  <c:v>0</c:v>
                </c:pt>
                <c:pt idx="5">
                  <c:v>0</c:v>
                </c:pt>
                <c:pt idx="6">
                  <c:v>0</c:v>
                </c:pt>
                <c:pt idx="7">
                  <c:v>0</c:v>
                </c:pt>
                <c:pt idx="8">
                  <c:v>412557.32469439384</c:v>
                </c:pt>
                <c:pt idx="9">
                  <c:v>413402.53503886412</c:v>
                </c:pt>
                <c:pt idx="10">
                  <c:v>414047.65146063187</c:v>
                </c:pt>
                <c:pt idx="11">
                  <c:v>414482.48190503125</c:v>
                </c:pt>
                <c:pt idx="12">
                  <c:v>414696.45724290446</c:v>
                </c:pt>
                <c:pt idx="13">
                  <c:v>414678.61894975469</c:v>
                </c:pt>
                <c:pt idx="14">
                  <c:v>414417.60640806169</c:v>
                </c:pt>
                <c:pt idx="15">
                  <c:v>413901.64382168557</c:v>
                </c:pt>
                <c:pt idx="16">
                  <c:v>413118.52673098532</c:v>
                </c:pt>
                <c:pt idx="17">
                  <c:v>412055.60811693314</c:v>
                </c:pt>
                <c:pt idx="18">
                  <c:v>410699.78408220049</c:v>
                </c:pt>
                <c:pt idx="19">
                  <c:v>409037.47909681534</c:v>
                </c:pt>
                <c:pt idx="20">
                  <c:v>407054.63079565961</c:v>
                </c:pt>
                <c:pt idx="21">
                  <c:v>404736.67431471229</c:v>
                </c:pt>
                <c:pt idx="22">
                  <c:v>402068.52615255193</c:v>
                </c:pt>
                <c:pt idx="23">
                  <c:v>399034.56754327653</c:v>
                </c:pt>
                <c:pt idx="24">
                  <c:v>395618.62732656585</c:v>
                </c:pt>
                <c:pt idx="25">
                  <c:v>391803.96430027194</c:v>
                </c:pt>
                <c:pt idx="26">
                  <c:v>387573.24904040736</c:v>
                </c:pt>
                <c:pt idx="27">
                  <c:v>382908.54517308337</c:v>
                </c:pt>
              </c:numCache>
            </c:numRef>
          </c:val>
          <c:extLst>
            <c:ext xmlns:c16="http://schemas.microsoft.com/office/drawing/2014/chart" uri="{C3380CC4-5D6E-409C-BE32-E72D297353CC}">
              <c16:uniqueId val="{00000002-FD99-4BA1-A1D8-CC3606B33F1F}"/>
            </c:ext>
          </c:extLst>
        </c:ser>
        <c:ser>
          <c:idx val="15"/>
          <c:order val="3"/>
          <c:tx>
            <c:strRef>
              <c:f>Results!$B$47</c:f>
              <c:strCache>
                <c:ptCount val="1"/>
                <c:pt idx="0">
                  <c:v>Residual Value</c:v>
                </c:pt>
              </c:strCache>
            </c:strRef>
          </c:tx>
          <c:invertIfNegative val="0"/>
          <c:cat>
            <c:numRef>
              <c:f>Results!$D$43:$AE$43</c:f>
              <c:numCache>
                <c:formatCode>General</c:formatCode>
                <c:ptCount val="28"/>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numCache>
            </c:numRef>
          </c:cat>
          <c:val>
            <c:numRef>
              <c:f>Results!$D$47:$AE$47</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11054342.984853599</c:v>
                </c:pt>
              </c:numCache>
            </c:numRef>
          </c:val>
          <c:extLst>
            <c:ext xmlns:c16="http://schemas.microsoft.com/office/drawing/2014/chart" uri="{C3380CC4-5D6E-409C-BE32-E72D297353CC}">
              <c16:uniqueId val="{00000003-FD99-4BA1-A1D8-CC3606B33F1F}"/>
            </c:ext>
          </c:extLst>
        </c:ser>
        <c:ser>
          <c:idx val="1"/>
          <c:order val="4"/>
          <c:tx>
            <c:strRef>
              <c:f>Results!$B$48</c:f>
              <c:strCache>
                <c:ptCount val="1"/>
                <c:pt idx="0">
                  <c:v>Agency Cost Saving</c:v>
                </c:pt>
              </c:strCache>
            </c:strRef>
          </c:tx>
          <c:invertIfNegative val="0"/>
          <c:cat>
            <c:numRef>
              <c:f>Results!$D$43:$AE$43</c:f>
              <c:numCache>
                <c:formatCode>General</c:formatCode>
                <c:ptCount val="28"/>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numCache>
            </c:numRef>
          </c:cat>
          <c:val>
            <c:numRef>
              <c:f>Results!$D$48:$AE$48</c:f>
              <c:numCache>
                <c:formatCode>"$"#,##0</c:formatCode>
                <c:ptCount val="28"/>
                <c:pt idx="0">
                  <c:v>0</c:v>
                </c:pt>
                <c:pt idx="1">
                  <c:v>0</c:v>
                </c:pt>
                <c:pt idx="2">
                  <c:v>0</c:v>
                </c:pt>
                <c:pt idx="3">
                  <c:v>0</c:v>
                </c:pt>
                <c:pt idx="4">
                  <c:v>0</c:v>
                </c:pt>
                <c:pt idx="5">
                  <c:v>0</c:v>
                </c:pt>
                <c:pt idx="6">
                  <c:v>0</c:v>
                </c:pt>
                <c:pt idx="7">
                  <c:v>4552958.7686412763</c:v>
                </c:pt>
                <c:pt idx="8">
                  <c:v>0</c:v>
                </c:pt>
                <c:pt idx="9">
                  <c:v>0</c:v>
                </c:pt>
                <c:pt idx="10">
                  <c:v>0</c:v>
                </c:pt>
                <c:pt idx="11">
                  <c:v>3016400.1235033004</c:v>
                </c:pt>
                <c:pt idx="12">
                  <c:v>0</c:v>
                </c:pt>
                <c:pt idx="13">
                  <c:v>0</c:v>
                </c:pt>
                <c:pt idx="14">
                  <c:v>0</c:v>
                </c:pt>
                <c:pt idx="15">
                  <c:v>0</c:v>
                </c:pt>
                <c:pt idx="16">
                  <c:v>2150651.5998506844</c:v>
                </c:pt>
                <c:pt idx="17">
                  <c:v>0</c:v>
                </c:pt>
                <c:pt idx="18">
                  <c:v>0</c:v>
                </c:pt>
                <c:pt idx="19">
                  <c:v>0</c:v>
                </c:pt>
                <c:pt idx="20">
                  <c:v>0</c:v>
                </c:pt>
                <c:pt idx="21">
                  <c:v>1301053.8270358609</c:v>
                </c:pt>
                <c:pt idx="22">
                  <c:v>0</c:v>
                </c:pt>
                <c:pt idx="23">
                  <c:v>0</c:v>
                </c:pt>
                <c:pt idx="24">
                  <c:v>0</c:v>
                </c:pt>
                <c:pt idx="25">
                  <c:v>0</c:v>
                </c:pt>
                <c:pt idx="26">
                  <c:v>927633.39744090394</c:v>
                </c:pt>
                <c:pt idx="27">
                  <c:v>0</c:v>
                </c:pt>
              </c:numCache>
            </c:numRef>
          </c:val>
          <c:extLst>
            <c:ext xmlns:c16="http://schemas.microsoft.com/office/drawing/2014/chart" uri="{C3380CC4-5D6E-409C-BE32-E72D297353CC}">
              <c16:uniqueId val="{00000004-FD99-4BA1-A1D8-CC3606B33F1F}"/>
            </c:ext>
          </c:extLst>
        </c:ser>
        <c:ser>
          <c:idx val="17"/>
          <c:order val="5"/>
          <c:tx>
            <c:strRef>
              <c:f>Results!$B$50</c:f>
              <c:strCache>
                <c:ptCount val="1"/>
                <c:pt idx="0">
                  <c:v>Capital Costs</c:v>
                </c:pt>
              </c:strCache>
            </c:strRef>
          </c:tx>
          <c:invertIfNegative val="0"/>
          <c:cat>
            <c:numRef>
              <c:f>Results!$D$43:$AE$43</c:f>
              <c:numCache>
                <c:formatCode>General</c:formatCode>
                <c:ptCount val="28"/>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numCache>
            </c:numRef>
          </c:cat>
          <c:val>
            <c:numRef>
              <c:f>Results!$D$50:$AE$50</c:f>
              <c:numCache>
                <c:formatCode>"$"#,##0</c:formatCode>
                <c:ptCount val="28"/>
                <c:pt idx="0">
                  <c:v>-6329734.9484821605</c:v>
                </c:pt>
                <c:pt idx="1">
                  <c:v>0</c:v>
                </c:pt>
                <c:pt idx="2">
                  <c:v>0</c:v>
                </c:pt>
                <c:pt idx="3">
                  <c:v>0</c:v>
                </c:pt>
                <c:pt idx="4">
                  <c:v>-15113277.222813772</c:v>
                </c:pt>
                <c:pt idx="5">
                  <c:v>-18996358.646429006</c:v>
                </c:pt>
                <c:pt idx="6">
                  <c:v>-22973019.296855092</c:v>
                </c:pt>
                <c:pt idx="7">
                  <c:v>-13766025.997029144</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extLst>
            <c:ext xmlns:c16="http://schemas.microsoft.com/office/drawing/2014/chart" uri="{C3380CC4-5D6E-409C-BE32-E72D297353CC}">
              <c16:uniqueId val="{00000005-FD99-4BA1-A1D8-CC3606B33F1F}"/>
            </c:ext>
          </c:extLst>
        </c:ser>
        <c:ser>
          <c:idx val="18"/>
          <c:order val="6"/>
          <c:tx>
            <c:strRef>
              <c:f>Results!$B$49</c:f>
              <c:strCache>
                <c:ptCount val="1"/>
                <c:pt idx="0">
                  <c:v>O&amp;M Costs</c:v>
                </c:pt>
              </c:strCache>
            </c:strRef>
          </c:tx>
          <c:invertIfNegative val="0"/>
          <c:cat>
            <c:numRef>
              <c:f>Results!$D$43:$AE$43</c:f>
              <c:numCache>
                <c:formatCode>General</c:formatCode>
                <c:ptCount val="28"/>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numCache>
            </c:numRef>
          </c:cat>
          <c:val>
            <c:numRef>
              <c:f>Results!$D$49:$AE$49</c:f>
              <c:numCache>
                <c:formatCode>"$"#,##0</c:formatCode>
                <c:ptCount val="28"/>
                <c:pt idx="0">
                  <c:v>0</c:v>
                </c:pt>
                <c:pt idx="1">
                  <c:v>0</c:v>
                </c:pt>
                <c:pt idx="2">
                  <c:v>0</c:v>
                </c:pt>
                <c:pt idx="3">
                  <c:v>0</c:v>
                </c:pt>
                <c:pt idx="4">
                  <c:v>0</c:v>
                </c:pt>
                <c:pt idx="5">
                  <c:v>0</c:v>
                </c:pt>
                <c:pt idx="6">
                  <c:v>0</c:v>
                </c:pt>
                <c:pt idx="7">
                  <c:v>599073.52218964149</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911068.51534374489</c:v>
                </c:pt>
                <c:pt idx="27">
                  <c:v>0</c:v>
                </c:pt>
              </c:numCache>
            </c:numRef>
          </c:val>
          <c:extLst>
            <c:ext xmlns:c16="http://schemas.microsoft.com/office/drawing/2014/chart" uri="{C3380CC4-5D6E-409C-BE32-E72D297353CC}">
              <c16:uniqueId val="{00000006-FD99-4BA1-A1D8-CC3606B33F1F}"/>
            </c:ext>
          </c:extLst>
        </c:ser>
        <c:dLbls>
          <c:showLegendKey val="0"/>
          <c:showVal val="0"/>
          <c:showCatName val="0"/>
          <c:showSerName val="0"/>
          <c:showPercent val="0"/>
          <c:showBubbleSize val="0"/>
        </c:dLbls>
        <c:gapWidth val="50"/>
        <c:overlap val="100"/>
        <c:axId val="592446480"/>
        <c:axId val="728555080"/>
      </c:barChart>
      <c:catAx>
        <c:axId val="592446480"/>
        <c:scaling>
          <c:orientation val="minMax"/>
        </c:scaling>
        <c:delete val="0"/>
        <c:axPos val="b"/>
        <c:numFmt formatCode="General" sourceLinked="1"/>
        <c:majorTickMark val="out"/>
        <c:minorTickMark val="none"/>
        <c:tickLblPos val="nextTo"/>
        <c:txPr>
          <a:bodyPr rot="-2700000"/>
          <a:lstStyle/>
          <a:p>
            <a:pPr>
              <a:defRPr b="1">
                <a:solidFill>
                  <a:schemeClr val="tx1">
                    <a:lumMod val="65000"/>
                    <a:lumOff val="35000"/>
                  </a:schemeClr>
                </a:solidFill>
              </a:defRPr>
            </a:pPr>
            <a:endParaRPr lang="en-US"/>
          </a:p>
        </c:txPr>
        <c:crossAx val="728555080"/>
        <c:crosses val="autoZero"/>
        <c:auto val="1"/>
        <c:lblAlgn val="ctr"/>
        <c:lblOffset val="100"/>
        <c:noMultiLvlLbl val="0"/>
      </c:catAx>
      <c:valAx>
        <c:axId val="728555080"/>
        <c:scaling>
          <c:orientation val="minMax"/>
        </c:scaling>
        <c:delete val="0"/>
        <c:axPos val="l"/>
        <c:majorGridlines>
          <c:spPr>
            <a:ln>
              <a:solidFill>
                <a:schemeClr val="bg1">
                  <a:lumMod val="85000"/>
                </a:schemeClr>
              </a:solidFill>
            </a:ln>
          </c:spPr>
        </c:majorGridlines>
        <c:title>
          <c:tx>
            <c:rich>
              <a:bodyPr/>
              <a:lstStyle/>
              <a:p>
                <a:pPr>
                  <a:defRPr>
                    <a:solidFill>
                      <a:schemeClr val="tx1">
                        <a:lumMod val="65000"/>
                        <a:lumOff val="35000"/>
                      </a:schemeClr>
                    </a:solidFill>
                  </a:defRPr>
                </a:pPr>
                <a:r>
                  <a:rPr lang="en-US">
                    <a:solidFill>
                      <a:schemeClr val="tx1">
                        <a:lumMod val="65000"/>
                        <a:lumOff val="35000"/>
                      </a:schemeClr>
                    </a:solidFill>
                  </a:rPr>
                  <a:t>Millions of 2018$</a:t>
                </a:r>
              </a:p>
            </c:rich>
          </c:tx>
          <c:layout/>
          <c:overlay val="0"/>
        </c:title>
        <c:numFmt formatCode="&quot;$&quot;#,##0" sourceLinked="1"/>
        <c:majorTickMark val="out"/>
        <c:minorTickMark val="none"/>
        <c:tickLblPos val="nextTo"/>
        <c:spPr>
          <a:ln w="19050">
            <a:solidFill>
              <a:schemeClr val="tx2"/>
            </a:solidFill>
          </a:ln>
        </c:spPr>
        <c:txPr>
          <a:bodyPr/>
          <a:lstStyle/>
          <a:p>
            <a:pPr>
              <a:defRPr b="1">
                <a:solidFill>
                  <a:schemeClr val="tx1">
                    <a:lumMod val="65000"/>
                    <a:lumOff val="35000"/>
                  </a:schemeClr>
                </a:solidFill>
              </a:defRPr>
            </a:pPr>
            <a:endParaRPr lang="en-US"/>
          </a:p>
        </c:txPr>
        <c:crossAx val="592446480"/>
        <c:crossesAt val="1"/>
        <c:crossBetween val="midCat"/>
        <c:dispUnits>
          <c:builtInUnit val="millions"/>
          <c:dispUnitsLbl>
            <c:layout>
              <c:manualLayout>
                <c:xMode val="edge"/>
                <c:yMode val="edge"/>
                <c:x val="6.1953429990101606E-4"/>
                <c:y val="0.34617456027441906"/>
              </c:manualLayout>
            </c:layout>
            <c:tx>
              <c:rich>
                <a:bodyPr/>
                <a:lstStyle/>
                <a:p>
                  <a:pPr>
                    <a:defRPr/>
                  </a:pPr>
                  <a:r>
                    <a:rPr lang="en-US"/>
                    <a:t> </a:t>
                  </a:r>
                </a:p>
              </c:rich>
            </c:tx>
          </c:dispUnitsLbl>
        </c:dispUnits>
      </c:valAx>
    </c:plotArea>
    <c:legend>
      <c:legendPos val="b"/>
      <c:layout>
        <c:manualLayout>
          <c:xMode val="edge"/>
          <c:yMode val="edge"/>
          <c:x val="0.60847291532914893"/>
          <c:y val="4.8987988170119172E-2"/>
          <c:w val="0.39152715804307048"/>
          <c:h val="0.84969633519272814"/>
        </c:manualLayout>
      </c:layout>
      <c:overlay val="0"/>
      <c:txPr>
        <a:bodyPr/>
        <a:lstStyle/>
        <a:p>
          <a:pPr>
            <a:defRPr b="1">
              <a:solidFill>
                <a:schemeClr val="tx1">
                  <a:lumMod val="65000"/>
                  <a:lumOff val="35000"/>
                </a:schemeClr>
              </a:solidFill>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'Traffic Projection'!#REF!</c:f>
            </c:numRef>
          </c:xVal>
          <c:yVal>
            <c:numRef>
              <c:f>'Traffic Projection'!#REF!</c:f>
              <c:numCache>
                <c:formatCode>General</c:formatCode>
                <c:ptCount val="1"/>
                <c:pt idx="0">
                  <c:v>1</c:v>
                </c:pt>
              </c:numCache>
            </c:numRef>
          </c:yVal>
          <c:smooth val="1"/>
          <c:extLst>
            <c:ext xmlns:c15="http://schemas.microsoft.com/office/drawing/2012/chart" uri="{02D57815-91ED-43cb-92C2-25804820EDAC}">
              <c15:filteredSeriesTitle>
                <c15:tx>
                  <c:strRef>
                    <c:extLst>
                      <c:ext uri="{02D57815-91ED-43cb-92C2-25804820EDAC}">
                        <c15:formulaRef>
                          <c15:sqref>'Traffic Projection'!#REF!</c15:sqref>
                        </c15:formulaRef>
                      </c:ext>
                    </c:extLst>
                    <c:strCache>
                      <c:ptCount val="1"/>
                      <c:pt idx="0">
                        <c:v>#REF!</c:v>
                      </c:pt>
                    </c:strCache>
                  </c:strRef>
                </c15:tx>
              </c15:filteredSeriesTitle>
            </c:ext>
            <c:ext xmlns:c16="http://schemas.microsoft.com/office/drawing/2014/chart" uri="{C3380CC4-5D6E-409C-BE32-E72D297353CC}">
              <c16:uniqueId val="{00000000-CE32-4358-96B2-779AD1A63700}"/>
            </c:ext>
          </c:extLst>
        </c:ser>
        <c:dLbls>
          <c:showLegendKey val="0"/>
          <c:showVal val="0"/>
          <c:showCatName val="0"/>
          <c:showSerName val="0"/>
          <c:showPercent val="0"/>
          <c:showBubbleSize val="0"/>
        </c:dLbls>
        <c:axId val="728556256"/>
        <c:axId val="728555472"/>
      </c:scatterChart>
      <c:valAx>
        <c:axId val="72855625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8555472"/>
        <c:crosses val="autoZero"/>
        <c:crossBetween val="midCat"/>
      </c:valAx>
      <c:valAx>
        <c:axId val="72855547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855625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381000</xdr:colOff>
      <xdr:row>7</xdr:row>
      <xdr:rowOff>123825</xdr:rowOff>
    </xdr:from>
    <xdr:to>
      <xdr:col>7</xdr:col>
      <xdr:colOff>304800</xdr:colOff>
      <xdr:row>10</xdr:row>
      <xdr:rowOff>183153</xdr:rowOff>
    </xdr:to>
    <xdr:sp macro="" textlink="">
      <xdr:nvSpPr>
        <xdr:cNvPr id="2" name="Freeform 1"/>
        <xdr:cNvSpPr>
          <a:spLocks noChangeAspect="1" noEditPoints="1"/>
        </xdr:cNvSpPr>
      </xdr:nvSpPr>
      <xdr:spPr bwMode="auto">
        <a:xfrm>
          <a:off x="3429000" y="1541145"/>
          <a:ext cx="1143000" cy="607968"/>
        </a:xfrm>
        <a:custGeom>
          <a:avLst/>
          <a:gdLst>
            <a:gd name="T0" fmla="*/ 693 w 1044"/>
            <a:gd name="T1" fmla="*/ 280 h 576"/>
            <a:gd name="T2" fmla="*/ 693 w 1044"/>
            <a:gd name="T3" fmla="*/ 280 h 576"/>
            <a:gd name="T4" fmla="*/ 413 w 1044"/>
            <a:gd name="T5" fmla="*/ 561 h 576"/>
            <a:gd name="T6" fmla="*/ 347 w 1044"/>
            <a:gd name="T7" fmla="*/ 561 h 576"/>
            <a:gd name="T8" fmla="*/ 347 w 1044"/>
            <a:gd name="T9" fmla="*/ 455 h 576"/>
            <a:gd name="T10" fmla="*/ 413 w 1044"/>
            <a:gd name="T11" fmla="*/ 455 h 576"/>
            <a:gd name="T12" fmla="*/ 588 w 1044"/>
            <a:gd name="T13" fmla="*/ 280 h 576"/>
            <a:gd name="T14" fmla="*/ 413 w 1044"/>
            <a:gd name="T15" fmla="*/ 105 h 576"/>
            <a:gd name="T16" fmla="*/ 347 w 1044"/>
            <a:gd name="T17" fmla="*/ 105 h 576"/>
            <a:gd name="T18" fmla="*/ 347 w 1044"/>
            <a:gd name="T19" fmla="*/ 0 h 576"/>
            <a:gd name="T20" fmla="*/ 413 w 1044"/>
            <a:gd name="T21" fmla="*/ 0 h 576"/>
            <a:gd name="T22" fmla="*/ 693 w 1044"/>
            <a:gd name="T23" fmla="*/ 280 h 576"/>
            <a:gd name="T24" fmla="*/ 693 w 1044"/>
            <a:gd name="T25" fmla="*/ 280 h 576"/>
            <a:gd name="T26" fmla="*/ 693 w 1044"/>
            <a:gd name="T27" fmla="*/ 280 h 576"/>
            <a:gd name="T28" fmla="*/ 693 w 1044"/>
            <a:gd name="T29" fmla="*/ 280 h 576"/>
            <a:gd name="T30" fmla="*/ 693 w 1044"/>
            <a:gd name="T31" fmla="*/ 101 h 576"/>
            <a:gd name="T32" fmla="*/ 820 w 1044"/>
            <a:gd name="T33" fmla="*/ 101 h 576"/>
            <a:gd name="T34" fmla="*/ 902 w 1044"/>
            <a:gd name="T35" fmla="*/ 127 h 576"/>
            <a:gd name="T36" fmla="*/ 928 w 1044"/>
            <a:gd name="T37" fmla="*/ 191 h 576"/>
            <a:gd name="T38" fmla="*/ 825 w 1044"/>
            <a:gd name="T39" fmla="*/ 281 h 576"/>
            <a:gd name="T40" fmla="*/ 793 w 1044"/>
            <a:gd name="T41" fmla="*/ 281 h 576"/>
            <a:gd name="T42" fmla="*/ 756 w 1044"/>
            <a:gd name="T43" fmla="*/ 361 h 576"/>
            <a:gd name="T44" fmla="*/ 963 w 1044"/>
            <a:gd name="T45" fmla="*/ 576 h 576"/>
            <a:gd name="T46" fmla="*/ 1044 w 1044"/>
            <a:gd name="T47" fmla="*/ 508 h 576"/>
            <a:gd name="T48" fmla="*/ 897 w 1044"/>
            <a:gd name="T49" fmla="*/ 360 h 576"/>
            <a:gd name="T50" fmla="*/ 1033 w 1044"/>
            <a:gd name="T51" fmla="*/ 193 h 576"/>
            <a:gd name="T52" fmla="*/ 975 w 1044"/>
            <a:gd name="T53" fmla="*/ 50 h 576"/>
            <a:gd name="T54" fmla="*/ 812 w 1044"/>
            <a:gd name="T55" fmla="*/ 0 h 576"/>
            <a:gd name="T56" fmla="*/ 693 w 1044"/>
            <a:gd name="T57" fmla="*/ 0 h 576"/>
            <a:gd name="T58" fmla="*/ 693 w 1044"/>
            <a:gd name="T59" fmla="*/ 101 h 576"/>
            <a:gd name="T60" fmla="*/ 350 w 1044"/>
            <a:gd name="T61" fmla="*/ 224 h 576"/>
            <a:gd name="T62" fmla="*/ 114 w 1044"/>
            <a:gd name="T63" fmla="*/ 224 h 576"/>
            <a:gd name="T64" fmla="*/ 114 w 1044"/>
            <a:gd name="T65" fmla="*/ 0 h 576"/>
            <a:gd name="T66" fmla="*/ 0 w 1044"/>
            <a:gd name="T67" fmla="*/ 0 h 576"/>
            <a:gd name="T68" fmla="*/ 0 w 1044"/>
            <a:gd name="T69" fmla="*/ 561 h 576"/>
            <a:gd name="T70" fmla="*/ 114 w 1044"/>
            <a:gd name="T71" fmla="*/ 561 h 576"/>
            <a:gd name="T72" fmla="*/ 114 w 1044"/>
            <a:gd name="T73" fmla="*/ 336 h 576"/>
            <a:gd name="T74" fmla="*/ 350 w 1044"/>
            <a:gd name="T75" fmla="*/ 336 h 576"/>
            <a:gd name="T76" fmla="*/ 350 w 1044"/>
            <a:gd name="T77" fmla="*/ 224 h 5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1044" h="576">
              <a:moveTo>
                <a:pt x="693" y="280"/>
              </a:moveTo>
              <a:cubicBezTo>
                <a:pt x="693" y="280"/>
                <a:pt x="693" y="280"/>
                <a:pt x="693" y="280"/>
              </a:cubicBezTo>
              <a:cubicBezTo>
                <a:pt x="693" y="442"/>
                <a:pt x="575" y="561"/>
                <a:pt x="413" y="561"/>
              </a:cubicBezTo>
              <a:cubicBezTo>
                <a:pt x="347" y="561"/>
                <a:pt x="347" y="561"/>
                <a:pt x="347" y="561"/>
              </a:cubicBezTo>
              <a:cubicBezTo>
                <a:pt x="347" y="455"/>
                <a:pt x="347" y="455"/>
                <a:pt x="347" y="455"/>
              </a:cubicBezTo>
              <a:cubicBezTo>
                <a:pt x="413" y="455"/>
                <a:pt x="413" y="455"/>
                <a:pt x="413" y="455"/>
              </a:cubicBezTo>
              <a:cubicBezTo>
                <a:pt x="516" y="455"/>
                <a:pt x="588" y="383"/>
                <a:pt x="588" y="280"/>
              </a:cubicBezTo>
              <a:cubicBezTo>
                <a:pt x="588" y="177"/>
                <a:pt x="516" y="105"/>
                <a:pt x="413" y="105"/>
              </a:cubicBezTo>
              <a:cubicBezTo>
                <a:pt x="347" y="105"/>
                <a:pt x="347" y="105"/>
                <a:pt x="347" y="105"/>
              </a:cubicBezTo>
              <a:cubicBezTo>
                <a:pt x="347" y="0"/>
                <a:pt x="347" y="0"/>
                <a:pt x="347" y="0"/>
              </a:cubicBezTo>
              <a:cubicBezTo>
                <a:pt x="413" y="0"/>
                <a:pt x="413" y="0"/>
                <a:pt x="413" y="0"/>
              </a:cubicBezTo>
              <a:cubicBezTo>
                <a:pt x="575" y="0"/>
                <a:pt x="693" y="118"/>
                <a:pt x="693" y="280"/>
              </a:cubicBezTo>
              <a:cubicBezTo>
                <a:pt x="693" y="280"/>
                <a:pt x="693" y="280"/>
                <a:pt x="693" y="280"/>
              </a:cubicBezTo>
              <a:cubicBezTo>
                <a:pt x="693" y="280"/>
                <a:pt x="693" y="280"/>
                <a:pt x="693" y="280"/>
              </a:cubicBezTo>
              <a:cubicBezTo>
                <a:pt x="693" y="280"/>
                <a:pt x="693" y="280"/>
                <a:pt x="693" y="280"/>
              </a:cubicBezTo>
              <a:close/>
              <a:moveTo>
                <a:pt x="693" y="101"/>
              </a:moveTo>
              <a:cubicBezTo>
                <a:pt x="820" y="101"/>
                <a:pt x="820" y="101"/>
                <a:pt x="820" y="101"/>
              </a:cubicBezTo>
              <a:cubicBezTo>
                <a:pt x="858" y="101"/>
                <a:pt x="884" y="109"/>
                <a:pt x="902" y="127"/>
              </a:cubicBezTo>
              <a:cubicBezTo>
                <a:pt x="919" y="144"/>
                <a:pt x="928" y="166"/>
                <a:pt x="928" y="191"/>
              </a:cubicBezTo>
              <a:cubicBezTo>
                <a:pt x="928" y="247"/>
                <a:pt x="879" y="281"/>
                <a:pt x="825" y="281"/>
              </a:cubicBezTo>
              <a:cubicBezTo>
                <a:pt x="793" y="281"/>
                <a:pt x="793" y="281"/>
                <a:pt x="793" y="281"/>
              </a:cubicBezTo>
              <a:cubicBezTo>
                <a:pt x="756" y="361"/>
                <a:pt x="756" y="361"/>
                <a:pt x="756" y="361"/>
              </a:cubicBezTo>
              <a:cubicBezTo>
                <a:pt x="963" y="576"/>
                <a:pt x="963" y="576"/>
                <a:pt x="963" y="576"/>
              </a:cubicBezTo>
              <a:cubicBezTo>
                <a:pt x="1044" y="508"/>
                <a:pt x="1044" y="508"/>
                <a:pt x="1044" y="508"/>
              </a:cubicBezTo>
              <a:cubicBezTo>
                <a:pt x="897" y="360"/>
                <a:pt x="897" y="360"/>
                <a:pt x="897" y="360"/>
              </a:cubicBezTo>
              <a:cubicBezTo>
                <a:pt x="978" y="345"/>
                <a:pt x="1033" y="271"/>
                <a:pt x="1033" y="193"/>
              </a:cubicBezTo>
              <a:cubicBezTo>
                <a:pt x="1033" y="135"/>
                <a:pt x="1017" y="90"/>
                <a:pt x="975" y="50"/>
              </a:cubicBezTo>
              <a:cubicBezTo>
                <a:pt x="932" y="10"/>
                <a:pt x="884" y="0"/>
                <a:pt x="812" y="0"/>
              </a:cubicBezTo>
              <a:cubicBezTo>
                <a:pt x="693" y="0"/>
                <a:pt x="693" y="0"/>
                <a:pt x="693" y="0"/>
              </a:cubicBezTo>
              <a:lnTo>
                <a:pt x="693" y="101"/>
              </a:lnTo>
              <a:close/>
              <a:moveTo>
                <a:pt x="350" y="224"/>
              </a:moveTo>
              <a:cubicBezTo>
                <a:pt x="114" y="224"/>
                <a:pt x="114" y="224"/>
                <a:pt x="114" y="224"/>
              </a:cubicBezTo>
              <a:cubicBezTo>
                <a:pt x="114" y="0"/>
                <a:pt x="114" y="0"/>
                <a:pt x="114" y="0"/>
              </a:cubicBezTo>
              <a:cubicBezTo>
                <a:pt x="0" y="0"/>
                <a:pt x="0" y="0"/>
                <a:pt x="0" y="0"/>
              </a:cubicBezTo>
              <a:cubicBezTo>
                <a:pt x="0" y="561"/>
                <a:pt x="0" y="561"/>
                <a:pt x="0" y="561"/>
              </a:cubicBezTo>
              <a:cubicBezTo>
                <a:pt x="114" y="561"/>
                <a:pt x="114" y="561"/>
                <a:pt x="114" y="561"/>
              </a:cubicBezTo>
              <a:cubicBezTo>
                <a:pt x="114" y="336"/>
                <a:pt x="114" y="336"/>
                <a:pt x="114" y="336"/>
              </a:cubicBezTo>
              <a:cubicBezTo>
                <a:pt x="350" y="336"/>
                <a:pt x="350" y="336"/>
                <a:pt x="350" y="336"/>
              </a:cubicBezTo>
              <a:lnTo>
                <a:pt x="350" y="224"/>
              </a:lnTo>
              <a:close/>
            </a:path>
          </a:pathLst>
        </a:custGeom>
        <a:solidFill>
          <a:schemeClr val="bg1"/>
        </a:solidFill>
        <a:ln>
          <a:noFill/>
        </a:ln>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endParaRPr>
        </a:p>
      </xdr:txBody>
    </xdr:sp>
    <xdr:clientData/>
  </xdr:twoCellAnchor>
</xdr:wsDr>
</file>

<file path=xl/drawings/drawing2.xml><?xml version="1.0" encoding="utf-8"?>
<xdr:wsDr xmlns:xdr="http://schemas.openxmlformats.org/drawingml/2006/spreadsheetDrawing" xmlns:a="http://schemas.openxmlformats.org/drawingml/2006/main">
  <xdr:absoluteAnchor>
    <xdr:pos x="8500131" y="515028"/>
    <xdr:ext cx="8325471" cy="4584825"/>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41</xdr:col>
      <xdr:colOff>449580</xdr:colOff>
      <xdr:row>83</xdr:row>
      <xdr:rowOff>167640</xdr:rowOff>
    </xdr:from>
    <xdr:to>
      <xdr:col>52</xdr:col>
      <xdr:colOff>403860</xdr:colOff>
      <xdr:row>84</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99</xdr:row>
      <xdr:rowOff>0</xdr:rowOff>
    </xdr:from>
    <xdr:to>
      <xdr:col>8</xdr:col>
      <xdr:colOff>540328</xdr:colOff>
      <xdr:row>130</xdr:row>
      <xdr:rowOff>58189</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730836"/>
          <a:ext cx="7606145" cy="59851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A1:M28"/>
  <sheetViews>
    <sheetView showGridLines="0" workbookViewId="0"/>
  </sheetViews>
  <sheetFormatPr defaultColWidth="0" defaultRowHeight="39.6" customHeight="1" zeroHeight="1" x14ac:dyDescent="0.3"/>
  <cols>
    <col min="1" max="13" width="8.88671875" customWidth="1"/>
    <col min="14" max="14" width="8.88671875" hidden="1" customWidth="1"/>
    <col min="15" max="16384" width="8.88671875" hidden="1"/>
  </cols>
  <sheetData>
    <row r="1" spans="1:13" ht="14.4" x14ac:dyDescent="0.3">
      <c r="A1" s="16"/>
      <c r="B1" s="16"/>
      <c r="C1" s="16"/>
      <c r="D1" s="16"/>
      <c r="E1" s="16"/>
      <c r="F1" s="16"/>
      <c r="G1" s="16"/>
      <c r="H1" s="16"/>
      <c r="I1" s="16"/>
      <c r="J1" s="16"/>
      <c r="K1" s="16"/>
      <c r="L1" s="16"/>
      <c r="M1" s="16"/>
    </row>
    <row r="2" spans="1:13" ht="14.4" x14ac:dyDescent="0.3">
      <c r="A2" s="16"/>
      <c r="B2" s="16"/>
      <c r="C2" s="16"/>
      <c r="D2" s="16"/>
      <c r="E2" s="16"/>
      <c r="F2" s="16"/>
      <c r="G2" s="16"/>
      <c r="H2" s="16"/>
      <c r="I2" s="16"/>
      <c r="J2" s="16"/>
      <c r="K2" s="16"/>
      <c r="L2" s="16"/>
      <c r="M2" s="16"/>
    </row>
    <row r="3" spans="1:13" ht="14.4" x14ac:dyDescent="0.3">
      <c r="A3" s="16"/>
      <c r="B3" s="16"/>
      <c r="C3" s="16"/>
      <c r="D3" s="16"/>
      <c r="E3" s="16"/>
      <c r="F3" s="16"/>
      <c r="G3" s="16"/>
      <c r="H3" s="16"/>
      <c r="I3" s="16"/>
      <c r="J3" s="16"/>
      <c r="K3" s="16"/>
      <c r="L3" s="16"/>
      <c r="M3" s="16"/>
    </row>
    <row r="4" spans="1:13" ht="18" x14ac:dyDescent="0.3">
      <c r="A4" s="16"/>
      <c r="B4" s="524" t="s">
        <v>40</v>
      </c>
      <c r="C4" s="524"/>
      <c r="D4" s="524"/>
      <c r="E4" s="524"/>
      <c r="F4" s="524"/>
      <c r="G4" s="524"/>
      <c r="H4" s="524"/>
      <c r="I4" s="524"/>
      <c r="J4" s="524"/>
      <c r="K4" s="524"/>
      <c r="L4" s="524"/>
      <c r="M4" s="16"/>
    </row>
    <row r="5" spans="1:13" ht="18" x14ac:dyDescent="0.3">
      <c r="A5" s="16"/>
      <c r="B5" s="524" t="s">
        <v>96</v>
      </c>
      <c r="C5" s="524"/>
      <c r="D5" s="524"/>
      <c r="E5" s="524"/>
      <c r="F5" s="524"/>
      <c r="G5" s="524"/>
      <c r="H5" s="524"/>
      <c r="I5" s="524"/>
      <c r="J5" s="524"/>
      <c r="K5" s="524"/>
      <c r="L5" s="524"/>
      <c r="M5" s="16"/>
    </row>
    <row r="6" spans="1:13" ht="18" x14ac:dyDescent="0.3">
      <c r="A6" s="16"/>
      <c r="B6" s="525">
        <v>43886</v>
      </c>
      <c r="C6" s="525"/>
      <c r="D6" s="525"/>
      <c r="E6" s="525"/>
      <c r="F6" s="525"/>
      <c r="G6" s="525"/>
      <c r="H6" s="525"/>
      <c r="I6" s="525"/>
      <c r="J6" s="525"/>
      <c r="K6" s="525"/>
      <c r="L6" s="525"/>
      <c r="M6" s="16"/>
    </row>
    <row r="7" spans="1:13" ht="14.4" x14ac:dyDescent="0.3">
      <c r="A7" s="16"/>
      <c r="B7" s="16"/>
      <c r="C7" s="16"/>
      <c r="D7" s="16"/>
      <c r="E7" s="16"/>
      <c r="F7" s="16"/>
      <c r="G7" s="16"/>
      <c r="H7" s="16"/>
      <c r="I7" s="16"/>
      <c r="J7" s="16"/>
      <c r="K7" s="16"/>
      <c r="L7" s="16"/>
      <c r="M7" s="16"/>
    </row>
    <row r="8" spans="1:13" ht="14.4" x14ac:dyDescent="0.3">
      <c r="A8" s="16"/>
      <c r="B8" s="16"/>
      <c r="C8" s="16"/>
      <c r="D8" s="16"/>
      <c r="E8" s="16"/>
      <c r="F8" s="16"/>
      <c r="G8" s="16"/>
      <c r="H8" s="16"/>
      <c r="I8" s="16"/>
      <c r="J8" s="16"/>
      <c r="K8" s="16"/>
      <c r="L8" s="16"/>
      <c r="M8" s="16"/>
    </row>
    <row r="9" spans="1:13" ht="14.4" x14ac:dyDescent="0.3">
      <c r="A9" s="16"/>
      <c r="B9" s="16"/>
      <c r="C9" s="16"/>
      <c r="D9" s="16"/>
      <c r="E9" s="16"/>
      <c r="F9" s="16"/>
      <c r="G9" s="16"/>
      <c r="H9" s="16"/>
      <c r="I9" s="16"/>
      <c r="J9" s="16"/>
      <c r="K9" s="16"/>
      <c r="L9" s="16"/>
      <c r="M9" s="16"/>
    </row>
    <row r="10" spans="1:13" ht="14.4" x14ac:dyDescent="0.3">
      <c r="A10" s="16"/>
      <c r="B10" s="16"/>
      <c r="C10" s="16"/>
      <c r="D10" s="16"/>
      <c r="E10" s="16"/>
      <c r="F10" s="16"/>
      <c r="G10" s="16"/>
      <c r="H10" s="16"/>
      <c r="I10" s="16"/>
      <c r="J10" s="16"/>
      <c r="K10" s="16"/>
      <c r="L10" s="16"/>
      <c r="M10" s="16"/>
    </row>
    <row r="11" spans="1:13" ht="14.4" x14ac:dyDescent="0.3">
      <c r="A11" s="16"/>
      <c r="B11" s="16"/>
      <c r="C11" s="16"/>
      <c r="D11" s="16"/>
      <c r="E11" s="16"/>
      <c r="F11" s="16"/>
      <c r="G11" s="16"/>
      <c r="H11" s="16"/>
      <c r="I11" s="16"/>
      <c r="J11" s="16"/>
      <c r="K11" s="16"/>
      <c r="L11" s="16"/>
      <c r="M11" s="16"/>
    </row>
    <row r="12" spans="1:13" ht="14.4" x14ac:dyDescent="0.3">
      <c r="A12" s="16"/>
      <c r="B12" s="16"/>
      <c r="C12" s="16"/>
      <c r="D12" s="16"/>
      <c r="E12" s="16"/>
      <c r="F12" s="16"/>
      <c r="G12" s="16"/>
      <c r="H12" s="16"/>
      <c r="I12" s="16"/>
      <c r="J12" s="16"/>
      <c r="K12" s="16"/>
      <c r="L12" s="16"/>
      <c r="M12" s="16"/>
    </row>
    <row r="13" spans="1:13" ht="15.6" x14ac:dyDescent="0.3">
      <c r="A13" s="16"/>
      <c r="B13" s="526" t="s">
        <v>37</v>
      </c>
      <c r="C13" s="526"/>
      <c r="D13" s="17"/>
      <c r="E13" s="18" t="s">
        <v>38</v>
      </c>
      <c r="F13" s="16"/>
      <c r="G13" s="16"/>
      <c r="H13" s="16"/>
      <c r="I13" s="16"/>
      <c r="J13" s="16"/>
      <c r="K13" s="16"/>
      <c r="L13" s="16"/>
      <c r="M13" s="16"/>
    </row>
    <row r="14" spans="1:13" ht="14.4" customHeight="1" x14ac:dyDescent="0.3">
      <c r="A14" s="16"/>
      <c r="B14" s="523" t="str">
        <f>"The Model is provided to "&amp;Client.Name&amp;" on the basis that it is strictly private and confidential. The Recipients agree to not disclose that information to any person or entity except with the prior consent of HDR Inc. (HDR) or as required by law."</f>
        <v>The Model is provided to Oklahoma Department of Transportation on the basis that it is strictly private and confidential. The Recipients agree to not disclose that information to any person or entity except with the prior consent of HDR Inc. (HDR) or as required by law.</v>
      </c>
      <c r="C14" s="523"/>
      <c r="D14" s="523"/>
      <c r="E14" s="523"/>
      <c r="F14" s="523"/>
      <c r="G14" s="523"/>
      <c r="H14" s="523"/>
      <c r="I14" s="523"/>
      <c r="J14" s="523"/>
      <c r="K14" s="523"/>
      <c r="L14" s="523"/>
      <c r="M14" s="16"/>
    </row>
    <row r="15" spans="1:13" ht="14.4" x14ac:dyDescent="0.3">
      <c r="A15" s="16"/>
      <c r="B15" s="523"/>
      <c r="C15" s="523"/>
      <c r="D15" s="523"/>
      <c r="E15" s="523"/>
      <c r="F15" s="523"/>
      <c r="G15" s="523"/>
      <c r="H15" s="523"/>
      <c r="I15" s="523"/>
      <c r="J15" s="523"/>
      <c r="K15" s="523"/>
      <c r="L15" s="523"/>
      <c r="M15" s="16"/>
    </row>
    <row r="16" spans="1:13" ht="14.4" x14ac:dyDescent="0.3">
      <c r="A16" s="16"/>
      <c r="B16" s="523"/>
      <c r="C16" s="523"/>
      <c r="D16" s="523"/>
      <c r="E16" s="523"/>
      <c r="F16" s="523"/>
      <c r="G16" s="523"/>
      <c r="H16" s="523"/>
      <c r="I16" s="523"/>
      <c r="J16" s="523"/>
      <c r="K16" s="523"/>
      <c r="L16" s="523"/>
      <c r="M16" s="16"/>
    </row>
    <row r="17" spans="1:13" ht="14.4" customHeight="1" x14ac:dyDescent="0.3">
      <c r="A17" s="16"/>
      <c r="B17" s="523" t="str">
        <f>"HDR retains all intellectual property with respect to this Model. The Recipients agree to use this Model only for the purpose of performing analysis in support of the "&amp;Project.Name&amp;" project. The Model must not be used for any other purpose. "</f>
        <v xml:space="preserve">HDR retains all intellectual property with respect to this Model. The Recipients agree to use this Model only for the purpose of performing analysis in support of the I-40 Douglas Boulevard Interchange Reconstruction and Related Widening project. The Model must not be used for any other purpose. </v>
      </c>
      <c r="C17" s="523"/>
      <c r="D17" s="523"/>
      <c r="E17" s="523"/>
      <c r="F17" s="523"/>
      <c r="G17" s="523"/>
      <c r="H17" s="523"/>
      <c r="I17" s="523"/>
      <c r="J17" s="523"/>
      <c r="K17" s="523"/>
      <c r="L17" s="523"/>
      <c r="M17" s="16"/>
    </row>
    <row r="18" spans="1:13" ht="14.4" x14ac:dyDescent="0.3">
      <c r="A18" s="16"/>
      <c r="B18" s="523"/>
      <c r="C18" s="523"/>
      <c r="D18" s="523"/>
      <c r="E18" s="523"/>
      <c r="F18" s="523"/>
      <c r="G18" s="523"/>
      <c r="H18" s="523"/>
      <c r="I18" s="523"/>
      <c r="J18" s="523"/>
      <c r="K18" s="523"/>
      <c r="L18" s="523"/>
      <c r="M18" s="16"/>
    </row>
    <row r="19" spans="1:13" ht="14.4" x14ac:dyDescent="0.3">
      <c r="A19" s="16"/>
      <c r="B19" s="523"/>
      <c r="C19" s="523"/>
      <c r="D19" s="523"/>
      <c r="E19" s="523"/>
      <c r="F19" s="523"/>
      <c r="G19" s="523"/>
      <c r="H19" s="523"/>
      <c r="I19" s="523"/>
      <c r="J19" s="523"/>
      <c r="K19" s="523"/>
      <c r="L19" s="523"/>
      <c r="M19" s="16"/>
    </row>
    <row r="20" spans="1:13" ht="14.4" customHeight="1" x14ac:dyDescent="0.3">
      <c r="A20" s="16"/>
      <c r="B20" s="523" t="s">
        <v>39</v>
      </c>
      <c r="C20" s="523"/>
      <c r="D20" s="523"/>
      <c r="E20" s="523"/>
      <c r="F20" s="523"/>
      <c r="G20" s="523"/>
      <c r="H20" s="523"/>
      <c r="I20" s="523"/>
      <c r="J20" s="523"/>
      <c r="K20" s="523"/>
      <c r="L20" s="523"/>
      <c r="M20" s="16"/>
    </row>
    <row r="21" spans="1:13" ht="14.4" x14ac:dyDescent="0.3">
      <c r="A21" s="16"/>
      <c r="B21" s="523"/>
      <c r="C21" s="523"/>
      <c r="D21" s="523"/>
      <c r="E21" s="523"/>
      <c r="F21" s="523"/>
      <c r="G21" s="523"/>
      <c r="H21" s="523"/>
      <c r="I21" s="523"/>
      <c r="J21" s="523"/>
      <c r="K21" s="523"/>
      <c r="L21" s="523"/>
      <c r="M21" s="16"/>
    </row>
    <row r="22" spans="1:13" ht="14.4" customHeight="1" x14ac:dyDescent="0.3">
      <c r="A22" s="16"/>
      <c r="B22" s="523" t="s">
        <v>42</v>
      </c>
      <c r="C22" s="523"/>
      <c r="D22" s="523"/>
      <c r="E22" s="523"/>
      <c r="F22" s="523"/>
      <c r="G22" s="523"/>
      <c r="H22" s="523"/>
      <c r="I22" s="523"/>
      <c r="J22" s="523"/>
      <c r="K22" s="523"/>
      <c r="L22" s="523"/>
      <c r="M22" s="16"/>
    </row>
    <row r="23" spans="1:13" ht="14.4" x14ac:dyDescent="0.3">
      <c r="A23" s="16"/>
      <c r="B23" s="523"/>
      <c r="C23" s="523"/>
      <c r="D23" s="523"/>
      <c r="E23" s="523"/>
      <c r="F23" s="523"/>
      <c r="G23" s="523"/>
      <c r="H23" s="523"/>
      <c r="I23" s="523"/>
      <c r="J23" s="523"/>
      <c r="K23" s="523"/>
      <c r="L23" s="523"/>
      <c r="M23" s="16"/>
    </row>
    <row r="24" spans="1:13" ht="14.4" x14ac:dyDescent="0.3">
      <c r="A24" s="16"/>
      <c r="B24" s="523"/>
      <c r="C24" s="523"/>
      <c r="D24" s="523"/>
      <c r="E24" s="523"/>
      <c r="F24" s="523"/>
      <c r="G24" s="523"/>
      <c r="H24" s="523"/>
      <c r="I24" s="523"/>
      <c r="J24" s="523"/>
      <c r="K24" s="523"/>
      <c r="L24" s="523"/>
      <c r="M24" s="16"/>
    </row>
    <row r="25" spans="1:13" ht="14.4" x14ac:dyDescent="0.3">
      <c r="A25" s="16"/>
      <c r="B25" s="523"/>
      <c r="C25" s="523"/>
      <c r="D25" s="523"/>
      <c r="E25" s="523"/>
      <c r="F25" s="523"/>
      <c r="G25" s="523"/>
      <c r="H25" s="523"/>
      <c r="I25" s="523"/>
      <c r="J25" s="523"/>
      <c r="K25" s="523"/>
      <c r="L25" s="523"/>
      <c r="M25" s="16"/>
    </row>
    <row r="26" spans="1:13" ht="15" x14ac:dyDescent="0.3">
      <c r="A26" s="16"/>
      <c r="B26" s="16"/>
      <c r="C26" s="16"/>
      <c r="D26" s="16"/>
      <c r="E26" s="16"/>
      <c r="F26" s="16"/>
      <c r="G26" s="16"/>
      <c r="H26" s="16"/>
      <c r="I26" s="16"/>
      <c r="J26" s="16"/>
      <c r="K26" s="16"/>
      <c r="L26" s="16"/>
      <c r="M26" s="16"/>
    </row>
    <row r="27" spans="1:13" ht="39.6" hidden="1" customHeight="1" x14ac:dyDescent="0.3"/>
    <row r="28" spans="1:13" ht="39.6" hidden="1" customHeight="1" x14ac:dyDescent="0.3"/>
  </sheetData>
  <mergeCells count="8">
    <mergeCell ref="B22:L25"/>
    <mergeCell ref="B20:L21"/>
    <mergeCell ref="B4:L4"/>
    <mergeCell ref="B5:L5"/>
    <mergeCell ref="B6:L6"/>
    <mergeCell ref="B13:C13"/>
    <mergeCell ref="B14:L16"/>
    <mergeCell ref="B17:L19"/>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34998626667073579"/>
  </sheetPr>
  <dimension ref="A2:K88"/>
  <sheetViews>
    <sheetView showGridLines="0" topLeftCell="A4" zoomScaleNormal="100" workbookViewId="0">
      <selection activeCell="C29" sqref="C29"/>
    </sheetView>
  </sheetViews>
  <sheetFormatPr defaultRowHeight="14.4" x14ac:dyDescent="0.3"/>
  <cols>
    <col min="1" max="1" width="5.5546875" customWidth="1"/>
    <col min="2" max="2" width="20.44140625" customWidth="1"/>
    <col min="3" max="3" width="15.33203125" customWidth="1"/>
    <col min="4" max="4" width="16.21875" customWidth="1"/>
    <col min="5" max="5" width="16.33203125" customWidth="1"/>
    <col min="6" max="6" width="15.6640625" customWidth="1"/>
    <col min="7" max="7" width="15.33203125" customWidth="1"/>
    <col min="8" max="8" width="14" customWidth="1"/>
    <col min="9" max="9" width="14.6640625" customWidth="1"/>
    <col min="10" max="10" width="11.5546875" customWidth="1"/>
    <col min="11" max="11" width="12.44140625" bestFit="1" customWidth="1"/>
  </cols>
  <sheetData>
    <row r="2" spans="2:10" ht="26.25" x14ac:dyDescent="0.45">
      <c r="B2" s="348" t="s">
        <v>132</v>
      </c>
    </row>
    <row r="3" spans="2:10" ht="15" x14ac:dyDescent="0.3">
      <c r="B3" s="7" t="s">
        <v>245</v>
      </c>
      <c r="C3" s="349" t="s">
        <v>458</v>
      </c>
    </row>
    <row r="4" spans="2:10" ht="15.75" thickBot="1" x14ac:dyDescent="0.35"/>
    <row r="5" spans="2:10" ht="17.399999999999999" x14ac:dyDescent="0.3">
      <c r="B5" s="586" t="s">
        <v>41</v>
      </c>
      <c r="C5" s="588" t="s">
        <v>3</v>
      </c>
      <c r="D5" s="589"/>
      <c r="E5" s="589"/>
      <c r="F5" s="590"/>
      <c r="G5" s="591" t="s">
        <v>90</v>
      </c>
      <c r="H5" s="591"/>
      <c r="I5" s="592"/>
    </row>
    <row r="6" spans="2:10" ht="46.05" customHeight="1" x14ac:dyDescent="0.3">
      <c r="B6" s="587"/>
      <c r="C6" s="209" t="s">
        <v>131</v>
      </c>
      <c r="D6" s="208" t="s">
        <v>130</v>
      </c>
      <c r="E6" s="208" t="s">
        <v>129</v>
      </c>
      <c r="F6" s="205" t="s">
        <v>89</v>
      </c>
      <c r="G6" s="207" t="s">
        <v>48</v>
      </c>
      <c r="H6" s="206" t="s">
        <v>128</v>
      </c>
      <c r="I6" s="205" t="s">
        <v>89</v>
      </c>
    </row>
    <row r="7" spans="2:10" ht="15" x14ac:dyDescent="0.3">
      <c r="B7" s="204">
        <v>2016</v>
      </c>
      <c r="C7" s="201"/>
      <c r="D7" s="200"/>
      <c r="E7" s="200"/>
      <c r="F7" s="202">
        <f t="shared" ref="F7:F28" si="0">SUM(C7:E7)</f>
        <v>0</v>
      </c>
      <c r="G7" s="203"/>
      <c r="H7" s="200"/>
      <c r="I7" s="199">
        <f t="shared" ref="I7:I28" si="1">SUM(G7:H7)</f>
        <v>0</v>
      </c>
    </row>
    <row r="8" spans="2:10" ht="15" x14ac:dyDescent="0.3">
      <c r="B8" s="204">
        <v>2017</v>
      </c>
      <c r="C8" s="371"/>
      <c r="D8" s="372"/>
      <c r="E8" s="372"/>
      <c r="F8" s="373">
        <f t="shared" si="0"/>
        <v>0</v>
      </c>
      <c r="G8" s="374"/>
      <c r="H8" s="372"/>
      <c r="I8" s="375">
        <f t="shared" si="1"/>
        <v>0</v>
      </c>
    </row>
    <row r="9" spans="2:10" ht="15" x14ac:dyDescent="0.3">
      <c r="B9" s="204">
        <v>2018</v>
      </c>
      <c r="C9" s="371"/>
      <c r="D9" s="372"/>
      <c r="E9" s="372"/>
      <c r="F9" s="373">
        <f t="shared" si="0"/>
        <v>0</v>
      </c>
      <c r="G9" s="374"/>
      <c r="H9" s="372"/>
      <c r="I9" s="375">
        <f t="shared" si="1"/>
        <v>0</v>
      </c>
    </row>
    <row r="10" spans="2:10" ht="15" x14ac:dyDescent="0.3">
      <c r="B10" s="204">
        <v>2019</v>
      </c>
      <c r="C10" s="371"/>
      <c r="D10" s="372"/>
      <c r="E10" s="372"/>
      <c r="F10" s="373">
        <f t="shared" si="0"/>
        <v>0</v>
      </c>
      <c r="G10" s="374"/>
      <c r="H10" s="372"/>
      <c r="I10" s="375">
        <f t="shared" si="1"/>
        <v>0</v>
      </c>
      <c r="J10" s="140"/>
    </row>
    <row r="11" spans="2:10" ht="15" x14ac:dyDescent="0.3">
      <c r="B11" s="204">
        <v>2020</v>
      </c>
      <c r="C11" s="371"/>
      <c r="D11" s="372"/>
      <c r="E11" s="372"/>
      <c r="F11" s="373">
        <f t="shared" si="0"/>
        <v>0</v>
      </c>
      <c r="G11" s="374"/>
      <c r="H11" s="372"/>
      <c r="I11" s="375">
        <f t="shared" si="1"/>
        <v>0</v>
      </c>
      <c r="J11" s="139"/>
    </row>
    <row r="12" spans="2:10" ht="15" x14ac:dyDescent="0.3">
      <c r="B12" s="204">
        <v>2021</v>
      </c>
      <c r="C12" s="371"/>
      <c r="D12" s="372"/>
      <c r="E12" s="372"/>
      <c r="F12" s="373">
        <f t="shared" si="0"/>
        <v>0</v>
      </c>
      <c r="G12" s="374"/>
      <c r="H12" s="372"/>
      <c r="I12" s="375">
        <f t="shared" si="1"/>
        <v>0</v>
      </c>
    </row>
    <row r="13" spans="2:10" ht="15" x14ac:dyDescent="0.3">
      <c r="B13" s="204">
        <v>2022</v>
      </c>
      <c r="C13" s="371"/>
      <c r="D13" s="372"/>
      <c r="E13" s="372"/>
      <c r="F13" s="373">
        <f t="shared" si="0"/>
        <v>0</v>
      </c>
      <c r="G13" s="374"/>
      <c r="H13" s="372"/>
      <c r="I13" s="375">
        <f t="shared" si="1"/>
        <v>0</v>
      </c>
    </row>
    <row r="14" spans="2:10" ht="15" x14ac:dyDescent="0.3">
      <c r="B14" s="204">
        <v>2023</v>
      </c>
      <c r="C14" s="376"/>
      <c r="D14" s="372"/>
      <c r="E14" s="372"/>
      <c r="F14" s="373">
        <f t="shared" si="0"/>
        <v>0</v>
      </c>
      <c r="G14" s="377">
        <v>20593359</v>
      </c>
      <c r="H14" s="372"/>
      <c r="I14" s="375">
        <f t="shared" si="1"/>
        <v>20593359</v>
      </c>
    </row>
    <row r="15" spans="2:10" ht="15" x14ac:dyDescent="0.3">
      <c r="B15" s="204">
        <v>2024</v>
      </c>
      <c r="C15" s="371"/>
      <c r="D15" s="372"/>
      <c r="E15" s="372"/>
      <c r="F15" s="373">
        <f t="shared" si="0"/>
        <v>0</v>
      </c>
      <c r="G15" s="377">
        <v>27696359</v>
      </c>
      <c r="H15" s="372"/>
      <c r="I15" s="375">
        <f t="shared" si="1"/>
        <v>27696359</v>
      </c>
    </row>
    <row r="16" spans="2:10" ht="15" x14ac:dyDescent="0.3">
      <c r="B16" s="204">
        <v>2025</v>
      </c>
      <c r="C16" s="371"/>
      <c r="D16" s="372"/>
      <c r="E16" s="372"/>
      <c r="F16" s="373">
        <f t="shared" si="0"/>
        <v>0</v>
      </c>
      <c r="G16" s="377">
        <v>35838859</v>
      </c>
      <c r="H16" s="372"/>
      <c r="I16" s="375">
        <f t="shared" si="1"/>
        <v>35838859</v>
      </c>
    </row>
    <row r="17" spans="2:11" ht="15" x14ac:dyDescent="0.3">
      <c r="B17" s="204">
        <f>B16+1</f>
        <v>2026</v>
      </c>
      <c r="C17" s="378">
        <v>5500000</v>
      </c>
      <c r="D17" s="379">
        <v>2000000</v>
      </c>
      <c r="E17" s="380">
        <v>100000</v>
      </c>
      <c r="F17" s="373">
        <f t="shared" si="0"/>
        <v>7600000</v>
      </c>
      <c r="G17" s="377">
        <v>22978859</v>
      </c>
      <c r="H17" s="377">
        <v>1000000</v>
      </c>
      <c r="I17" s="375">
        <f t="shared" si="1"/>
        <v>23978859</v>
      </c>
      <c r="K17" s="1"/>
    </row>
    <row r="18" spans="2:11" ht="15" x14ac:dyDescent="0.3">
      <c r="B18" s="204">
        <f t="shared" ref="B18:B19" si="2">B17+1</f>
        <v>2027</v>
      </c>
      <c r="C18" s="371"/>
      <c r="D18" s="372"/>
      <c r="E18" s="372"/>
      <c r="F18" s="373">
        <f t="shared" si="0"/>
        <v>0</v>
      </c>
      <c r="G18" s="374"/>
      <c r="H18" s="372"/>
      <c r="I18" s="375">
        <f t="shared" si="1"/>
        <v>0</v>
      </c>
      <c r="K18" s="5"/>
    </row>
    <row r="19" spans="2:11" ht="15" x14ac:dyDescent="0.3">
      <c r="B19" s="204">
        <f t="shared" si="2"/>
        <v>2028</v>
      </c>
      <c r="C19" s="371"/>
      <c r="D19" s="372"/>
      <c r="E19" s="372"/>
      <c r="F19" s="373">
        <f t="shared" si="0"/>
        <v>0</v>
      </c>
      <c r="G19" s="374"/>
      <c r="H19" s="372"/>
      <c r="I19" s="375">
        <f t="shared" si="1"/>
        <v>0</v>
      </c>
    </row>
    <row r="20" spans="2:11" ht="15" x14ac:dyDescent="0.3">
      <c r="B20" s="204">
        <v>2030</v>
      </c>
      <c r="C20" s="378">
        <v>5500000</v>
      </c>
      <c r="D20" s="379">
        <v>1000000</v>
      </c>
      <c r="E20" s="380">
        <v>100000</v>
      </c>
      <c r="F20" s="373">
        <f t="shared" si="0"/>
        <v>6600000</v>
      </c>
      <c r="G20" s="374"/>
      <c r="H20" s="372"/>
      <c r="I20" s="375">
        <f t="shared" si="1"/>
        <v>0</v>
      </c>
    </row>
    <row r="21" spans="2:11" ht="15" x14ac:dyDescent="0.3">
      <c r="B21" s="204">
        <v>2035</v>
      </c>
      <c r="C21" s="378">
        <v>5500000</v>
      </c>
      <c r="D21" s="379">
        <v>1000000</v>
      </c>
      <c r="E21" s="380">
        <v>100000</v>
      </c>
      <c r="F21" s="373">
        <f t="shared" si="0"/>
        <v>6600000</v>
      </c>
      <c r="G21" s="374"/>
      <c r="H21" s="372"/>
      <c r="I21" s="375">
        <f t="shared" si="1"/>
        <v>0</v>
      </c>
    </row>
    <row r="22" spans="2:11" ht="15" x14ac:dyDescent="0.3">
      <c r="B22" s="204">
        <v>2040</v>
      </c>
      <c r="C22" s="378">
        <v>5500000</v>
      </c>
      <c r="D22" s="380"/>
      <c r="E22" s="380">
        <v>100000</v>
      </c>
      <c r="F22" s="373">
        <f t="shared" si="0"/>
        <v>5600000</v>
      </c>
      <c r="G22" s="374"/>
      <c r="H22" s="372"/>
      <c r="I22" s="375">
        <f t="shared" si="1"/>
        <v>0</v>
      </c>
    </row>
    <row r="23" spans="2:11" ht="15" x14ac:dyDescent="0.3">
      <c r="B23" s="204">
        <v>2041</v>
      </c>
      <c r="C23" s="371"/>
      <c r="D23" s="372"/>
      <c r="E23" s="372"/>
      <c r="F23" s="373">
        <f t="shared" si="0"/>
        <v>0</v>
      </c>
      <c r="G23" s="374"/>
      <c r="H23" s="372"/>
      <c r="I23" s="375">
        <f t="shared" si="1"/>
        <v>0</v>
      </c>
    </row>
    <row r="24" spans="2:11" ht="15" x14ac:dyDescent="0.3">
      <c r="B24" s="204">
        <v>2045</v>
      </c>
      <c r="C24" s="378">
        <v>5500000</v>
      </c>
      <c r="D24" s="380"/>
      <c r="E24" s="380">
        <v>100000</v>
      </c>
      <c r="F24" s="373">
        <f t="shared" si="0"/>
        <v>5600000</v>
      </c>
      <c r="G24" s="374"/>
      <c r="H24" s="377">
        <v>5500000</v>
      </c>
      <c r="I24" s="375">
        <f t="shared" si="1"/>
        <v>5500000</v>
      </c>
    </row>
    <row r="25" spans="2:11" x14ac:dyDescent="0.3">
      <c r="B25" s="511">
        <v>2050</v>
      </c>
      <c r="C25" s="512">
        <v>5500000</v>
      </c>
      <c r="D25" s="513">
        <v>10000000</v>
      </c>
      <c r="E25" s="514">
        <v>100000</v>
      </c>
      <c r="F25" s="515">
        <f t="shared" si="0"/>
        <v>15600000</v>
      </c>
      <c r="G25" s="516"/>
      <c r="H25" s="517">
        <v>5500000</v>
      </c>
      <c r="I25" s="518">
        <f t="shared" si="1"/>
        <v>5500000</v>
      </c>
    </row>
    <row r="26" spans="2:11" x14ac:dyDescent="0.3">
      <c r="B26" s="511">
        <v>2055</v>
      </c>
      <c r="C26" s="519"/>
      <c r="D26" s="520"/>
      <c r="E26" s="520"/>
      <c r="F26" s="515">
        <f t="shared" si="0"/>
        <v>0</v>
      </c>
      <c r="G26" s="516"/>
      <c r="H26" s="520"/>
      <c r="I26" s="518">
        <f t="shared" si="1"/>
        <v>0</v>
      </c>
    </row>
    <row r="27" spans="2:11" x14ac:dyDescent="0.3">
      <c r="B27" s="511">
        <v>2060</v>
      </c>
      <c r="C27" s="519"/>
      <c r="D27" s="520"/>
      <c r="E27" s="520"/>
      <c r="F27" s="515">
        <f t="shared" si="0"/>
        <v>0</v>
      </c>
      <c r="G27" s="516"/>
      <c r="H27" s="520"/>
      <c r="I27" s="518">
        <f t="shared" si="1"/>
        <v>0</v>
      </c>
    </row>
    <row r="28" spans="2:11" x14ac:dyDescent="0.3">
      <c r="B28" s="511">
        <v>2061</v>
      </c>
      <c r="C28" s="519"/>
      <c r="D28" s="520"/>
      <c r="E28" s="520"/>
      <c r="F28" s="521">
        <f t="shared" si="0"/>
        <v>0</v>
      </c>
      <c r="G28" s="516"/>
      <c r="H28" s="522"/>
      <c r="I28" s="518">
        <f t="shared" si="1"/>
        <v>0</v>
      </c>
    </row>
    <row r="29" spans="2:11" ht="16.2" thickBot="1" x14ac:dyDescent="0.35">
      <c r="B29" s="198" t="s">
        <v>89</v>
      </c>
      <c r="C29" s="382">
        <f t="shared" ref="C29:E29" si="3">SUM(C7:C25)</f>
        <v>33000000</v>
      </c>
      <c r="D29" s="382">
        <f t="shared" si="3"/>
        <v>14000000</v>
      </c>
      <c r="E29" s="382">
        <f t="shared" si="3"/>
        <v>600000</v>
      </c>
      <c r="F29" s="382">
        <f>SUM(F7:F25)</f>
        <v>47600000</v>
      </c>
      <c r="G29" s="383">
        <f>SUM(G7:G28)</f>
        <v>107107436</v>
      </c>
      <c r="H29" s="381">
        <f>SUM(H7:H24)</f>
        <v>6500000</v>
      </c>
      <c r="I29" s="382">
        <f>SUM(I7:I24)</f>
        <v>113607436</v>
      </c>
    </row>
    <row r="30" spans="2:11" ht="15" x14ac:dyDescent="0.3">
      <c r="C30" s="121"/>
      <c r="D30" s="121"/>
      <c r="E30" s="121"/>
      <c r="F30" s="121" t="s">
        <v>487</v>
      </c>
      <c r="G30" s="121">
        <f>C79</f>
        <v>5363421.5714285709</v>
      </c>
      <c r="H30" s="121"/>
      <c r="I30" s="121"/>
    </row>
    <row r="31" spans="2:11" ht="15" x14ac:dyDescent="0.3">
      <c r="C31" s="121"/>
      <c r="D31" s="121"/>
      <c r="E31" s="121"/>
      <c r="F31" s="370" t="s">
        <v>488</v>
      </c>
      <c r="G31" s="370">
        <f>G29+G30</f>
        <v>112470857.57142857</v>
      </c>
      <c r="H31" s="121"/>
      <c r="I31" s="121"/>
    </row>
    <row r="32" spans="2:11" ht="15" x14ac:dyDescent="0.3">
      <c r="C32" s="121"/>
      <c r="D32" s="121"/>
      <c r="E32" s="121"/>
      <c r="F32" s="121"/>
      <c r="G32" s="121"/>
      <c r="H32" s="121"/>
      <c r="I32" s="121"/>
    </row>
    <row r="33" spans="2:10" ht="15" x14ac:dyDescent="0.3">
      <c r="C33" s="121"/>
      <c r="D33" s="121"/>
      <c r="E33" s="121"/>
      <c r="F33" s="121"/>
      <c r="G33" s="121"/>
      <c r="H33" s="121"/>
      <c r="I33" s="121"/>
      <c r="J33" s="121"/>
    </row>
    <row r="34" spans="2:10" ht="15" x14ac:dyDescent="0.3">
      <c r="C34" s="594" t="s">
        <v>3</v>
      </c>
      <c r="D34" s="594"/>
      <c r="E34" s="594"/>
      <c r="F34" s="121"/>
      <c r="G34" s="593" t="s">
        <v>4</v>
      </c>
      <c r="H34" s="593"/>
      <c r="I34" s="593"/>
    </row>
    <row r="35" spans="2:10" ht="30.15" x14ac:dyDescent="0.3">
      <c r="C35" s="336" t="s">
        <v>131</v>
      </c>
      <c r="D35" s="337" t="s">
        <v>339</v>
      </c>
      <c r="E35" s="197" t="s">
        <v>89</v>
      </c>
      <c r="G35" s="197" t="s">
        <v>48</v>
      </c>
      <c r="H35" s="197" t="s">
        <v>128</v>
      </c>
      <c r="I35" s="197" t="s">
        <v>89</v>
      </c>
    </row>
    <row r="36" spans="2:10" x14ac:dyDescent="0.3">
      <c r="B36">
        <v>2023</v>
      </c>
      <c r="C36" s="195"/>
      <c r="D36" s="195"/>
      <c r="E36" s="195">
        <f t="shared" ref="E36:E63" si="4">+D36+C36</f>
        <v>0</v>
      </c>
      <c r="G36" s="121">
        <f>+G14</f>
        <v>20593359</v>
      </c>
      <c r="H36" s="121"/>
      <c r="I36" s="121">
        <f t="shared" ref="I36:I63" si="5">+H36+G36</f>
        <v>20593359</v>
      </c>
    </row>
    <row r="37" spans="2:10" x14ac:dyDescent="0.3">
      <c r="B37">
        <f t="shared" ref="B37:B68" si="6">+B36+1</f>
        <v>2024</v>
      </c>
      <c r="C37" s="195"/>
      <c r="D37" s="195"/>
      <c r="E37" s="195">
        <f t="shared" si="4"/>
        <v>0</v>
      </c>
      <c r="G37" s="121">
        <f>+G15</f>
        <v>27696359</v>
      </c>
      <c r="H37" s="121"/>
      <c r="I37" s="121">
        <f t="shared" si="5"/>
        <v>27696359</v>
      </c>
    </row>
    <row r="38" spans="2:10" x14ac:dyDescent="0.3">
      <c r="B38">
        <f>+B37+1</f>
        <v>2025</v>
      </c>
      <c r="C38" s="195">
        <f>+C16</f>
        <v>0</v>
      </c>
      <c r="D38" s="195">
        <f>+D16+E16</f>
        <v>0</v>
      </c>
      <c r="E38" s="195">
        <f t="shared" si="4"/>
        <v>0</v>
      </c>
      <c r="G38" s="121">
        <f>+G16</f>
        <v>35838859</v>
      </c>
      <c r="H38" s="121"/>
      <c r="I38" s="121">
        <f t="shared" si="5"/>
        <v>35838859</v>
      </c>
    </row>
    <row r="39" spans="2:10" x14ac:dyDescent="0.3">
      <c r="B39">
        <f t="shared" si="6"/>
        <v>2026</v>
      </c>
      <c r="C39" s="121">
        <f>C17</f>
        <v>5500000</v>
      </c>
      <c r="D39" s="121">
        <f>D17+E17</f>
        <v>2100000</v>
      </c>
      <c r="E39" s="121">
        <f t="shared" si="4"/>
        <v>7600000</v>
      </c>
      <c r="G39" s="121">
        <f>+G17</f>
        <v>22978859</v>
      </c>
      <c r="H39" s="121">
        <f>H17</f>
        <v>1000000</v>
      </c>
      <c r="I39" s="121">
        <f t="shared" si="5"/>
        <v>23978859</v>
      </c>
    </row>
    <row r="40" spans="2:10" x14ac:dyDescent="0.3">
      <c r="B40">
        <f t="shared" si="6"/>
        <v>2027</v>
      </c>
      <c r="C40" s="195"/>
      <c r="D40" s="195"/>
      <c r="E40" s="195">
        <f t="shared" si="4"/>
        <v>0</v>
      </c>
      <c r="G40" s="195"/>
      <c r="H40" s="195"/>
      <c r="I40" s="195"/>
    </row>
    <row r="41" spans="2:10" x14ac:dyDescent="0.3">
      <c r="B41">
        <f t="shared" si="6"/>
        <v>2028</v>
      </c>
      <c r="C41" s="195"/>
      <c r="D41" s="195"/>
      <c r="E41" s="195">
        <f t="shared" si="4"/>
        <v>0</v>
      </c>
      <c r="G41" s="195"/>
      <c r="H41" s="195"/>
      <c r="I41" s="195"/>
    </row>
    <row r="42" spans="2:10" x14ac:dyDescent="0.3">
      <c r="B42">
        <f t="shared" si="6"/>
        <v>2029</v>
      </c>
      <c r="C42" s="195"/>
      <c r="D42" s="195"/>
      <c r="E42" s="195">
        <f t="shared" si="4"/>
        <v>0</v>
      </c>
      <c r="G42" s="195"/>
      <c r="H42" s="195"/>
      <c r="I42" s="195"/>
    </row>
    <row r="43" spans="2:10" x14ac:dyDescent="0.3">
      <c r="B43">
        <f t="shared" si="6"/>
        <v>2030</v>
      </c>
      <c r="C43" s="121">
        <f>+C20</f>
        <v>5500000</v>
      </c>
      <c r="D43" s="121">
        <f>D20+E20</f>
        <v>1100000</v>
      </c>
      <c r="E43" s="121">
        <f t="shared" si="4"/>
        <v>6600000</v>
      </c>
      <c r="G43" s="195"/>
      <c r="H43" s="195"/>
      <c r="I43" s="195"/>
    </row>
    <row r="44" spans="2:10" x14ac:dyDescent="0.3">
      <c r="B44">
        <f t="shared" si="6"/>
        <v>2031</v>
      </c>
      <c r="C44" s="121"/>
      <c r="D44" s="121"/>
      <c r="E44" s="121">
        <f t="shared" si="4"/>
        <v>0</v>
      </c>
      <c r="G44" s="195"/>
      <c r="H44" s="195"/>
      <c r="I44" s="195"/>
    </row>
    <row r="45" spans="2:10" x14ac:dyDescent="0.3">
      <c r="B45">
        <f t="shared" si="6"/>
        <v>2032</v>
      </c>
      <c r="C45" s="121"/>
      <c r="D45" s="121"/>
      <c r="E45" s="121">
        <f t="shared" si="4"/>
        <v>0</v>
      </c>
      <c r="G45" s="195"/>
      <c r="H45" s="195"/>
      <c r="I45" s="195"/>
    </row>
    <row r="46" spans="2:10" x14ac:dyDescent="0.3">
      <c r="B46">
        <f t="shared" si="6"/>
        <v>2033</v>
      </c>
      <c r="C46" s="121"/>
      <c r="D46" s="121"/>
      <c r="E46" s="121">
        <f t="shared" si="4"/>
        <v>0</v>
      </c>
      <c r="G46" s="195"/>
      <c r="H46" s="195"/>
      <c r="I46" s="195"/>
    </row>
    <row r="47" spans="2:10" x14ac:dyDescent="0.3">
      <c r="B47">
        <f t="shared" si="6"/>
        <v>2034</v>
      </c>
      <c r="C47" s="121"/>
      <c r="D47" s="121"/>
      <c r="E47" s="121">
        <f t="shared" si="4"/>
        <v>0</v>
      </c>
      <c r="G47" s="195"/>
      <c r="H47" s="195"/>
      <c r="I47" s="195"/>
    </row>
    <row r="48" spans="2:10" x14ac:dyDescent="0.3">
      <c r="B48">
        <f t="shared" si="6"/>
        <v>2035</v>
      </c>
      <c r="C48" s="121">
        <f>+C21</f>
        <v>5500000</v>
      </c>
      <c r="D48" s="121">
        <f>+D21+E21</f>
        <v>1100000</v>
      </c>
      <c r="E48" s="121">
        <f t="shared" si="4"/>
        <v>6600000</v>
      </c>
      <c r="G48" s="195"/>
      <c r="H48" s="195"/>
      <c r="I48" s="195"/>
    </row>
    <row r="49" spans="2:9" x14ac:dyDescent="0.3">
      <c r="B49">
        <f t="shared" si="6"/>
        <v>2036</v>
      </c>
      <c r="C49" s="121"/>
      <c r="D49" s="121"/>
      <c r="E49" s="121">
        <f t="shared" si="4"/>
        <v>0</v>
      </c>
      <c r="G49" s="195"/>
      <c r="H49" s="195"/>
      <c r="I49" s="195"/>
    </row>
    <row r="50" spans="2:9" x14ac:dyDescent="0.3">
      <c r="B50">
        <f t="shared" si="6"/>
        <v>2037</v>
      </c>
      <c r="C50" s="121"/>
      <c r="D50" s="121"/>
      <c r="E50" s="121">
        <f t="shared" si="4"/>
        <v>0</v>
      </c>
      <c r="G50" s="195"/>
      <c r="H50" s="195"/>
      <c r="I50" s="195"/>
    </row>
    <row r="51" spans="2:9" x14ac:dyDescent="0.3">
      <c r="B51">
        <f t="shared" si="6"/>
        <v>2038</v>
      </c>
      <c r="C51" s="121"/>
      <c r="D51" s="121"/>
      <c r="E51" s="121">
        <f t="shared" si="4"/>
        <v>0</v>
      </c>
      <c r="G51" s="195"/>
      <c r="H51" s="195"/>
      <c r="I51" s="195"/>
    </row>
    <row r="52" spans="2:9" x14ac:dyDescent="0.3">
      <c r="B52">
        <f t="shared" si="6"/>
        <v>2039</v>
      </c>
      <c r="C52" s="121"/>
      <c r="D52" s="121"/>
      <c r="E52" s="121">
        <f t="shared" si="4"/>
        <v>0</v>
      </c>
      <c r="G52" s="195"/>
      <c r="H52" s="195"/>
      <c r="I52" s="195"/>
    </row>
    <row r="53" spans="2:9" x14ac:dyDescent="0.3">
      <c r="B53">
        <f t="shared" si="6"/>
        <v>2040</v>
      </c>
      <c r="C53" s="121">
        <f>+C22</f>
        <v>5500000</v>
      </c>
      <c r="D53" s="121">
        <f>+D22+E22</f>
        <v>100000</v>
      </c>
      <c r="E53" s="121">
        <f t="shared" si="4"/>
        <v>5600000</v>
      </c>
      <c r="G53" s="195"/>
      <c r="H53" s="195"/>
      <c r="I53" s="195"/>
    </row>
    <row r="54" spans="2:9" x14ac:dyDescent="0.3">
      <c r="B54">
        <f t="shared" si="6"/>
        <v>2041</v>
      </c>
      <c r="C54" s="121"/>
      <c r="D54" s="121"/>
      <c r="E54" s="121">
        <f t="shared" si="4"/>
        <v>0</v>
      </c>
      <c r="G54" s="195"/>
      <c r="H54" s="195"/>
      <c r="I54" s="195"/>
    </row>
    <row r="55" spans="2:9" x14ac:dyDescent="0.3">
      <c r="B55">
        <f t="shared" si="6"/>
        <v>2042</v>
      </c>
      <c r="C55" s="121"/>
      <c r="D55" s="121"/>
      <c r="E55" s="121">
        <f t="shared" si="4"/>
        <v>0</v>
      </c>
      <c r="G55" s="195"/>
      <c r="H55" s="195"/>
      <c r="I55" s="195"/>
    </row>
    <row r="56" spans="2:9" x14ac:dyDescent="0.3">
      <c r="B56">
        <f t="shared" si="6"/>
        <v>2043</v>
      </c>
      <c r="C56" s="121"/>
      <c r="D56" s="121"/>
      <c r="E56" s="121">
        <f t="shared" si="4"/>
        <v>0</v>
      </c>
      <c r="G56" s="195"/>
      <c r="H56" s="195"/>
      <c r="I56" s="195"/>
    </row>
    <row r="57" spans="2:9" x14ac:dyDescent="0.3">
      <c r="B57">
        <f t="shared" si="6"/>
        <v>2044</v>
      </c>
      <c r="C57" s="121"/>
      <c r="D57" s="121"/>
      <c r="E57" s="121">
        <f t="shared" si="4"/>
        <v>0</v>
      </c>
      <c r="G57" s="195"/>
      <c r="H57" s="195"/>
      <c r="I57" s="195"/>
    </row>
    <row r="58" spans="2:9" x14ac:dyDescent="0.3">
      <c r="B58">
        <f t="shared" si="6"/>
        <v>2045</v>
      </c>
      <c r="C58" s="121">
        <f>+C24</f>
        <v>5500000</v>
      </c>
      <c r="D58" s="121">
        <f>+D24+E24</f>
        <v>100000</v>
      </c>
      <c r="E58" s="121">
        <f t="shared" si="4"/>
        <v>5600000</v>
      </c>
      <c r="G58" s="195"/>
      <c r="H58" s="121">
        <f>H24</f>
        <v>5500000</v>
      </c>
      <c r="I58" s="121">
        <f t="shared" si="5"/>
        <v>5500000</v>
      </c>
    </row>
    <row r="59" spans="2:9" x14ac:dyDescent="0.3">
      <c r="B59">
        <f t="shared" si="6"/>
        <v>2046</v>
      </c>
      <c r="C59" s="121"/>
      <c r="D59" s="121"/>
      <c r="E59" s="121">
        <f t="shared" si="4"/>
        <v>0</v>
      </c>
      <c r="G59" s="195"/>
      <c r="H59" s="121"/>
      <c r="I59" s="121"/>
    </row>
    <row r="60" spans="2:9" x14ac:dyDescent="0.3">
      <c r="B60">
        <f t="shared" si="6"/>
        <v>2047</v>
      </c>
      <c r="C60" s="121"/>
      <c r="D60" s="121"/>
      <c r="E60" s="121">
        <f t="shared" si="4"/>
        <v>0</v>
      </c>
      <c r="G60" s="195"/>
      <c r="H60" s="121"/>
      <c r="I60" s="121"/>
    </row>
    <row r="61" spans="2:9" x14ac:dyDescent="0.3">
      <c r="B61">
        <f t="shared" si="6"/>
        <v>2048</v>
      </c>
      <c r="C61" s="121"/>
      <c r="D61" s="121"/>
      <c r="E61" s="121">
        <f t="shared" si="4"/>
        <v>0</v>
      </c>
      <c r="G61" s="195"/>
      <c r="H61" s="121"/>
      <c r="I61" s="121"/>
    </row>
    <row r="62" spans="2:9" x14ac:dyDescent="0.3">
      <c r="B62">
        <f t="shared" si="6"/>
        <v>2049</v>
      </c>
      <c r="C62" s="121"/>
      <c r="D62" s="121"/>
      <c r="E62" s="121">
        <f t="shared" si="4"/>
        <v>0</v>
      </c>
      <c r="G62" s="195"/>
      <c r="H62" s="121"/>
      <c r="I62" s="121"/>
    </row>
    <row r="63" spans="2:9" x14ac:dyDescent="0.3">
      <c r="B63">
        <f t="shared" si="6"/>
        <v>2050</v>
      </c>
      <c r="C63" s="121">
        <f>+C58</f>
        <v>5500000</v>
      </c>
      <c r="D63" s="121"/>
      <c r="E63" s="121">
        <f t="shared" si="4"/>
        <v>5500000</v>
      </c>
      <c r="G63" s="195"/>
      <c r="H63" s="121">
        <f>H25</f>
        <v>5500000</v>
      </c>
      <c r="I63" s="121">
        <f t="shared" si="5"/>
        <v>5500000</v>
      </c>
    </row>
    <row r="64" spans="2:9" x14ac:dyDescent="0.3">
      <c r="B64">
        <f t="shared" si="6"/>
        <v>2051</v>
      </c>
      <c r="C64" s="121"/>
      <c r="D64" s="121"/>
      <c r="E64" s="121"/>
      <c r="G64" s="195"/>
      <c r="H64" s="121"/>
      <c r="I64" s="121"/>
    </row>
    <row r="65" spans="1:10" x14ac:dyDescent="0.3">
      <c r="B65">
        <f t="shared" si="6"/>
        <v>2052</v>
      </c>
      <c r="C65" s="121"/>
      <c r="D65" s="121"/>
      <c r="E65" s="121"/>
      <c r="G65" s="195"/>
      <c r="H65" s="195"/>
      <c r="I65" s="195"/>
    </row>
    <row r="66" spans="1:10" x14ac:dyDescent="0.3">
      <c r="B66">
        <f t="shared" si="6"/>
        <v>2053</v>
      </c>
      <c r="C66" s="121"/>
      <c r="D66" s="121"/>
      <c r="E66" s="121"/>
      <c r="G66" s="195"/>
      <c r="H66" s="195"/>
      <c r="I66" s="195"/>
    </row>
    <row r="67" spans="1:10" x14ac:dyDescent="0.3">
      <c r="B67">
        <f t="shared" si="6"/>
        <v>2054</v>
      </c>
      <c r="C67" s="121"/>
      <c r="D67" s="121"/>
      <c r="E67" s="121"/>
      <c r="G67" s="195"/>
      <c r="H67" s="195"/>
      <c r="I67" s="195"/>
    </row>
    <row r="68" spans="1:10" x14ac:dyDescent="0.3">
      <c r="B68">
        <f t="shared" si="6"/>
        <v>2055</v>
      </c>
      <c r="C68" s="121"/>
      <c r="D68" s="121"/>
      <c r="E68" s="121"/>
      <c r="G68" s="195"/>
      <c r="H68" s="195"/>
      <c r="I68" s="195"/>
    </row>
    <row r="69" spans="1:10" ht="15.6" x14ac:dyDescent="0.3">
      <c r="B69" s="7" t="s">
        <v>89</v>
      </c>
      <c r="C69" s="196">
        <f>SUM(C36:C68)</f>
        <v>33000000</v>
      </c>
      <c r="D69" s="196">
        <f>SUM(D36:D68)</f>
        <v>4500000</v>
      </c>
      <c r="E69" s="196">
        <f>SUM(E36:E68)</f>
        <v>37500000</v>
      </c>
      <c r="G69" s="196">
        <f>SUM(G36:G68)</f>
        <v>107107436</v>
      </c>
      <c r="H69" s="196">
        <f>SUM(H36:H68)</f>
        <v>12000000</v>
      </c>
      <c r="I69" s="196">
        <f>SUM(I36:I68)</f>
        <v>119107436</v>
      </c>
    </row>
    <row r="70" spans="1:10" x14ac:dyDescent="0.3">
      <c r="C70" s="195"/>
      <c r="D70" s="195"/>
      <c r="E70" s="195"/>
      <c r="F70" s="195"/>
      <c r="G70" s="195"/>
      <c r="H70" s="195"/>
      <c r="I70" s="195"/>
      <c r="J70" s="195"/>
    </row>
    <row r="71" spans="1:10" x14ac:dyDescent="0.3">
      <c r="F71" s="5"/>
    </row>
    <row r="72" spans="1:10" ht="18" x14ac:dyDescent="0.35">
      <c r="A72" s="350" t="s">
        <v>459</v>
      </c>
    </row>
    <row r="74" spans="1:10" x14ac:dyDescent="0.3">
      <c r="B74" s="387" t="s">
        <v>460</v>
      </c>
      <c r="C74" s="387" t="s">
        <v>461</v>
      </c>
      <c r="D74" s="387" t="s">
        <v>490</v>
      </c>
    </row>
    <row r="75" spans="1:10" x14ac:dyDescent="0.3">
      <c r="B75" s="387">
        <v>2015</v>
      </c>
      <c r="C75" s="388">
        <v>186761.57142857142</v>
      </c>
      <c r="D75" s="3">
        <f>C75*Inputs!E13</f>
        <v>196940.07707142856</v>
      </c>
    </row>
    <row r="76" spans="1:10" x14ac:dyDescent="0.3">
      <c r="B76">
        <v>2016</v>
      </c>
      <c r="C76" s="3">
        <v>1301112</v>
      </c>
      <c r="D76" s="3">
        <f>C76*Inputs!E14</f>
        <v>1357970.5944000001</v>
      </c>
    </row>
    <row r="77" spans="1:10" x14ac:dyDescent="0.3">
      <c r="B77">
        <v>2017</v>
      </c>
      <c r="C77" s="3">
        <v>2539763</v>
      </c>
      <c r="D77" s="3">
        <f>C77*Inputs!E15</f>
        <v>2601733.2171999998</v>
      </c>
    </row>
    <row r="78" spans="1:10" x14ac:dyDescent="0.3">
      <c r="B78">
        <v>2018</v>
      </c>
      <c r="C78" s="3">
        <v>1335785</v>
      </c>
      <c r="D78" s="3">
        <f>C78</f>
        <v>1335785</v>
      </c>
    </row>
    <row r="79" spans="1:10" x14ac:dyDescent="0.3">
      <c r="B79" s="7" t="s">
        <v>89</v>
      </c>
      <c r="C79" s="351">
        <f>SUM(C75:C78)</f>
        <v>5363421.5714285709</v>
      </c>
      <c r="D79" s="351">
        <f>SUM(D75:D78)</f>
        <v>5492428.888671428</v>
      </c>
    </row>
    <row r="82" spans="1:2" ht="18" x14ac:dyDescent="0.35">
      <c r="A82" s="350" t="s">
        <v>469</v>
      </c>
    </row>
    <row r="84" spans="1:2" x14ac:dyDescent="0.3">
      <c r="B84" s="219" t="s">
        <v>247</v>
      </c>
    </row>
    <row r="86" spans="1:2" x14ac:dyDescent="0.3">
      <c r="B86" s="219" t="s">
        <v>248</v>
      </c>
    </row>
    <row r="88" spans="1:2" x14ac:dyDescent="0.3">
      <c r="B88" s="219" t="s">
        <v>249</v>
      </c>
    </row>
  </sheetData>
  <mergeCells count="5">
    <mergeCell ref="B5:B6"/>
    <mergeCell ref="C5:F5"/>
    <mergeCell ref="G5:I5"/>
    <mergeCell ref="G34:I34"/>
    <mergeCell ref="C34:E3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5" tint="0.39997558519241921"/>
  </sheetPr>
  <dimension ref="A1:AH184"/>
  <sheetViews>
    <sheetView showGridLines="0" workbookViewId="0"/>
  </sheetViews>
  <sheetFormatPr defaultRowHeight="14.4" x14ac:dyDescent="0.3"/>
  <cols>
    <col min="2" max="2" width="19.33203125" customWidth="1"/>
    <col min="4" max="4" width="11.33203125" customWidth="1"/>
    <col min="6" max="6" width="9.109375" bestFit="1" customWidth="1"/>
    <col min="7" max="7" width="23" customWidth="1"/>
    <col min="8" max="8" width="14.5546875" customWidth="1"/>
    <col min="9" max="9" width="13.44140625" customWidth="1"/>
    <col min="10" max="10" width="17.33203125" customWidth="1"/>
    <col min="11" max="11" width="20.88671875" customWidth="1"/>
    <col min="12" max="12" width="13.33203125" customWidth="1"/>
    <col min="13" max="13" width="13.6640625" customWidth="1"/>
    <col min="15" max="15" width="18.77734375" customWidth="1"/>
    <col min="16" max="16" width="12.88671875" customWidth="1"/>
    <col min="20" max="20" width="12.88671875" customWidth="1"/>
    <col min="21" max="26" width="17.33203125" customWidth="1"/>
    <col min="31" max="31" width="11.33203125" customWidth="1"/>
    <col min="34" max="34" width="11.77734375" customWidth="1"/>
  </cols>
  <sheetData>
    <row r="1" spans="1:14" ht="32.4" x14ac:dyDescent="0.6">
      <c r="A1" s="155" t="s">
        <v>173</v>
      </c>
      <c r="B1" s="155"/>
      <c r="C1" s="155"/>
    </row>
    <row r="3" spans="1:14" x14ac:dyDescent="0.3">
      <c r="B3" s="599" t="s">
        <v>174</v>
      </c>
      <c r="C3" s="599"/>
      <c r="D3" s="599"/>
      <c r="E3" s="599"/>
      <c r="F3" s="599"/>
      <c r="G3" s="599"/>
      <c r="H3" s="599"/>
      <c r="I3" s="599"/>
      <c r="J3" s="599"/>
      <c r="K3" s="599"/>
      <c r="L3" s="599"/>
      <c r="M3" s="599"/>
      <c r="N3" s="599"/>
    </row>
    <row r="4" spans="1:14" ht="15.75" thickBot="1" x14ac:dyDescent="0.35"/>
    <row r="5" spans="1:14" ht="15" thickBot="1" x14ac:dyDescent="0.35">
      <c r="B5" s="600" t="s">
        <v>175</v>
      </c>
      <c r="C5" s="603" t="s">
        <v>471</v>
      </c>
      <c r="D5" s="604"/>
      <c r="E5" s="604"/>
      <c r="F5" s="605"/>
      <c r="G5" s="606" t="s">
        <v>176</v>
      </c>
      <c r="H5" s="607"/>
      <c r="I5" s="607"/>
      <c r="J5" s="608"/>
      <c r="K5" s="609" t="s">
        <v>177</v>
      </c>
      <c r="L5" s="607"/>
      <c r="M5" s="607"/>
      <c r="N5" s="610"/>
    </row>
    <row r="6" spans="1:14" x14ac:dyDescent="0.3">
      <c r="B6" s="601"/>
      <c r="C6" s="611">
        <v>2015</v>
      </c>
      <c r="D6" s="612"/>
      <c r="E6" s="597">
        <v>2045</v>
      </c>
      <c r="F6" s="598"/>
      <c r="G6" s="613">
        <v>2015</v>
      </c>
      <c r="H6" s="612"/>
      <c r="I6" s="597">
        <v>2045</v>
      </c>
      <c r="J6" s="598"/>
      <c r="K6" s="611">
        <v>2015</v>
      </c>
      <c r="L6" s="612"/>
      <c r="M6" s="597">
        <v>2045</v>
      </c>
      <c r="N6" s="598"/>
    </row>
    <row r="7" spans="1:14" ht="15" thickBot="1" x14ac:dyDescent="0.35">
      <c r="B7" s="602"/>
      <c r="C7" s="226" t="s">
        <v>178</v>
      </c>
      <c r="D7" s="227" t="s">
        <v>179</v>
      </c>
      <c r="E7" s="226" t="s">
        <v>178</v>
      </c>
      <c r="F7" s="228" t="s">
        <v>179</v>
      </c>
      <c r="G7" s="229" t="s">
        <v>178</v>
      </c>
      <c r="H7" s="227" t="s">
        <v>179</v>
      </c>
      <c r="I7" s="226" t="s">
        <v>178</v>
      </c>
      <c r="J7" s="228" t="s">
        <v>179</v>
      </c>
      <c r="K7" s="226" t="s">
        <v>178</v>
      </c>
      <c r="L7" s="227" t="s">
        <v>179</v>
      </c>
      <c r="M7" s="226" t="s">
        <v>178</v>
      </c>
      <c r="N7" s="228" t="s">
        <v>179</v>
      </c>
    </row>
    <row r="8" spans="1:14" ht="15" x14ac:dyDescent="0.3">
      <c r="B8" s="230" t="s">
        <v>180</v>
      </c>
      <c r="C8" s="231">
        <v>428.83599811104375</v>
      </c>
      <c r="D8" s="232">
        <v>519.10064076185984</v>
      </c>
      <c r="E8" s="231">
        <v>661.40997099102754</v>
      </c>
      <c r="F8" s="233">
        <v>801.48139439186434</v>
      </c>
      <c r="G8" s="234">
        <v>345.75457059974372</v>
      </c>
      <c r="H8" s="232">
        <v>423.7243548292281</v>
      </c>
      <c r="I8" s="231">
        <v>514.29062942724147</v>
      </c>
      <c r="J8" s="233">
        <v>630.22367879607316</v>
      </c>
      <c r="K8" s="231">
        <v>298.38696620117378</v>
      </c>
      <c r="L8" s="232">
        <v>367.38492739991773</v>
      </c>
      <c r="M8" s="231">
        <v>438.07798691223093</v>
      </c>
      <c r="N8" s="233">
        <v>539.34983246134857</v>
      </c>
    </row>
    <row r="9" spans="1:14" ht="15" x14ac:dyDescent="0.3">
      <c r="B9" s="235" t="s">
        <v>181</v>
      </c>
      <c r="C9" s="236">
        <v>230.91169129056198</v>
      </c>
      <c r="D9" s="237">
        <v>291.26594556463459</v>
      </c>
      <c r="E9" s="236">
        <v>356.14383053363014</v>
      </c>
      <c r="F9" s="238">
        <v>449.70901181588397</v>
      </c>
      <c r="G9" s="239">
        <v>186.17553801524659</v>
      </c>
      <c r="H9" s="237">
        <v>237.75057315854448</v>
      </c>
      <c r="I9" s="236">
        <v>276.9257235377454</v>
      </c>
      <c r="J9" s="238">
        <v>353.61677737934286</v>
      </c>
      <c r="K9" s="236">
        <v>160.66990487755513</v>
      </c>
      <c r="L9" s="237">
        <v>206.13867497501619</v>
      </c>
      <c r="M9" s="236">
        <v>235.88814679889359</v>
      </c>
      <c r="N9" s="238">
        <v>302.62771148080657</v>
      </c>
    </row>
    <row r="10" spans="1:14" ht="15" x14ac:dyDescent="0.3">
      <c r="B10" s="235" t="s">
        <v>182</v>
      </c>
      <c r="C10" s="236">
        <v>94.463873709775356</v>
      </c>
      <c r="D10" s="237">
        <v>47.897066603962124</v>
      </c>
      <c r="E10" s="236">
        <v>145.69520340012141</v>
      </c>
      <c r="F10" s="238">
        <v>73.952148609723125</v>
      </c>
      <c r="G10" s="239">
        <v>76.162720097146334</v>
      </c>
      <c r="H10" s="237">
        <v>39.096760919405085</v>
      </c>
      <c r="I10" s="236">
        <v>113.28779599271404</v>
      </c>
      <c r="J10" s="238">
        <v>58.150314502380816</v>
      </c>
      <c r="K10" s="236">
        <v>65.728597449908918</v>
      </c>
      <c r="L10" s="237">
        <v>33.89835988478044</v>
      </c>
      <c r="M10" s="236">
        <v>96.499696417729197</v>
      </c>
      <c r="N10" s="238">
        <v>49.765445887954854</v>
      </c>
    </row>
    <row r="11" spans="1:14" ht="15" x14ac:dyDescent="0.3">
      <c r="B11" s="235" t="s">
        <v>183</v>
      </c>
      <c r="C11" s="236">
        <v>88.466167442488057</v>
      </c>
      <c r="D11" s="237">
        <v>71.198342249132907</v>
      </c>
      <c r="E11" s="236">
        <v>136.44471429535184</v>
      </c>
      <c r="F11" s="238">
        <v>109.92886955499385</v>
      </c>
      <c r="G11" s="239">
        <v>71.32699183701007</v>
      </c>
      <c r="H11" s="237">
        <v>58.116806772088651</v>
      </c>
      <c r="I11" s="236">
        <v>106.09492005666871</v>
      </c>
      <c r="J11" s="238">
        <v>86.439656692728263</v>
      </c>
      <c r="K11" s="236">
        <v>61.555353167375031</v>
      </c>
      <c r="L11" s="237">
        <v>50.389453882781737</v>
      </c>
      <c r="M11" s="236">
        <v>90.372731565809886</v>
      </c>
      <c r="N11" s="238">
        <v>73.975662806419393</v>
      </c>
    </row>
    <row r="12" spans="1:14" ht="15" x14ac:dyDescent="0.3">
      <c r="B12" s="235" t="s">
        <v>184</v>
      </c>
      <c r="C12" s="236">
        <v>89.965594009309882</v>
      </c>
      <c r="D12" s="237">
        <v>142.39668449826578</v>
      </c>
      <c r="E12" s="236">
        <v>138.75733657154422</v>
      </c>
      <c r="F12" s="238">
        <v>219.85773910998768</v>
      </c>
      <c r="G12" s="239">
        <v>72.535923902044132</v>
      </c>
      <c r="H12" s="237">
        <v>116.2336135441773</v>
      </c>
      <c r="I12" s="236">
        <v>107.89313904068004</v>
      </c>
      <c r="J12" s="238">
        <v>172.8793133854565</v>
      </c>
      <c r="K12" s="236">
        <v>62.598664238008496</v>
      </c>
      <c r="L12" s="237">
        <v>100.77890776556346</v>
      </c>
      <c r="M12" s="236">
        <v>91.904472778789724</v>
      </c>
      <c r="N12" s="238">
        <v>147.95132561283876</v>
      </c>
    </row>
    <row r="13" spans="1:14" ht="15" x14ac:dyDescent="0.3">
      <c r="B13" s="235" t="s">
        <v>185</v>
      </c>
      <c r="C13" s="236">
        <v>128.9506847466775</v>
      </c>
      <c r="D13" s="237">
        <v>424.60102286755614</v>
      </c>
      <c r="E13" s="236">
        <v>198.88551575254672</v>
      </c>
      <c r="F13" s="238">
        <v>655.57580389159966</v>
      </c>
      <c r="G13" s="239">
        <v>103.96815759292991</v>
      </c>
      <c r="H13" s="237">
        <v>346.58750220445592</v>
      </c>
      <c r="I13" s="236">
        <v>154.64683262497471</v>
      </c>
      <c r="J13" s="238">
        <v>515.49467991299753</v>
      </c>
      <c r="K13" s="236">
        <v>89.724752074478843</v>
      </c>
      <c r="L13" s="237">
        <v>300.50437951913466</v>
      </c>
      <c r="M13" s="236">
        <v>131.72974431626525</v>
      </c>
      <c r="N13" s="238">
        <v>441.16395273646464</v>
      </c>
    </row>
    <row r="14" spans="1:14" ht="15" x14ac:dyDescent="0.3">
      <c r="B14" s="235" t="s">
        <v>186</v>
      </c>
      <c r="C14" s="236">
        <v>632.75801119881282</v>
      </c>
      <c r="D14" s="237">
        <v>1299.6933748750807</v>
      </c>
      <c r="E14" s="236">
        <v>975.92660055319459</v>
      </c>
      <c r="F14" s="238">
        <v>2006.7015460584332</v>
      </c>
      <c r="G14" s="239">
        <v>510.16933144437712</v>
      </c>
      <c r="H14" s="237">
        <v>1060.8958908941274</v>
      </c>
      <c r="I14" s="236">
        <v>758.84841125278308</v>
      </c>
      <c r="J14" s="238">
        <v>1577.9166421727123</v>
      </c>
      <c r="K14" s="236">
        <v>440.27727180732649</v>
      </c>
      <c r="L14" s="237">
        <v>919.83657633296127</v>
      </c>
      <c r="M14" s="236">
        <v>646.39479187748771</v>
      </c>
      <c r="N14" s="238">
        <v>1350.3920992299104</v>
      </c>
    </row>
    <row r="15" spans="1:14" s="6" customFormat="1" ht="15" x14ac:dyDescent="0.3">
      <c r="B15" s="400" t="s">
        <v>187</v>
      </c>
      <c r="C15" s="401">
        <v>1219.0337988261488</v>
      </c>
      <c r="D15" s="402">
        <v>2579.9690200458517</v>
      </c>
      <c r="E15" s="401">
        <v>1880.1619105444242</v>
      </c>
      <c r="F15" s="403">
        <v>3983.42249132914</v>
      </c>
      <c r="G15" s="404">
        <v>982.86176887269801</v>
      </c>
      <c r="H15" s="405">
        <v>2105.9417435776845</v>
      </c>
      <c r="I15" s="401">
        <v>1461.9520340012143</v>
      </c>
      <c r="J15" s="403">
        <v>3132.2588325201336</v>
      </c>
      <c r="K15" s="401">
        <v>848.21190042501519</v>
      </c>
      <c r="L15" s="402">
        <v>1825.9305743342541</v>
      </c>
      <c r="M15" s="401">
        <v>1245.3056061526006</v>
      </c>
      <c r="N15" s="403">
        <v>2680.6090176944326</v>
      </c>
    </row>
    <row r="16" spans="1:14" s="6" customFormat="1" ht="15" x14ac:dyDescent="0.3">
      <c r="B16" s="400" t="s">
        <v>188</v>
      </c>
      <c r="C16" s="401">
        <v>1592</v>
      </c>
      <c r="D16" s="402">
        <v>3227</v>
      </c>
      <c r="E16" s="401">
        <v>2730</v>
      </c>
      <c r="F16" s="403">
        <v>5095</v>
      </c>
      <c r="G16" s="404">
        <v>1070</v>
      </c>
      <c r="H16" s="402">
        <v>3035</v>
      </c>
      <c r="I16" s="401">
        <v>1730</v>
      </c>
      <c r="J16" s="403">
        <v>4575</v>
      </c>
      <c r="K16" s="401">
        <v>935</v>
      </c>
      <c r="L16" s="402">
        <v>2410</v>
      </c>
      <c r="M16" s="401">
        <v>1510</v>
      </c>
      <c r="N16" s="403">
        <v>3565</v>
      </c>
    </row>
    <row r="17" spans="2:14" ht="15" x14ac:dyDescent="0.3">
      <c r="B17" s="235" t="s">
        <v>189</v>
      </c>
      <c r="C17" s="236">
        <v>1060.0945827430346</v>
      </c>
      <c r="D17" s="237">
        <v>1667.3357239433305</v>
      </c>
      <c r="E17" s="236">
        <v>1635.0239492680296</v>
      </c>
      <c r="F17" s="238">
        <v>2574.334254306038</v>
      </c>
      <c r="G17" s="239">
        <v>854.71496997908673</v>
      </c>
      <c r="H17" s="237">
        <v>1360.9899476809126</v>
      </c>
      <c r="I17" s="236">
        <v>1271.3408216960131</v>
      </c>
      <c r="J17" s="238">
        <v>2024.2595967315269</v>
      </c>
      <c r="K17" s="236">
        <v>737.62092693786678</v>
      </c>
      <c r="L17" s="237">
        <v>1180.0293927458706</v>
      </c>
      <c r="M17" s="236">
        <v>1082.9410375767388</v>
      </c>
      <c r="N17" s="238">
        <v>1732.3755217212395</v>
      </c>
    </row>
    <row r="18" spans="2:14" ht="15" x14ac:dyDescent="0.3">
      <c r="B18" s="235" t="s">
        <v>190</v>
      </c>
      <c r="C18" s="236">
        <v>1001.6169466369831</v>
      </c>
      <c r="D18" s="237">
        <v>1277.6866145435304</v>
      </c>
      <c r="E18" s="236">
        <v>1544.8316804965257</v>
      </c>
      <c r="F18" s="238">
        <v>1972.7235318323442</v>
      </c>
      <c r="G18" s="239">
        <v>807.56661944275788</v>
      </c>
      <c r="H18" s="237">
        <v>1042.9325142554819</v>
      </c>
      <c r="I18" s="236">
        <v>1201.2102813195709</v>
      </c>
      <c r="J18" s="238">
        <v>1551.1989301040508</v>
      </c>
      <c r="K18" s="236">
        <v>696.93179518316128</v>
      </c>
      <c r="L18" s="237">
        <v>904.26165422373765</v>
      </c>
      <c r="M18" s="236">
        <v>1023.2031302705253</v>
      </c>
      <c r="N18" s="238">
        <v>1327.5268943624715</v>
      </c>
    </row>
    <row r="19" spans="2:14" ht="15" x14ac:dyDescent="0.3">
      <c r="B19" s="235" t="s">
        <v>191</v>
      </c>
      <c r="C19" s="236">
        <v>1036.1037576738854</v>
      </c>
      <c r="D19" s="237">
        <v>1368.302686496972</v>
      </c>
      <c r="E19" s="236">
        <v>1598.021992848951</v>
      </c>
      <c r="F19" s="238">
        <v>2112.6330021750632</v>
      </c>
      <c r="G19" s="239">
        <v>835.3720569385415</v>
      </c>
      <c r="H19" s="237">
        <v>1116.8993592381401</v>
      </c>
      <c r="I19" s="236">
        <v>1242.5693179518316</v>
      </c>
      <c r="J19" s="238">
        <v>1661.2130386220681</v>
      </c>
      <c r="K19" s="236">
        <v>720.92794980773112</v>
      </c>
      <c r="L19" s="237">
        <v>968.39368643818693</v>
      </c>
      <c r="M19" s="236">
        <v>1058.4331781690614</v>
      </c>
      <c r="N19" s="238">
        <v>1421.6777379342777</v>
      </c>
    </row>
    <row r="20" spans="2:14" ht="15" x14ac:dyDescent="0.3">
      <c r="B20" s="235" t="s">
        <v>192</v>
      </c>
      <c r="C20" s="236">
        <v>1244.5240504621197</v>
      </c>
      <c r="D20" s="237">
        <v>1506.8158250543763</v>
      </c>
      <c r="E20" s="236">
        <v>1919.4764892396952</v>
      </c>
      <c r="F20" s="238">
        <v>2326.4946211275064</v>
      </c>
      <c r="G20" s="239">
        <v>1003.4136139782771</v>
      </c>
      <c r="H20" s="237">
        <v>1229.9629651402036</v>
      </c>
      <c r="I20" s="236">
        <v>1492.5217567294071</v>
      </c>
      <c r="J20" s="238">
        <v>1829.3774616424671</v>
      </c>
      <c r="K20" s="236">
        <v>865.94818862578416</v>
      </c>
      <c r="L20" s="237">
        <v>1066.424078537417</v>
      </c>
      <c r="M20" s="236">
        <v>1271.3452067732576</v>
      </c>
      <c r="N20" s="238">
        <v>1565.5940273940396</v>
      </c>
    </row>
    <row r="21" spans="2:14" ht="15" x14ac:dyDescent="0.3">
      <c r="B21" s="235" t="s">
        <v>193</v>
      </c>
      <c r="C21" s="236">
        <v>1323.9936585036767</v>
      </c>
      <c r="D21" s="237">
        <v>1183.1869966492266</v>
      </c>
      <c r="E21" s="236">
        <v>2042.0454698778924</v>
      </c>
      <c r="F21" s="238">
        <v>1826.8179413320793</v>
      </c>
      <c r="G21" s="239">
        <v>1067.4870134250828</v>
      </c>
      <c r="H21" s="237">
        <v>965.79566163070933</v>
      </c>
      <c r="I21" s="236">
        <v>1587.8273628820075</v>
      </c>
      <c r="J21" s="238">
        <v>1436.4699312209746</v>
      </c>
      <c r="K21" s="236">
        <v>921.24367536935824</v>
      </c>
      <c r="L21" s="237">
        <v>837.38110634295447</v>
      </c>
      <c r="M21" s="236">
        <v>1352.5274910611884</v>
      </c>
      <c r="N21" s="238">
        <v>1229.3410146375873</v>
      </c>
    </row>
    <row r="22" spans="2:14" ht="15" x14ac:dyDescent="0.3">
      <c r="B22" s="235" t="s">
        <v>194</v>
      </c>
      <c r="C22" s="236">
        <v>1458.9420495176414</v>
      </c>
      <c r="D22" s="237">
        <v>1209.0773029216384</v>
      </c>
      <c r="E22" s="236">
        <v>2250.1814747352082</v>
      </c>
      <c r="F22" s="238">
        <v>1866.7920757157135</v>
      </c>
      <c r="G22" s="239">
        <v>1176.2908992781488</v>
      </c>
      <c r="H22" s="237">
        <v>986.92904591146885</v>
      </c>
      <c r="I22" s="236">
        <v>1749.6670714430275</v>
      </c>
      <c r="J22" s="238">
        <v>1467.902533654694</v>
      </c>
      <c r="K22" s="236">
        <v>1015.1416717263709</v>
      </c>
      <c r="L22" s="237">
        <v>855.70454411851142</v>
      </c>
      <c r="M22" s="236">
        <v>1490.3842002293727</v>
      </c>
      <c r="N22" s="238">
        <v>1256.2412556581032</v>
      </c>
    </row>
    <row r="23" spans="2:14" ht="15" x14ac:dyDescent="0.3">
      <c r="B23" s="235" t="s">
        <v>195</v>
      </c>
      <c r="C23" s="236">
        <v>2066.2098090804834</v>
      </c>
      <c r="D23" s="237">
        <v>1688.04796896126</v>
      </c>
      <c r="E23" s="236">
        <v>3186.7934965931322</v>
      </c>
      <c r="F23" s="238">
        <v>2606.313561812945</v>
      </c>
      <c r="G23" s="239">
        <v>1665.9083856169468</v>
      </c>
      <c r="H23" s="237">
        <v>1377.89665510552</v>
      </c>
      <c r="I23" s="236">
        <v>2477.9457599676184</v>
      </c>
      <c r="J23" s="238">
        <v>2049.4056786785022</v>
      </c>
      <c r="K23" s="236">
        <v>1437.6826553329286</v>
      </c>
      <c r="L23" s="237">
        <v>1194.6881429663158</v>
      </c>
      <c r="M23" s="236">
        <v>2110.7393914862037</v>
      </c>
      <c r="N23" s="238">
        <v>1753.8957145376521</v>
      </c>
    </row>
    <row r="24" spans="2:14" s="6" customFormat="1" ht="15" x14ac:dyDescent="0.3">
      <c r="B24" s="400" t="s">
        <v>196</v>
      </c>
      <c r="C24" s="401">
        <v>3222</v>
      </c>
      <c r="D24" s="402">
        <v>1792</v>
      </c>
      <c r="E24" s="401">
        <v>5280</v>
      </c>
      <c r="F24" s="403">
        <v>3195</v>
      </c>
      <c r="G24" s="404">
        <v>3140</v>
      </c>
      <c r="H24" s="402">
        <v>1120</v>
      </c>
      <c r="I24" s="401">
        <v>4935</v>
      </c>
      <c r="J24" s="403">
        <v>2010</v>
      </c>
      <c r="K24" s="401">
        <v>2580</v>
      </c>
      <c r="L24" s="402">
        <v>985</v>
      </c>
      <c r="M24" s="401">
        <v>4025</v>
      </c>
      <c r="N24" s="403">
        <v>1795</v>
      </c>
    </row>
    <row r="25" spans="2:14" s="6" customFormat="1" ht="15" x14ac:dyDescent="0.3">
      <c r="B25" s="400" t="s">
        <v>197</v>
      </c>
      <c r="C25" s="401">
        <v>2917.8840990352828</v>
      </c>
      <c r="D25" s="402">
        <v>1934.0058785491735</v>
      </c>
      <c r="E25" s="401">
        <v>4500.3629494704173</v>
      </c>
      <c r="F25" s="403">
        <v>2986.067838457469</v>
      </c>
      <c r="G25" s="404">
        <v>2352.5817985562976</v>
      </c>
      <c r="H25" s="402">
        <v>1578.663805772735</v>
      </c>
      <c r="I25" s="401">
        <v>3499.3341428860554</v>
      </c>
      <c r="J25" s="403">
        <v>2348.0154017988361</v>
      </c>
      <c r="K25" s="401">
        <v>2030.283343452742</v>
      </c>
      <c r="L25" s="402">
        <v>1368.7608018341075</v>
      </c>
      <c r="M25" s="401">
        <v>2980.7684004587459</v>
      </c>
      <c r="N25" s="403">
        <v>2009.4480042325554</v>
      </c>
    </row>
    <row r="26" spans="2:14" s="6" customFormat="1" x14ac:dyDescent="0.3">
      <c r="B26" s="400" t="s">
        <v>198</v>
      </c>
      <c r="C26" s="401">
        <v>2465.0572758550902</v>
      </c>
      <c r="D26" s="402">
        <v>1526.2335547586849</v>
      </c>
      <c r="E26" s="401">
        <v>3801.9510220603111</v>
      </c>
      <c r="F26" s="403">
        <v>2356.4752219152315</v>
      </c>
      <c r="G26" s="404">
        <v>1987.484314916009</v>
      </c>
      <c r="H26" s="402">
        <v>1245.8130033507728</v>
      </c>
      <c r="I26" s="401">
        <v>2956.2720097146325</v>
      </c>
      <c r="J26" s="403">
        <v>1852.951913467756</v>
      </c>
      <c r="K26" s="401">
        <v>1715.2034001214327</v>
      </c>
      <c r="L26" s="402">
        <v>1080.1666568690846</v>
      </c>
      <c r="M26" s="401">
        <v>2518.182554138838</v>
      </c>
      <c r="N26" s="403">
        <v>1585.7692081594259</v>
      </c>
    </row>
    <row r="27" spans="2:14" x14ac:dyDescent="0.3">
      <c r="B27" s="235" t="s">
        <v>199</v>
      </c>
      <c r="C27" s="236">
        <v>1457.4426229508199</v>
      </c>
      <c r="D27" s="237">
        <v>1099.0435012638877</v>
      </c>
      <c r="E27" s="236">
        <v>2247.8688524590161</v>
      </c>
      <c r="F27" s="238">
        <v>1696.9020045852685</v>
      </c>
      <c r="G27" s="239">
        <v>1175.0819672131147</v>
      </c>
      <c r="H27" s="237">
        <v>897.11216271824105</v>
      </c>
      <c r="I27" s="236">
        <v>1747.8688524590164</v>
      </c>
      <c r="J27" s="238">
        <v>1334.3139733113867</v>
      </c>
      <c r="K27" s="236">
        <v>1014.0983606557375</v>
      </c>
      <c r="L27" s="237">
        <v>777.82993357239434</v>
      </c>
      <c r="M27" s="236">
        <v>1488.8524590163931</v>
      </c>
      <c r="N27" s="238">
        <v>1141.9152313209099</v>
      </c>
    </row>
    <row r="28" spans="2:14" x14ac:dyDescent="0.3">
      <c r="B28" s="235" t="s">
        <v>200</v>
      </c>
      <c r="C28" s="236">
        <v>1120.0716454159081</v>
      </c>
      <c r="D28" s="237">
        <v>758.58597378167053</v>
      </c>
      <c r="E28" s="236">
        <v>1727.5288403157256</v>
      </c>
      <c r="F28" s="238">
        <v>1171.2421374404801</v>
      </c>
      <c r="G28" s="239">
        <v>903.07225258044957</v>
      </c>
      <c r="H28" s="237">
        <v>619.2081594262537</v>
      </c>
      <c r="I28" s="236">
        <v>1343.2695810564664</v>
      </c>
      <c r="J28" s="238">
        <v>920.97525130797737</v>
      </c>
      <c r="K28" s="236">
        <v>779.35336976320582</v>
      </c>
      <c r="L28" s="237">
        <v>536.87672682381992</v>
      </c>
      <c r="M28" s="236">
        <v>1144.210686095932</v>
      </c>
      <c r="N28" s="238">
        <v>788.1770619011229</v>
      </c>
    </row>
    <row r="29" spans="2:14" x14ac:dyDescent="0.3">
      <c r="B29" s="235" t="s">
        <v>201</v>
      </c>
      <c r="C29" s="236">
        <v>937.14160426364447</v>
      </c>
      <c r="D29" s="237">
        <v>631.72347304685195</v>
      </c>
      <c r="E29" s="236">
        <v>1445.3889226202523</v>
      </c>
      <c r="F29" s="238">
        <v>975.36887896067265</v>
      </c>
      <c r="G29" s="239">
        <v>755.58254064629307</v>
      </c>
      <c r="H29" s="237">
        <v>515.65457645053198</v>
      </c>
      <c r="I29" s="236">
        <v>1123.8868650070835</v>
      </c>
      <c r="J29" s="238">
        <v>766.95549938275246</v>
      </c>
      <c r="K29" s="236">
        <v>652.06941914592187</v>
      </c>
      <c r="L29" s="237">
        <v>447.09188172359069</v>
      </c>
      <c r="M29" s="236">
        <v>957.33825811239285</v>
      </c>
      <c r="N29" s="238">
        <v>656.36588090059377</v>
      </c>
    </row>
    <row r="30" spans="2:14" x14ac:dyDescent="0.3">
      <c r="B30" s="235" t="s">
        <v>202</v>
      </c>
      <c r="C30" s="236">
        <v>694.23450043850789</v>
      </c>
      <c r="D30" s="237">
        <v>393.5326553406619</v>
      </c>
      <c r="E30" s="236">
        <v>1070.7441138770828</v>
      </c>
      <c r="F30" s="238">
        <v>607.60684263123869</v>
      </c>
      <c r="G30" s="239">
        <v>559.73554611077384</v>
      </c>
      <c r="H30" s="237">
        <v>321.22744106754453</v>
      </c>
      <c r="I30" s="236">
        <v>832.57538959724752</v>
      </c>
      <c r="J30" s="238">
        <v>477.77555699253429</v>
      </c>
      <c r="K30" s="236">
        <v>483.05302570329889</v>
      </c>
      <c r="L30" s="237">
        <v>278.51625418846629</v>
      </c>
      <c r="M30" s="236">
        <v>709.19618160966058</v>
      </c>
      <c r="N30" s="238">
        <v>408.88366351184533</v>
      </c>
    </row>
    <row r="31" spans="2:14" ht="15" thickBot="1" x14ac:dyDescent="0.35">
      <c r="B31" s="240" t="s">
        <v>203</v>
      </c>
      <c r="C31" s="241">
        <v>529.29757808810632</v>
      </c>
      <c r="D31" s="242">
        <v>401.29974722238546</v>
      </c>
      <c r="E31" s="241">
        <v>816.35566349591841</v>
      </c>
      <c r="F31" s="243">
        <v>619.59908294632896</v>
      </c>
      <c r="G31" s="509">
        <v>426.75301895702626</v>
      </c>
      <c r="H31" s="508">
        <v>327.56745635177242</v>
      </c>
      <c r="I31" s="241">
        <v>634.77130135600078</v>
      </c>
      <c r="J31" s="243">
        <v>487.20533772265014</v>
      </c>
      <c r="K31" s="509">
        <v>368.28880793361662</v>
      </c>
      <c r="L31" s="508">
        <v>284.01328552113347</v>
      </c>
      <c r="M31" s="241">
        <v>540.70464818187941</v>
      </c>
      <c r="N31" s="243">
        <v>416.95373581800015</v>
      </c>
    </row>
    <row r="32" spans="2:14" ht="15.75" thickBot="1" x14ac:dyDescent="0.35">
      <c r="B32" s="506" t="s">
        <v>89</v>
      </c>
      <c r="C32" s="504">
        <f>SUM(C8:C31)</f>
        <v>27040.000000000004</v>
      </c>
      <c r="D32" s="507">
        <f t="shared" ref="D32:N32" si="0">SUM(D8:D31)</f>
        <v>27040</v>
      </c>
      <c r="E32" s="507">
        <f t="shared" si="0"/>
        <v>42289.999999999993</v>
      </c>
      <c r="F32" s="505">
        <f t="shared" si="0"/>
        <v>42290</v>
      </c>
      <c r="G32" s="507">
        <f t="shared" si="0"/>
        <v>22130</v>
      </c>
      <c r="H32" s="507">
        <f t="shared" si="0"/>
        <v>22130</v>
      </c>
      <c r="I32" s="505">
        <f t="shared" si="0"/>
        <v>33320.000000000007</v>
      </c>
      <c r="J32" s="507">
        <f t="shared" si="0"/>
        <v>33320</v>
      </c>
      <c r="K32" s="507">
        <f t="shared" si="0"/>
        <v>18979.999999999996</v>
      </c>
      <c r="L32" s="507">
        <f t="shared" si="0"/>
        <v>18980</v>
      </c>
      <c r="M32" s="507">
        <f t="shared" si="0"/>
        <v>28239.999999999996</v>
      </c>
      <c r="N32" s="505">
        <f t="shared" si="0"/>
        <v>28239.999999999996</v>
      </c>
    </row>
    <row r="33" spans="1:13" ht="15" x14ac:dyDescent="0.3">
      <c r="B33" s="510" t="s">
        <v>211</v>
      </c>
      <c r="G33" s="3"/>
      <c r="K33" s="3"/>
    </row>
    <row r="34" spans="1:13" x14ac:dyDescent="0.3">
      <c r="C34" s="3"/>
    </row>
    <row r="35" spans="1:13" ht="18" x14ac:dyDescent="0.35">
      <c r="A35" s="350" t="s">
        <v>482</v>
      </c>
      <c r="H35" s="596" t="s">
        <v>226</v>
      </c>
      <c r="I35" s="596"/>
      <c r="L35" s="596" t="s">
        <v>226</v>
      </c>
      <c r="M35" s="596"/>
    </row>
    <row r="36" spans="1:13" x14ac:dyDescent="0.3">
      <c r="H36" s="596" t="s">
        <v>227</v>
      </c>
      <c r="I36" s="596"/>
      <c r="L36" s="596" t="s">
        <v>228</v>
      </c>
      <c r="M36" s="596"/>
    </row>
    <row r="37" spans="1:13" x14ac:dyDescent="0.3">
      <c r="H37" s="251" t="s">
        <v>218</v>
      </c>
      <c r="I37" s="251" t="s">
        <v>218</v>
      </c>
      <c r="L37" s="251" t="s">
        <v>218</v>
      </c>
      <c r="M37" s="251" t="s">
        <v>218</v>
      </c>
    </row>
    <row r="38" spans="1:13" x14ac:dyDescent="0.3">
      <c r="E38" s="7" t="s">
        <v>175</v>
      </c>
      <c r="F38" s="7" t="s">
        <v>219</v>
      </c>
      <c r="H38" s="7">
        <v>2015</v>
      </c>
      <c r="I38" s="7">
        <v>2045</v>
      </c>
      <c r="L38" s="7">
        <v>2015</v>
      </c>
      <c r="M38" s="7">
        <v>2045</v>
      </c>
    </row>
    <row r="39" spans="1:13" x14ac:dyDescent="0.3">
      <c r="B39" t="s">
        <v>220</v>
      </c>
      <c r="C39" t="s">
        <v>278</v>
      </c>
      <c r="E39" t="s">
        <v>187</v>
      </c>
      <c r="F39" t="s">
        <v>178</v>
      </c>
      <c r="H39" s="315">
        <f t="shared" ref="H39:H48" si="1">W88</f>
        <v>3931.1477543540923</v>
      </c>
      <c r="I39" s="315">
        <f>W100</f>
        <v>6129.6814638438918</v>
      </c>
      <c r="L39" s="315">
        <f>X88</f>
        <v>3795.793864608368</v>
      </c>
      <c r="M39" s="315">
        <f>X100</f>
        <v>5863.1735741115481</v>
      </c>
    </row>
    <row r="40" spans="1:13" x14ac:dyDescent="0.3">
      <c r="B40" t="s">
        <v>220</v>
      </c>
      <c r="C40" t="s">
        <v>278</v>
      </c>
      <c r="E40" t="s">
        <v>188</v>
      </c>
      <c r="F40" t="s">
        <v>178</v>
      </c>
      <c r="H40" s="315">
        <f t="shared" si="1"/>
        <v>5133.8914728682175</v>
      </c>
      <c r="I40" s="315">
        <f t="shared" ref="I40:I48" si="2">W101</f>
        <v>8900.3134796238246</v>
      </c>
      <c r="L40" s="315">
        <f t="shared" ref="L40:L47" si="3">X89</f>
        <v>4957.1257485029937</v>
      </c>
      <c r="M40" s="315">
        <f t="shared" ref="M40:M48" si="4">X101</f>
        <v>8513.3433283358318</v>
      </c>
    </row>
    <row r="41" spans="1:13" x14ac:dyDescent="0.3">
      <c r="B41" t="s">
        <v>220</v>
      </c>
      <c r="C41" t="s">
        <v>278</v>
      </c>
      <c r="E41" t="s">
        <v>196</v>
      </c>
      <c r="F41" t="s">
        <v>178</v>
      </c>
      <c r="H41" s="315">
        <f t="shared" si="1"/>
        <v>10604.050632911392</v>
      </c>
      <c r="I41" s="315">
        <f t="shared" si="2"/>
        <v>18457.815126050416</v>
      </c>
      <c r="L41" s="315">
        <f t="shared" si="3"/>
        <v>9958.0386329866287</v>
      </c>
      <c r="M41" s="315">
        <f t="shared" si="4"/>
        <v>17026.976744186046</v>
      </c>
    </row>
    <row r="42" spans="1:13" x14ac:dyDescent="0.3">
      <c r="B42" t="s">
        <v>220</v>
      </c>
      <c r="C42" t="s">
        <v>278</v>
      </c>
      <c r="E42" t="s">
        <v>197</v>
      </c>
      <c r="F42" t="s">
        <v>178</v>
      </c>
      <c r="H42" s="315">
        <f t="shared" si="1"/>
        <v>9603.1628575844752</v>
      </c>
      <c r="I42" s="315">
        <f t="shared" si="2"/>
        <v>15732.361235123475</v>
      </c>
      <c r="L42" s="315">
        <f t="shared" si="3"/>
        <v>9018.1261901833404</v>
      </c>
      <c r="M42" s="315">
        <f t="shared" si="4"/>
        <v>14512.798348679797</v>
      </c>
    </row>
    <row r="43" spans="1:13" x14ac:dyDescent="0.3">
      <c r="B43" t="s">
        <v>220</v>
      </c>
      <c r="C43" t="s">
        <v>278</v>
      </c>
      <c r="E43" t="s">
        <v>198</v>
      </c>
      <c r="F43" t="s">
        <v>178</v>
      </c>
      <c r="H43" s="315">
        <f t="shared" si="1"/>
        <v>8112.8467306623224</v>
      </c>
      <c r="I43" s="315">
        <f t="shared" si="2"/>
        <v>13290.853993084786</v>
      </c>
      <c r="L43" s="315">
        <f t="shared" si="3"/>
        <v>7618.6019818403993</v>
      </c>
      <c r="M43" s="315">
        <f t="shared" si="4"/>
        <v>12260.555233930925</v>
      </c>
    </row>
    <row r="44" spans="1:13" x14ac:dyDescent="0.3">
      <c r="B44" t="s">
        <v>220</v>
      </c>
      <c r="C44" t="s">
        <v>278</v>
      </c>
      <c r="E44" t="s">
        <v>187</v>
      </c>
      <c r="F44" t="s">
        <v>179</v>
      </c>
      <c r="H44" s="315">
        <f t="shared" si="1"/>
        <v>8345.778478530905</v>
      </c>
      <c r="I44" s="315">
        <f t="shared" si="2"/>
        <v>28669.615162507307</v>
      </c>
      <c r="L44" s="315">
        <f t="shared" si="3"/>
        <v>7754.8201758603636</v>
      </c>
      <c r="M44" s="315">
        <f t="shared" si="4"/>
        <v>12403.471230485946</v>
      </c>
    </row>
    <row r="45" spans="1:13" x14ac:dyDescent="0.3">
      <c r="B45" t="s">
        <v>220</v>
      </c>
      <c r="C45" t="s">
        <v>278</v>
      </c>
      <c r="E45" t="s">
        <v>188</v>
      </c>
      <c r="F45" t="s">
        <v>179</v>
      </c>
      <c r="H45" s="315">
        <f t="shared" si="1"/>
        <v>10438.818040435461</v>
      </c>
      <c r="I45" s="315">
        <f t="shared" si="2"/>
        <v>36669.896193771623</v>
      </c>
      <c r="L45" s="315">
        <f t="shared" si="3"/>
        <v>9699.6531791907528</v>
      </c>
      <c r="M45" s="315">
        <f t="shared" si="4"/>
        <v>15864.670658682635</v>
      </c>
    </row>
    <row r="46" spans="1:13" x14ac:dyDescent="0.3">
      <c r="B46" t="s">
        <v>220</v>
      </c>
      <c r="C46" t="s">
        <v>278</v>
      </c>
      <c r="E46" t="s">
        <v>196</v>
      </c>
      <c r="F46" t="s">
        <v>179</v>
      </c>
      <c r="H46" s="315">
        <f t="shared" si="1"/>
        <v>5787.826086956522</v>
      </c>
      <c r="I46" s="315">
        <f t="shared" si="2"/>
        <v>10650</v>
      </c>
      <c r="L46" s="315">
        <f t="shared" si="3"/>
        <v>5409.8113207547167</v>
      </c>
      <c r="M46" s="315">
        <f t="shared" si="4"/>
        <v>9659.3023255813951</v>
      </c>
    </row>
    <row r="47" spans="1:13" x14ac:dyDescent="0.3">
      <c r="B47" t="s">
        <v>220</v>
      </c>
      <c r="C47" t="s">
        <v>278</v>
      </c>
      <c r="E47" t="s">
        <v>197</v>
      </c>
      <c r="F47" t="s">
        <v>179</v>
      </c>
      <c r="H47" s="315">
        <f t="shared" si="1"/>
        <v>6246.4786139476419</v>
      </c>
      <c r="I47" s="315">
        <f t="shared" si="2"/>
        <v>9953.5594615248956</v>
      </c>
      <c r="L47" s="315">
        <f t="shared" si="3"/>
        <v>5838.5083126012787</v>
      </c>
      <c r="M47" s="315">
        <f t="shared" si="4"/>
        <v>9027.646953476069</v>
      </c>
    </row>
    <row r="48" spans="1:13" x14ac:dyDescent="0.3">
      <c r="B48" t="s">
        <v>220</v>
      </c>
      <c r="C48" t="s">
        <v>278</v>
      </c>
      <c r="E48" t="s">
        <v>198</v>
      </c>
      <c r="F48" t="s">
        <v>179</v>
      </c>
      <c r="H48" s="315">
        <f t="shared" si="1"/>
        <v>4929.449990524945</v>
      </c>
      <c r="I48" s="315">
        <f t="shared" si="2"/>
        <v>7854.9174063841056</v>
      </c>
      <c r="L48" s="315">
        <f>X97</f>
        <v>4607.4975237998033</v>
      </c>
      <c r="M48" s="315">
        <f t="shared" si="4"/>
        <v>7124.2274150925614</v>
      </c>
    </row>
    <row r="49" spans="2:13" x14ac:dyDescent="0.3">
      <c r="G49" s="7" t="s">
        <v>13</v>
      </c>
      <c r="H49" s="370">
        <f>SUM(H39:H48)</f>
        <v>73133.450658775968</v>
      </c>
      <c r="I49" s="370">
        <f>SUM(I39:I48)</f>
        <v>156309.01352191431</v>
      </c>
      <c r="K49" s="7" t="s">
        <v>13</v>
      </c>
      <c r="L49" s="489">
        <f>SUM(L39:L48)</f>
        <v>68657.976930328645</v>
      </c>
      <c r="M49" s="489">
        <f>SUM(M39:M48)</f>
        <v>112256.16581256274</v>
      </c>
    </row>
    <row r="50" spans="2:13" x14ac:dyDescent="0.3">
      <c r="G50" s="7" t="s">
        <v>229</v>
      </c>
      <c r="H50" s="595">
        <f>(I49/H49)^(1/(2045-2015))-1</f>
        <v>2.5641531654246208E-2</v>
      </c>
      <c r="I50" s="595"/>
      <c r="K50" s="7" t="s">
        <v>229</v>
      </c>
      <c r="L50" s="595">
        <f>(M49/L49)^(1/(2045-2015))-1</f>
        <v>1.6523227604092305E-2</v>
      </c>
      <c r="M50" s="595"/>
    </row>
    <row r="51" spans="2:13" x14ac:dyDescent="0.3">
      <c r="H51" s="7"/>
      <c r="I51" s="7"/>
      <c r="L51" s="7"/>
      <c r="M51" s="7"/>
    </row>
    <row r="52" spans="2:13" x14ac:dyDescent="0.3">
      <c r="B52" t="s">
        <v>220</v>
      </c>
      <c r="C52" t="s">
        <v>206</v>
      </c>
      <c r="E52" t="s">
        <v>187</v>
      </c>
      <c r="F52" t="s">
        <v>178</v>
      </c>
      <c r="H52" s="315">
        <f t="shared" ref="H52:H61" si="5">W113</f>
        <v>14659.116614814504</v>
      </c>
      <c r="I52" s="121">
        <f>W125</f>
        <v>22043.853553435238</v>
      </c>
      <c r="L52" s="121">
        <f t="shared" ref="L52:L61" si="6">X113</f>
        <v>14154.386551729576</v>
      </c>
      <c r="M52" s="121">
        <f>X125</f>
        <v>21085.425138068484</v>
      </c>
    </row>
    <row r="53" spans="2:13" x14ac:dyDescent="0.3">
      <c r="B53" t="s">
        <v>220</v>
      </c>
      <c r="C53" t="s">
        <v>206</v>
      </c>
      <c r="E53" t="s">
        <v>188</v>
      </c>
      <c r="F53" t="s">
        <v>178</v>
      </c>
      <c r="H53" s="315">
        <f t="shared" si="5"/>
        <v>15958.759689922485</v>
      </c>
      <c r="I53" s="121">
        <f t="shared" ref="I53:I61" si="7">W126</f>
        <v>26085.579937304075</v>
      </c>
      <c r="L53" s="121">
        <f t="shared" si="6"/>
        <v>15409.281437125752</v>
      </c>
      <c r="M53" s="121">
        <f t="shared" ref="M53:M61" si="8">X126</f>
        <v>24951.424287856073</v>
      </c>
    </row>
    <row r="54" spans="2:13" x14ac:dyDescent="0.3">
      <c r="B54" t="s">
        <v>220</v>
      </c>
      <c r="C54" t="s">
        <v>206</v>
      </c>
      <c r="E54" t="s">
        <v>196</v>
      </c>
      <c r="F54" t="s">
        <v>178</v>
      </c>
      <c r="H54" s="315">
        <f t="shared" si="5"/>
        <v>47795.569620253162</v>
      </c>
      <c r="I54" s="121">
        <f t="shared" si="7"/>
        <v>79789.411764705874</v>
      </c>
      <c r="L54" s="121">
        <f t="shared" si="6"/>
        <v>44883.803863298679</v>
      </c>
      <c r="M54" s="121">
        <f t="shared" si="8"/>
        <v>73604.186046511633</v>
      </c>
    </row>
    <row r="55" spans="2:13" x14ac:dyDescent="0.3">
      <c r="B55" t="s">
        <v>220</v>
      </c>
      <c r="C55" t="s">
        <v>206</v>
      </c>
      <c r="E55" t="s">
        <v>197</v>
      </c>
      <c r="F55" t="s">
        <v>178</v>
      </c>
      <c r="H55" s="315">
        <f t="shared" si="5"/>
        <v>35809.86851599934</v>
      </c>
      <c r="I55" s="121">
        <f t="shared" si="7"/>
        <v>56577.46967153588</v>
      </c>
      <c r="L55" s="121">
        <f t="shared" si="6"/>
        <v>33628.286630180664</v>
      </c>
      <c r="M55" s="121">
        <f t="shared" si="8"/>
        <v>52191.619309401322</v>
      </c>
    </row>
    <row r="56" spans="2:13" x14ac:dyDescent="0.3">
      <c r="B56" t="s">
        <v>220</v>
      </c>
      <c r="C56" t="s">
        <v>206</v>
      </c>
      <c r="E56" t="s">
        <v>198</v>
      </c>
      <c r="F56" t="s">
        <v>178</v>
      </c>
      <c r="H56" s="315">
        <f t="shared" si="5"/>
        <v>30252.530236537987</v>
      </c>
      <c r="I56" s="121">
        <f t="shared" si="7"/>
        <v>47797.204594041621</v>
      </c>
      <c r="L56" s="121">
        <f t="shared" si="6"/>
        <v>28409.50833505499</v>
      </c>
      <c r="M56" s="121">
        <f t="shared" si="8"/>
        <v>44091.994935588795</v>
      </c>
    </row>
    <row r="57" spans="2:13" x14ac:dyDescent="0.3">
      <c r="B57" t="s">
        <v>220</v>
      </c>
      <c r="C57" t="s">
        <v>206</v>
      </c>
      <c r="E57" t="s">
        <v>187</v>
      </c>
      <c r="F57" t="s">
        <v>179</v>
      </c>
      <c r="H57" s="315">
        <f t="shared" si="5"/>
        <v>31507.246614645919</v>
      </c>
      <c r="I57" s="121">
        <f t="shared" si="7"/>
        <v>104264.11753925151</v>
      </c>
      <c r="L57" s="121">
        <f t="shared" si="6"/>
        <v>29276.242157828507</v>
      </c>
      <c r="M57" s="121">
        <f t="shared" si="8"/>
        <v>45108.278396472582</v>
      </c>
    </row>
    <row r="58" spans="2:13" x14ac:dyDescent="0.3">
      <c r="B58" t="s">
        <v>220</v>
      </c>
      <c r="C58" t="s">
        <v>206</v>
      </c>
      <c r="E58" t="s">
        <v>188</v>
      </c>
      <c r="F58" t="s">
        <v>179</v>
      </c>
      <c r="H58" s="315">
        <f t="shared" si="5"/>
        <v>45406.99844479005</v>
      </c>
      <c r="I58" s="121">
        <f t="shared" si="7"/>
        <v>152288.92733564015</v>
      </c>
      <c r="L58" s="121">
        <f t="shared" si="6"/>
        <v>42191.763005780354</v>
      </c>
      <c r="M58" s="121">
        <f t="shared" si="8"/>
        <v>65885.479041916173</v>
      </c>
    </row>
    <row r="59" spans="2:13" x14ac:dyDescent="0.3">
      <c r="B59" t="s">
        <v>220</v>
      </c>
      <c r="C59" t="s">
        <v>206</v>
      </c>
      <c r="E59" t="s">
        <v>196</v>
      </c>
      <c r="F59" t="s">
        <v>179</v>
      </c>
      <c r="H59" s="315">
        <f t="shared" si="5"/>
        <v>16730.4347826087</v>
      </c>
      <c r="I59" s="121">
        <f t="shared" si="7"/>
        <v>30987.500000000004</v>
      </c>
      <c r="L59" s="121">
        <f t="shared" si="6"/>
        <v>15637.735849056606</v>
      </c>
      <c r="M59" s="121">
        <f t="shared" si="8"/>
        <v>28104.941860465118</v>
      </c>
    </row>
    <row r="60" spans="2:13" x14ac:dyDescent="0.3">
      <c r="B60" t="s">
        <v>220</v>
      </c>
      <c r="C60" t="s">
        <v>206</v>
      </c>
      <c r="E60" t="s">
        <v>197</v>
      </c>
      <c r="F60" t="s">
        <v>179</v>
      </c>
      <c r="H60" s="315">
        <f t="shared" si="5"/>
        <v>23581.903434058553</v>
      </c>
      <c r="I60" s="121">
        <f t="shared" si="7"/>
        <v>36198.570777732057</v>
      </c>
      <c r="L60" s="121">
        <f t="shared" si="6"/>
        <v>22041.721061732529</v>
      </c>
      <c r="M60" s="121">
        <f t="shared" si="8"/>
        <v>32831.261868175592</v>
      </c>
    </row>
    <row r="61" spans="2:13" x14ac:dyDescent="0.3">
      <c r="B61" t="s">
        <v>220</v>
      </c>
      <c r="C61" t="s">
        <v>206</v>
      </c>
      <c r="E61" t="s">
        <v>198</v>
      </c>
      <c r="F61" t="s">
        <v>179</v>
      </c>
      <c r="H61" s="315">
        <f t="shared" si="5"/>
        <v>18609.815360612476</v>
      </c>
      <c r="I61" s="121">
        <f t="shared" si="7"/>
        <v>28566.341999294571</v>
      </c>
      <c r="L61" s="121">
        <f t="shared" si="6"/>
        <v>17394.370235463619</v>
      </c>
      <c r="M61" s="121">
        <f t="shared" si="8"/>
        <v>25909.007859825313</v>
      </c>
    </row>
    <row r="62" spans="2:13" x14ac:dyDescent="0.3">
      <c r="G62" s="7" t="s">
        <v>13</v>
      </c>
      <c r="H62" s="370">
        <f>SUM(H52:H61)</f>
        <v>280312.24331424315</v>
      </c>
      <c r="I62" s="370">
        <f>SUM(I52:I61)</f>
        <v>584598.97717294109</v>
      </c>
      <c r="K62" s="7" t="s">
        <v>13</v>
      </c>
      <c r="L62" s="489">
        <f>SUM(L52:L61)</f>
        <v>263027.09912725125</v>
      </c>
      <c r="M62" s="489">
        <f>SUM(M52:M61)</f>
        <v>413763.61874428106</v>
      </c>
    </row>
    <row r="63" spans="2:13" x14ac:dyDescent="0.3">
      <c r="G63" s="7" t="s">
        <v>229</v>
      </c>
      <c r="H63" s="595">
        <f>(I62/H62)^(1/(2045-2015))-1</f>
        <v>2.4803341485595487E-2</v>
      </c>
      <c r="I63" s="595"/>
      <c r="K63" s="7" t="s">
        <v>229</v>
      </c>
      <c r="L63" s="595">
        <f>(M62/L62)^(1/(2045-2015))-1</f>
        <v>1.5215859362581297E-2</v>
      </c>
      <c r="M63" s="595"/>
    </row>
    <row r="64" spans="2:13" x14ac:dyDescent="0.3">
      <c r="G64" s="7"/>
      <c r="H64" s="291"/>
      <c r="I64" s="291"/>
      <c r="K64" s="7"/>
      <c r="L64" s="291"/>
      <c r="M64" s="291"/>
    </row>
    <row r="65" spans="2:13" x14ac:dyDescent="0.3">
      <c r="B65" t="s">
        <v>220</v>
      </c>
      <c r="C65" t="s">
        <v>210</v>
      </c>
      <c r="E65" t="s">
        <v>187</v>
      </c>
      <c r="F65" t="s">
        <v>178</v>
      </c>
      <c r="G65" s="7"/>
      <c r="H65" s="316">
        <f>W138</f>
        <v>6154.4677426187145</v>
      </c>
      <c r="I65" s="316">
        <f>W150</f>
        <v>9134.8436313388265</v>
      </c>
      <c r="K65" s="7"/>
      <c r="L65" s="316">
        <f>X138</f>
        <v>5942.5624161513042</v>
      </c>
      <c r="M65" s="316">
        <f>X150</f>
        <v>8737.67651693279</v>
      </c>
    </row>
    <row r="66" spans="2:13" x14ac:dyDescent="0.3">
      <c r="B66" t="s">
        <v>220</v>
      </c>
      <c r="C66" t="s">
        <v>210</v>
      </c>
      <c r="E66" t="s">
        <v>188</v>
      </c>
      <c r="F66" t="s">
        <v>178</v>
      </c>
      <c r="G66" s="7"/>
      <c r="H66" s="316">
        <f t="shared" ref="H66:H73" si="9">W139</f>
        <v>6784.1860465116288</v>
      </c>
      <c r="I66" s="316">
        <f t="shared" ref="I66:I74" si="10">W151</f>
        <v>11076.489028213167</v>
      </c>
      <c r="K66" s="7"/>
      <c r="L66" s="316">
        <f t="shared" ref="L66:L73" si="11">X139</f>
        <v>6550.5988023952095</v>
      </c>
      <c r="M66" s="316">
        <f t="shared" ref="M66:M74" si="12">X151</f>
        <v>10594.902548725637</v>
      </c>
    </row>
    <row r="67" spans="2:13" x14ac:dyDescent="0.3">
      <c r="B67" t="s">
        <v>220</v>
      </c>
      <c r="C67" t="s">
        <v>210</v>
      </c>
      <c r="E67" t="s">
        <v>196</v>
      </c>
      <c r="F67" t="s">
        <v>178</v>
      </c>
      <c r="G67" s="7"/>
      <c r="H67" s="316">
        <f t="shared" si="9"/>
        <v>19105.063291139239</v>
      </c>
      <c r="I67" s="316">
        <f t="shared" si="10"/>
        <v>31658.823529411766</v>
      </c>
      <c r="K67" s="7"/>
      <c r="L67" s="316">
        <f t="shared" si="11"/>
        <v>17941.158989598815</v>
      </c>
      <c r="M67" s="316">
        <f t="shared" si="12"/>
        <v>29204.651162790702</v>
      </c>
    </row>
    <row r="68" spans="2:13" x14ac:dyDescent="0.3">
      <c r="B68" t="s">
        <v>220</v>
      </c>
      <c r="C68" t="s">
        <v>210</v>
      </c>
      <c r="E68" t="s">
        <v>197</v>
      </c>
      <c r="F68" t="s">
        <v>178</v>
      </c>
      <c r="G68" s="7"/>
      <c r="H68" s="316">
        <f t="shared" si="9"/>
        <v>15034.376657213341</v>
      </c>
      <c r="I68" s="316">
        <f t="shared" si="10"/>
        <v>23445.371620415008</v>
      </c>
      <c r="K68" s="7"/>
      <c r="L68" s="316">
        <f t="shared" si="11"/>
        <v>14118.463666209262</v>
      </c>
      <c r="M68" s="316">
        <f t="shared" si="12"/>
        <v>21627.900952165786</v>
      </c>
    </row>
    <row r="69" spans="2:13" x14ac:dyDescent="0.3">
      <c r="B69" t="s">
        <v>220</v>
      </c>
      <c r="C69" t="s">
        <v>210</v>
      </c>
      <c r="E69" t="s">
        <v>198</v>
      </c>
      <c r="F69" t="s">
        <v>178</v>
      </c>
      <c r="G69" s="7"/>
      <c r="H69" s="316">
        <f t="shared" si="9"/>
        <v>12701.18973507643</v>
      </c>
      <c r="I69" s="316">
        <f t="shared" si="10"/>
        <v>19806.881266167667</v>
      </c>
      <c r="K69" s="7"/>
      <c r="L69" s="316">
        <f t="shared" si="11"/>
        <v>11927.417403519028</v>
      </c>
      <c r="M69" s="316">
        <f t="shared" si="12"/>
        <v>18271.464113751572</v>
      </c>
    </row>
    <row r="70" spans="2:13" x14ac:dyDescent="0.3">
      <c r="B70" t="s">
        <v>220</v>
      </c>
      <c r="C70" t="s">
        <v>210</v>
      </c>
      <c r="E70" t="s">
        <v>187</v>
      </c>
      <c r="F70" t="s">
        <v>179</v>
      </c>
      <c r="G70" s="7"/>
      <c r="H70" s="316">
        <f t="shared" si="9"/>
        <v>13289.82128753392</v>
      </c>
      <c r="I70" s="316">
        <f t="shared" si="10"/>
        <v>43409.170251937525</v>
      </c>
      <c r="K70" s="7"/>
      <c r="L70" s="316">
        <f t="shared" si="11"/>
        <v>12348.779028734551</v>
      </c>
      <c r="M70" s="316">
        <f t="shared" si="12"/>
        <v>18780.314674865189</v>
      </c>
    </row>
    <row r="71" spans="2:13" x14ac:dyDescent="0.3">
      <c r="B71" t="s">
        <v>220</v>
      </c>
      <c r="C71" t="s">
        <v>210</v>
      </c>
      <c r="E71" t="s">
        <v>188</v>
      </c>
      <c r="F71" t="s">
        <v>179</v>
      </c>
      <c r="G71" s="7"/>
      <c r="H71" s="316">
        <f t="shared" si="9"/>
        <v>17540.902021772941</v>
      </c>
      <c r="I71" s="316">
        <f t="shared" si="10"/>
        <v>57730.795847750866</v>
      </c>
      <c r="K71" s="7"/>
      <c r="L71" s="316">
        <f t="shared" si="11"/>
        <v>16298.84393063584</v>
      </c>
      <c r="M71" s="316">
        <f t="shared" si="12"/>
        <v>24976.347305389223</v>
      </c>
    </row>
    <row r="72" spans="2:13" x14ac:dyDescent="0.3">
      <c r="B72" t="s">
        <v>220</v>
      </c>
      <c r="C72" t="s">
        <v>210</v>
      </c>
      <c r="E72" t="s">
        <v>196</v>
      </c>
      <c r="F72" t="s">
        <v>179</v>
      </c>
      <c r="G72" s="7"/>
      <c r="H72" s="316">
        <f t="shared" si="9"/>
        <v>7158.0745341614902</v>
      </c>
      <c r="I72" s="316">
        <f t="shared" si="10"/>
        <v>13462.5</v>
      </c>
      <c r="K72" s="7"/>
      <c r="L72" s="316">
        <f t="shared" si="11"/>
        <v>6690.566037735849</v>
      </c>
      <c r="M72" s="316">
        <f t="shared" si="12"/>
        <v>12210.174418604653</v>
      </c>
    </row>
    <row r="73" spans="2:13" x14ac:dyDescent="0.3">
      <c r="B73" t="s">
        <v>220</v>
      </c>
      <c r="C73" t="s">
        <v>210</v>
      </c>
      <c r="E73" t="s">
        <v>197</v>
      </c>
      <c r="F73" t="s">
        <v>179</v>
      </c>
      <c r="G73" s="7"/>
      <c r="H73" s="316">
        <f t="shared" si="9"/>
        <v>9946.8952679869926</v>
      </c>
      <c r="I73" s="316">
        <f t="shared" si="10"/>
        <v>15070.860031744167</v>
      </c>
      <c r="K73" s="7"/>
      <c r="L73" s="316">
        <f t="shared" si="11"/>
        <v>9297.2431822694089</v>
      </c>
      <c r="M73" s="316">
        <f t="shared" si="12"/>
        <v>13668.919563674941</v>
      </c>
    </row>
    <row r="74" spans="2:13" x14ac:dyDescent="0.3">
      <c r="B74" t="s">
        <v>220</v>
      </c>
      <c r="C74" t="s">
        <v>210</v>
      </c>
      <c r="E74" t="s">
        <v>198</v>
      </c>
      <c r="F74" t="s">
        <v>179</v>
      </c>
      <c r="G74" s="7"/>
      <c r="H74" s="316">
        <f>W147</f>
        <v>7849.6583138933483</v>
      </c>
      <c r="I74" s="316">
        <f t="shared" si="10"/>
        <v>11893.269061195697</v>
      </c>
      <c r="K74" s="7"/>
      <c r="L74" s="316">
        <f>X147</f>
        <v>7336.981065525857</v>
      </c>
      <c r="M74" s="316">
        <f t="shared" si="12"/>
        <v>10786.91845085191</v>
      </c>
    </row>
    <row r="75" spans="2:13" x14ac:dyDescent="0.3">
      <c r="G75" s="7" t="s">
        <v>13</v>
      </c>
      <c r="H75" s="370">
        <f>SUM(H65:H74)</f>
        <v>115564.63489790806</v>
      </c>
      <c r="I75" s="370">
        <f>SUM(I65:I74)</f>
        <v>236689.00426817467</v>
      </c>
      <c r="K75" s="7" t="s">
        <v>13</v>
      </c>
      <c r="L75" s="489">
        <f>SUM(L65:L74)</f>
        <v>108452.61452277511</v>
      </c>
      <c r="M75" s="489">
        <f>SUM(M65:M74)</f>
        <v>168859.26970775239</v>
      </c>
    </row>
    <row r="76" spans="2:13" x14ac:dyDescent="0.3">
      <c r="G76" s="7" t="s">
        <v>229</v>
      </c>
      <c r="H76" s="595">
        <f>(I75/H75)^(1/(2045-2015))-1</f>
        <v>2.4185063067253543E-2</v>
      </c>
      <c r="I76" s="595"/>
      <c r="K76" s="7" t="s">
        <v>229</v>
      </c>
      <c r="L76" s="595">
        <f>(M75/L75)^(1/(2045-2015))-1</f>
        <v>1.4867853048863955E-2</v>
      </c>
      <c r="M76" s="595"/>
    </row>
    <row r="77" spans="2:13" ht="23.4" x14ac:dyDescent="0.45">
      <c r="B77" s="247" t="s">
        <v>478</v>
      </c>
    </row>
    <row r="78" spans="2:13" x14ac:dyDescent="0.3">
      <c r="B78" t="s">
        <v>205</v>
      </c>
    </row>
    <row r="79" spans="2:13" x14ac:dyDescent="0.3">
      <c r="B79" t="s">
        <v>206</v>
      </c>
      <c r="C79" s="248" t="s">
        <v>207</v>
      </c>
      <c r="D79">
        <v>3.7</v>
      </c>
      <c r="E79" t="s">
        <v>208</v>
      </c>
      <c r="F79" s="121">
        <f>D79*5280</f>
        <v>19536</v>
      </c>
      <c r="G79" t="s">
        <v>270</v>
      </c>
    </row>
    <row r="80" spans="2:13" x14ac:dyDescent="0.3">
      <c r="B80" t="s">
        <v>209</v>
      </c>
      <c r="F80" s="121"/>
    </row>
    <row r="81" spans="2:34" x14ac:dyDescent="0.3">
      <c r="B81" t="s">
        <v>210</v>
      </c>
      <c r="C81" s="248" t="s">
        <v>207</v>
      </c>
      <c r="D81">
        <v>1.8</v>
      </c>
      <c r="E81" t="s">
        <v>208</v>
      </c>
      <c r="F81" s="121">
        <f>D81*5280</f>
        <v>9504</v>
      </c>
      <c r="G81" t="s">
        <v>270</v>
      </c>
    </row>
    <row r="82" spans="2:34" x14ac:dyDescent="0.3">
      <c r="B82" t="s">
        <v>276</v>
      </c>
      <c r="C82" s="248" t="s">
        <v>207</v>
      </c>
      <c r="D82">
        <v>0.8</v>
      </c>
      <c r="E82" t="s">
        <v>277</v>
      </c>
      <c r="F82" s="121">
        <f>D82*5280</f>
        <v>4224</v>
      </c>
      <c r="G82" t="s">
        <v>270</v>
      </c>
    </row>
    <row r="83" spans="2:34" x14ac:dyDescent="0.3">
      <c r="B83" s="250" t="s">
        <v>217</v>
      </c>
    </row>
    <row r="84" spans="2:34" x14ac:dyDescent="0.3">
      <c r="U84" s="599" t="s">
        <v>306</v>
      </c>
      <c r="V84" s="599"/>
      <c r="W84" s="614" t="s">
        <v>307</v>
      </c>
      <c r="X84" s="614"/>
    </row>
    <row r="85" spans="2:34" x14ac:dyDescent="0.3">
      <c r="B85" s="138"/>
      <c r="F85" s="249"/>
      <c r="O85" t="s">
        <v>472</v>
      </c>
      <c r="P85" t="s">
        <v>472</v>
      </c>
      <c r="R85" t="s">
        <v>473</v>
      </c>
      <c r="U85" s="140"/>
      <c r="V85" s="140"/>
      <c r="W85" s="140"/>
      <c r="X85" s="140"/>
      <c r="Z85" s="140"/>
      <c r="AC85" s="139"/>
      <c r="AE85" s="139"/>
      <c r="AG85" s="139"/>
      <c r="AH85" s="139"/>
    </row>
    <row r="86" spans="2:34" ht="28.8" x14ac:dyDescent="0.3">
      <c r="J86" t="s">
        <v>213</v>
      </c>
      <c r="K86" t="s">
        <v>213</v>
      </c>
      <c r="O86" t="s">
        <v>302</v>
      </c>
      <c r="P86" t="s">
        <v>282</v>
      </c>
      <c r="U86" s="252" t="s">
        <v>475</v>
      </c>
      <c r="V86" s="252" t="s">
        <v>475</v>
      </c>
      <c r="W86" s="362" t="s">
        <v>476</v>
      </c>
      <c r="X86" s="362" t="s">
        <v>476</v>
      </c>
      <c r="Z86" s="362" t="s">
        <v>477</v>
      </c>
    </row>
    <row r="87" spans="2:34" x14ac:dyDescent="0.3">
      <c r="F87" t="s">
        <v>279</v>
      </c>
      <c r="G87" t="s">
        <v>41</v>
      </c>
      <c r="H87" t="s">
        <v>280</v>
      </c>
      <c r="I87" t="s">
        <v>281</v>
      </c>
      <c r="J87" t="s">
        <v>283</v>
      </c>
      <c r="K87" t="s">
        <v>282</v>
      </c>
      <c r="M87" t="s">
        <v>215</v>
      </c>
      <c r="N87" t="s">
        <v>474</v>
      </c>
      <c r="O87" t="s">
        <v>216</v>
      </c>
      <c r="P87" t="s">
        <v>216</v>
      </c>
      <c r="R87" t="s">
        <v>302</v>
      </c>
      <c r="S87" t="s">
        <v>282</v>
      </c>
      <c r="U87" t="s">
        <v>225</v>
      </c>
      <c r="V87" t="s">
        <v>214</v>
      </c>
      <c r="W87" s="7" t="s">
        <v>225</v>
      </c>
      <c r="X87" s="7" t="s">
        <v>214</v>
      </c>
    </row>
    <row r="88" spans="2:34" x14ac:dyDescent="0.3">
      <c r="C88" t="s">
        <v>481</v>
      </c>
      <c r="F88" s="121">
        <f>C15</f>
        <v>1219.0337988261488</v>
      </c>
      <c r="G88" s="265">
        <v>2015</v>
      </c>
      <c r="H88" t="s">
        <v>187</v>
      </c>
      <c r="I88" t="s">
        <v>178</v>
      </c>
      <c r="J88">
        <f>$C$164</f>
        <v>64.5</v>
      </c>
      <c r="K88">
        <f>$D$164</f>
        <v>66.8</v>
      </c>
      <c r="M88">
        <f>K88-J88</f>
        <v>2.2999999999999972</v>
      </c>
      <c r="N88">
        <f>5280/3600</f>
        <v>1.4666666666666666</v>
      </c>
      <c r="O88" s="314">
        <f>J88*N88</f>
        <v>94.6</v>
      </c>
      <c r="P88" s="314">
        <f>K88*N88</f>
        <v>97.973333333333329</v>
      </c>
      <c r="R88" s="139">
        <f>$F$82/O88</f>
        <v>44.651162790697676</v>
      </c>
      <c r="S88" s="139">
        <f t="shared" ref="S88:S109" si="13">$F$82/P88</f>
        <v>43.113772455089823</v>
      </c>
      <c r="T88" s="139"/>
      <c r="U88" s="361">
        <f>(R88*F88)/seconds_in_hour</f>
        <v>15.119799055208047</v>
      </c>
      <c r="V88" s="361">
        <f t="shared" ref="V88:V109" si="14">(S88*F88)/seconds_in_hour</f>
        <v>14.599207171570646</v>
      </c>
      <c r="W88" s="361">
        <f>U88*Annual_Number_Weekdays</f>
        <v>3931.1477543540923</v>
      </c>
      <c r="X88" s="361">
        <f t="shared" ref="X88:X109" si="15">V88*Annual_Number_Weekdays</f>
        <v>3795.793864608368</v>
      </c>
      <c r="Z88" s="361">
        <f>W88-X88</f>
        <v>135.35388974572425</v>
      </c>
    </row>
    <row r="89" spans="2:34" x14ac:dyDescent="0.3">
      <c r="C89" t="s">
        <v>481</v>
      </c>
      <c r="F89" s="121">
        <f>C16</f>
        <v>1592</v>
      </c>
      <c r="G89" s="265">
        <v>2015</v>
      </c>
      <c r="H89" t="s">
        <v>188</v>
      </c>
      <c r="I89" t="s">
        <v>178</v>
      </c>
      <c r="J89">
        <f>$C$164</f>
        <v>64.5</v>
      </c>
      <c r="K89">
        <f>$D$164</f>
        <v>66.8</v>
      </c>
      <c r="M89">
        <f t="shared" ref="M89:M109" si="16">K89-J89</f>
        <v>2.2999999999999972</v>
      </c>
      <c r="N89">
        <f t="shared" ref="N89:N109" si="17">5280/3600</f>
        <v>1.4666666666666666</v>
      </c>
      <c r="O89" s="314">
        <f t="shared" ref="O89:O108" si="18">J89*N89</f>
        <v>94.6</v>
      </c>
      <c r="P89" s="314">
        <f t="shared" ref="P89:P109" si="19">K89*N89</f>
        <v>97.973333333333329</v>
      </c>
      <c r="R89" s="139">
        <f t="shared" ref="R89:R109" si="20">$F$82/O89</f>
        <v>44.651162790697676</v>
      </c>
      <c r="S89" s="139">
        <f t="shared" si="13"/>
        <v>43.113772455089823</v>
      </c>
      <c r="U89" s="361">
        <f t="shared" ref="U89:U109" si="21">(R89*F89)/seconds_in_hour</f>
        <v>19.74573643410853</v>
      </c>
      <c r="V89" s="361">
        <f t="shared" si="14"/>
        <v>19.065868263473053</v>
      </c>
      <c r="W89" s="361">
        <f t="shared" ref="W89:W109" si="22">U89*Annual_Number_Weekdays</f>
        <v>5133.8914728682175</v>
      </c>
      <c r="X89" s="361">
        <f t="shared" si="15"/>
        <v>4957.1257485029937</v>
      </c>
      <c r="Z89" s="361">
        <f t="shared" ref="Z89:Z134" si="23">W89-X89</f>
        <v>176.76572436522383</v>
      </c>
    </row>
    <row r="90" spans="2:34" x14ac:dyDescent="0.3">
      <c r="C90" t="s">
        <v>481</v>
      </c>
      <c r="F90" s="121">
        <f>C24</f>
        <v>3222</v>
      </c>
      <c r="G90" s="265">
        <v>2015</v>
      </c>
      <c r="H90" t="s">
        <v>196</v>
      </c>
      <c r="I90" t="s">
        <v>178</v>
      </c>
      <c r="J90">
        <f>$E$164</f>
        <v>63.2</v>
      </c>
      <c r="K90">
        <f>$F$164</f>
        <v>67.3</v>
      </c>
      <c r="M90">
        <f t="shared" si="16"/>
        <v>4.0999999999999943</v>
      </c>
      <c r="N90">
        <f t="shared" si="17"/>
        <v>1.4666666666666666</v>
      </c>
      <c r="O90" s="314">
        <f t="shared" si="18"/>
        <v>92.693333333333328</v>
      </c>
      <c r="P90" s="314">
        <f t="shared" si="19"/>
        <v>98.706666666666649</v>
      </c>
      <c r="R90" s="139">
        <f t="shared" si="20"/>
        <v>45.569620253164558</v>
      </c>
      <c r="S90" s="139">
        <f t="shared" si="13"/>
        <v>42.793462109955428</v>
      </c>
      <c r="U90" s="361">
        <f t="shared" si="21"/>
        <v>40.784810126582279</v>
      </c>
      <c r="V90" s="361">
        <f t="shared" si="14"/>
        <v>38.30014858841011</v>
      </c>
      <c r="W90" s="361">
        <f t="shared" si="22"/>
        <v>10604.050632911392</v>
      </c>
      <c r="X90" s="361">
        <f t="shared" si="15"/>
        <v>9958.0386329866287</v>
      </c>
      <c r="Z90" s="361">
        <f t="shared" si="23"/>
        <v>646.01199992476359</v>
      </c>
    </row>
    <row r="91" spans="2:34" x14ac:dyDescent="0.3">
      <c r="C91" t="s">
        <v>481</v>
      </c>
      <c r="F91" s="121">
        <f>C25</f>
        <v>2917.8840990352828</v>
      </c>
      <c r="G91" s="265">
        <v>2015</v>
      </c>
      <c r="H91" t="s">
        <v>197</v>
      </c>
      <c r="I91" t="s">
        <v>178</v>
      </c>
      <c r="J91">
        <f t="shared" ref="J91:J92" si="24">$E$164</f>
        <v>63.2</v>
      </c>
      <c r="K91">
        <f t="shared" ref="K91:K92" si="25">$F$164</f>
        <v>67.3</v>
      </c>
      <c r="M91">
        <f t="shared" si="16"/>
        <v>4.0999999999999943</v>
      </c>
      <c r="N91">
        <f t="shared" si="17"/>
        <v>1.4666666666666666</v>
      </c>
      <c r="O91" s="314">
        <f t="shared" si="18"/>
        <v>92.693333333333328</v>
      </c>
      <c r="P91" s="314">
        <f t="shared" si="19"/>
        <v>98.706666666666649</v>
      </c>
      <c r="R91" s="139">
        <f t="shared" si="20"/>
        <v>45.569620253164558</v>
      </c>
      <c r="S91" s="139">
        <f t="shared" si="13"/>
        <v>42.793462109955428</v>
      </c>
      <c r="U91" s="361">
        <f t="shared" si="21"/>
        <v>36.93524175994029</v>
      </c>
      <c r="V91" s="361">
        <f t="shared" si="14"/>
        <v>34.685100731474385</v>
      </c>
      <c r="W91" s="361">
        <f t="shared" si="22"/>
        <v>9603.1628575844752</v>
      </c>
      <c r="X91" s="361">
        <f t="shared" si="15"/>
        <v>9018.1261901833404</v>
      </c>
      <c r="Z91" s="361">
        <f t="shared" si="23"/>
        <v>585.03666740113476</v>
      </c>
    </row>
    <row r="92" spans="2:34" x14ac:dyDescent="0.3">
      <c r="C92" t="s">
        <v>481</v>
      </c>
      <c r="F92" s="121">
        <f>C26</f>
        <v>2465.0572758550902</v>
      </c>
      <c r="G92" s="265">
        <v>2015</v>
      </c>
      <c r="H92" t="s">
        <v>198</v>
      </c>
      <c r="I92" t="s">
        <v>178</v>
      </c>
      <c r="J92">
        <f t="shared" si="24"/>
        <v>63.2</v>
      </c>
      <c r="K92">
        <f t="shared" si="25"/>
        <v>67.3</v>
      </c>
      <c r="M92">
        <f t="shared" si="16"/>
        <v>4.0999999999999943</v>
      </c>
      <c r="N92">
        <f t="shared" si="17"/>
        <v>1.4666666666666666</v>
      </c>
      <c r="O92" s="314">
        <f t="shared" si="18"/>
        <v>92.693333333333328</v>
      </c>
      <c r="P92" s="314">
        <f t="shared" si="19"/>
        <v>98.706666666666649</v>
      </c>
      <c r="R92" s="139">
        <f t="shared" si="20"/>
        <v>45.569620253164558</v>
      </c>
      <c r="S92" s="139">
        <f t="shared" si="13"/>
        <v>42.793462109955428</v>
      </c>
      <c r="U92" s="361">
        <f t="shared" si="21"/>
        <v>31.203256656393549</v>
      </c>
      <c r="V92" s="361">
        <f t="shared" si="14"/>
        <v>29.302315314770766</v>
      </c>
      <c r="W92" s="361">
        <f t="shared" si="22"/>
        <v>8112.8467306623224</v>
      </c>
      <c r="X92" s="361">
        <f t="shared" si="15"/>
        <v>7618.6019818403993</v>
      </c>
      <c r="Z92" s="361">
        <f t="shared" si="23"/>
        <v>494.24474882192317</v>
      </c>
    </row>
    <row r="93" spans="2:34" x14ac:dyDescent="0.3">
      <c r="C93" t="s">
        <v>481</v>
      </c>
      <c r="F93" s="121">
        <f>D15</f>
        <v>2579.9690200458517</v>
      </c>
      <c r="G93" s="265">
        <v>2015</v>
      </c>
      <c r="H93" t="s">
        <v>187</v>
      </c>
      <c r="I93" t="s">
        <v>179</v>
      </c>
      <c r="J93">
        <f>$K$164</f>
        <v>64.3</v>
      </c>
      <c r="K93">
        <f>$L$164</f>
        <v>69.2</v>
      </c>
      <c r="M93">
        <f>K93-J93</f>
        <v>4.9000000000000057</v>
      </c>
      <c r="N93">
        <f t="shared" si="17"/>
        <v>1.4666666666666666</v>
      </c>
      <c r="O93" s="314">
        <f t="shared" si="18"/>
        <v>94.306666666666658</v>
      </c>
      <c r="P93" s="314">
        <f t="shared" si="19"/>
        <v>101.49333333333333</v>
      </c>
      <c r="R93" s="139">
        <f t="shared" si="20"/>
        <v>44.790046656298607</v>
      </c>
      <c r="S93" s="139">
        <f t="shared" si="13"/>
        <v>41.618497109826592</v>
      </c>
      <c r="U93" s="361">
        <f t="shared" si="21"/>
        <v>32.099147994349636</v>
      </c>
      <c r="V93" s="361">
        <f t="shared" si="14"/>
        <v>29.826231445616784</v>
      </c>
      <c r="W93" s="361">
        <f t="shared" si="22"/>
        <v>8345.778478530905</v>
      </c>
      <c r="X93" s="361">
        <f t="shared" si="15"/>
        <v>7754.8201758603636</v>
      </c>
      <c r="Z93" s="361">
        <f t="shared" si="23"/>
        <v>590.95830267054134</v>
      </c>
    </row>
    <row r="94" spans="2:34" x14ac:dyDescent="0.3">
      <c r="C94" t="s">
        <v>481</v>
      </c>
      <c r="F94" s="121">
        <f>D16</f>
        <v>3227</v>
      </c>
      <c r="G94" s="265">
        <v>2015</v>
      </c>
      <c r="H94" t="s">
        <v>188</v>
      </c>
      <c r="I94" t="s">
        <v>179</v>
      </c>
      <c r="J94">
        <f>$K$164</f>
        <v>64.3</v>
      </c>
      <c r="K94">
        <f>$L$164</f>
        <v>69.2</v>
      </c>
      <c r="M94">
        <f t="shared" si="16"/>
        <v>4.9000000000000057</v>
      </c>
      <c r="N94">
        <f t="shared" si="17"/>
        <v>1.4666666666666666</v>
      </c>
      <c r="O94" s="314">
        <f t="shared" si="18"/>
        <v>94.306666666666658</v>
      </c>
      <c r="P94" s="314">
        <f t="shared" si="19"/>
        <v>101.49333333333333</v>
      </c>
      <c r="R94" s="139">
        <f t="shared" si="20"/>
        <v>44.790046656298607</v>
      </c>
      <c r="S94" s="139">
        <f t="shared" si="13"/>
        <v>41.618497109826592</v>
      </c>
      <c r="U94" s="361">
        <f t="shared" si="21"/>
        <v>40.149300155521004</v>
      </c>
      <c r="V94" s="361">
        <f t="shared" si="14"/>
        <v>37.306358381502896</v>
      </c>
      <c r="W94" s="361">
        <f t="shared" si="22"/>
        <v>10438.818040435461</v>
      </c>
      <c r="X94" s="361">
        <f t="shared" si="15"/>
        <v>9699.6531791907528</v>
      </c>
      <c r="Z94" s="361">
        <f t="shared" si="23"/>
        <v>739.16486124470794</v>
      </c>
    </row>
    <row r="95" spans="2:34" x14ac:dyDescent="0.3">
      <c r="C95" t="s">
        <v>481</v>
      </c>
      <c r="F95" s="3">
        <f>D24</f>
        <v>1792</v>
      </c>
      <c r="G95" s="265">
        <v>2015</v>
      </c>
      <c r="H95" t="s">
        <v>196</v>
      </c>
      <c r="I95" t="s">
        <v>179</v>
      </c>
      <c r="J95">
        <f>$M$164</f>
        <v>64.400000000000006</v>
      </c>
      <c r="K95">
        <f>$N$164</f>
        <v>68.900000000000006</v>
      </c>
      <c r="M95">
        <f t="shared" si="16"/>
        <v>4.5</v>
      </c>
      <c r="N95">
        <f t="shared" si="17"/>
        <v>1.4666666666666666</v>
      </c>
      <c r="O95" s="314">
        <f t="shared" si="18"/>
        <v>94.453333333333333</v>
      </c>
      <c r="P95" s="314">
        <f t="shared" si="19"/>
        <v>101.05333333333333</v>
      </c>
      <c r="R95" s="139">
        <f t="shared" si="20"/>
        <v>44.720496894409941</v>
      </c>
      <c r="S95" s="139">
        <f t="shared" si="13"/>
        <v>41.799709724238028</v>
      </c>
      <c r="U95" s="361">
        <f t="shared" si="21"/>
        <v>22.260869565217391</v>
      </c>
      <c r="V95" s="361">
        <f t="shared" si="14"/>
        <v>20.806966618287372</v>
      </c>
      <c r="W95" s="361">
        <f t="shared" si="22"/>
        <v>5787.826086956522</v>
      </c>
      <c r="X95" s="361">
        <f t="shared" si="15"/>
        <v>5409.8113207547167</v>
      </c>
      <c r="Z95" s="361">
        <f t="shared" si="23"/>
        <v>378.01476620180529</v>
      </c>
    </row>
    <row r="96" spans="2:34" x14ac:dyDescent="0.3">
      <c r="C96" t="s">
        <v>481</v>
      </c>
      <c r="F96" s="3">
        <f>D25</f>
        <v>1934.0058785491735</v>
      </c>
      <c r="G96" s="265">
        <v>2015</v>
      </c>
      <c r="H96" t="s">
        <v>197</v>
      </c>
      <c r="I96" t="s">
        <v>179</v>
      </c>
      <c r="J96">
        <f t="shared" ref="J96:J97" si="26">$M$164</f>
        <v>64.400000000000006</v>
      </c>
      <c r="K96">
        <f t="shared" ref="K96:K97" si="27">$N$164</f>
        <v>68.900000000000006</v>
      </c>
      <c r="M96">
        <f t="shared" si="16"/>
        <v>4.5</v>
      </c>
      <c r="N96">
        <f t="shared" si="17"/>
        <v>1.4666666666666666</v>
      </c>
      <c r="O96" s="314">
        <f t="shared" si="18"/>
        <v>94.453333333333333</v>
      </c>
      <c r="P96" s="314">
        <f t="shared" si="19"/>
        <v>101.05333333333333</v>
      </c>
      <c r="R96" s="139">
        <f t="shared" si="20"/>
        <v>44.720496894409941</v>
      </c>
      <c r="S96" s="139">
        <f t="shared" si="13"/>
        <v>41.799709724238028</v>
      </c>
      <c r="U96" s="361">
        <f t="shared" si="21"/>
        <v>24.024917745952468</v>
      </c>
      <c r="V96" s="361">
        <f t="shared" si="14"/>
        <v>22.45580120231261</v>
      </c>
      <c r="W96" s="361">
        <f t="shared" si="22"/>
        <v>6246.4786139476419</v>
      </c>
      <c r="X96" s="361">
        <f t="shared" si="15"/>
        <v>5838.5083126012787</v>
      </c>
      <c r="Z96" s="361">
        <f t="shared" si="23"/>
        <v>407.97030134636316</v>
      </c>
    </row>
    <row r="97" spans="3:26" x14ac:dyDescent="0.3">
      <c r="C97" t="s">
        <v>481</v>
      </c>
      <c r="F97" s="3">
        <f>D26</f>
        <v>1526.2335547586849</v>
      </c>
      <c r="G97" s="265">
        <v>2015</v>
      </c>
      <c r="H97" t="s">
        <v>198</v>
      </c>
      <c r="I97" t="s">
        <v>179</v>
      </c>
      <c r="J97">
        <f t="shared" si="26"/>
        <v>64.400000000000006</v>
      </c>
      <c r="K97">
        <f t="shared" si="27"/>
        <v>68.900000000000006</v>
      </c>
      <c r="M97">
        <f t="shared" si="16"/>
        <v>4.5</v>
      </c>
      <c r="N97">
        <f t="shared" si="17"/>
        <v>1.4666666666666666</v>
      </c>
      <c r="O97" s="314">
        <f t="shared" si="18"/>
        <v>94.453333333333333</v>
      </c>
      <c r="P97" s="314">
        <f t="shared" si="19"/>
        <v>101.05333333333333</v>
      </c>
      <c r="R97" s="139">
        <f t="shared" si="20"/>
        <v>44.720496894409941</v>
      </c>
      <c r="S97" s="139">
        <f t="shared" si="13"/>
        <v>41.799709724238028</v>
      </c>
      <c r="U97" s="361">
        <f t="shared" si="21"/>
        <v>18.959423040480559</v>
      </c>
      <c r="V97" s="361">
        <f t="shared" si="14"/>
        <v>17.721144322306937</v>
      </c>
      <c r="W97" s="361">
        <f t="shared" si="22"/>
        <v>4929.449990524945</v>
      </c>
      <c r="X97" s="361">
        <f t="shared" si="15"/>
        <v>4607.4975237998033</v>
      </c>
      <c r="Z97" s="361">
        <f t="shared" si="23"/>
        <v>321.95246672514168</v>
      </c>
    </row>
    <row r="99" spans="3:26" x14ac:dyDescent="0.3">
      <c r="F99" s="3"/>
      <c r="G99" s="335"/>
      <c r="O99" s="314"/>
      <c r="P99" s="314"/>
      <c r="R99" s="139"/>
      <c r="S99" s="139"/>
      <c r="U99" s="361"/>
      <c r="V99" s="7" t="s">
        <v>479</v>
      </c>
      <c r="W99" s="363">
        <f>SUM(W88:W97)</f>
        <v>73133.450658775968</v>
      </c>
      <c r="X99" s="363">
        <f>SUM(X88:X97)</f>
        <v>68657.976930328645</v>
      </c>
      <c r="Z99" s="361"/>
    </row>
    <row r="100" spans="3:26" x14ac:dyDescent="0.3">
      <c r="C100" t="s">
        <v>481</v>
      </c>
      <c r="F100" s="3">
        <f>E15</f>
        <v>1880.1619105444242</v>
      </c>
      <c r="G100" s="265">
        <v>2045</v>
      </c>
      <c r="H100" t="s">
        <v>187</v>
      </c>
      <c r="I100" t="s">
        <v>178</v>
      </c>
      <c r="J100">
        <f>$G$164</f>
        <v>63.8</v>
      </c>
      <c r="K100">
        <f>$H$164</f>
        <v>66.7</v>
      </c>
      <c r="M100">
        <f>K100-J100</f>
        <v>2.9000000000000057</v>
      </c>
      <c r="N100">
        <f t="shared" si="17"/>
        <v>1.4666666666666666</v>
      </c>
      <c r="O100" s="314">
        <f>J100*N100</f>
        <v>93.573333333333323</v>
      </c>
      <c r="P100" s="314">
        <f>K100*N100</f>
        <v>97.826666666666668</v>
      </c>
      <c r="R100" s="139">
        <f>$F$82/O100</f>
        <v>45.141065830721011</v>
      </c>
      <c r="S100" s="139">
        <f>$F$82/P100</f>
        <v>43.178410794602698</v>
      </c>
      <c r="U100" s="361">
        <f>(R100*F100)/seconds_in_hour</f>
        <v>23.575697937861122</v>
      </c>
      <c r="V100" s="361">
        <f>(S100*F100)/seconds_in_hour</f>
        <v>22.550667592736723</v>
      </c>
      <c r="W100" s="361">
        <f>U100*Annual_Number_Weekdays</f>
        <v>6129.6814638438918</v>
      </c>
      <c r="X100" s="361">
        <f>V100*Annual_Number_Weekdays</f>
        <v>5863.1735741115481</v>
      </c>
      <c r="Z100" s="361">
        <f>W100-X100</f>
        <v>266.50788973234376</v>
      </c>
    </row>
    <row r="101" spans="3:26" x14ac:dyDescent="0.3">
      <c r="C101" t="s">
        <v>481</v>
      </c>
      <c r="F101" s="3">
        <f>E16</f>
        <v>2730</v>
      </c>
      <c r="G101" s="265">
        <v>2045</v>
      </c>
      <c r="H101" t="s">
        <v>188</v>
      </c>
      <c r="I101" t="s">
        <v>178</v>
      </c>
      <c r="J101">
        <f>$G$164</f>
        <v>63.8</v>
      </c>
      <c r="K101">
        <f>$H$164</f>
        <v>66.7</v>
      </c>
      <c r="M101">
        <f t="shared" si="16"/>
        <v>2.9000000000000057</v>
      </c>
      <c r="N101">
        <f t="shared" si="17"/>
        <v>1.4666666666666666</v>
      </c>
      <c r="O101" s="314">
        <f t="shared" si="18"/>
        <v>93.573333333333323</v>
      </c>
      <c r="P101" s="314">
        <f t="shared" si="19"/>
        <v>97.826666666666668</v>
      </c>
      <c r="R101" s="139">
        <f t="shared" si="20"/>
        <v>45.141065830721011</v>
      </c>
      <c r="S101" s="139">
        <f t="shared" si="13"/>
        <v>43.178410794602698</v>
      </c>
      <c r="U101" s="361">
        <f t="shared" si="21"/>
        <v>34.231974921630098</v>
      </c>
      <c r="V101" s="361">
        <f t="shared" si="14"/>
        <v>32.743628185907042</v>
      </c>
      <c r="W101" s="361">
        <f t="shared" si="22"/>
        <v>8900.3134796238246</v>
      </c>
      <c r="X101" s="361">
        <f t="shared" si="15"/>
        <v>8513.3433283358318</v>
      </c>
      <c r="Z101" s="361">
        <f t="shared" si="23"/>
        <v>386.97015128799285</v>
      </c>
    </row>
    <row r="102" spans="3:26" x14ac:dyDescent="0.3">
      <c r="C102" t="s">
        <v>481</v>
      </c>
      <c r="F102" s="3">
        <f>E24</f>
        <v>5280</v>
      </c>
      <c r="G102" s="265">
        <v>2045</v>
      </c>
      <c r="H102" t="s">
        <v>196</v>
      </c>
      <c r="I102" t="s">
        <v>178</v>
      </c>
      <c r="J102">
        <f>$I$164</f>
        <v>59.5</v>
      </c>
      <c r="K102">
        <f>$J$164</f>
        <v>64.5</v>
      </c>
      <c r="M102">
        <f t="shared" si="16"/>
        <v>5</v>
      </c>
      <c r="N102">
        <f t="shared" si="17"/>
        <v>1.4666666666666666</v>
      </c>
      <c r="O102" s="314">
        <f t="shared" si="18"/>
        <v>87.266666666666666</v>
      </c>
      <c r="P102" s="314">
        <f t="shared" si="19"/>
        <v>94.6</v>
      </c>
      <c r="R102" s="139">
        <f t="shared" si="20"/>
        <v>48.403361344537814</v>
      </c>
      <c r="S102" s="139">
        <f t="shared" si="13"/>
        <v>44.651162790697676</v>
      </c>
      <c r="U102" s="361">
        <f t="shared" si="21"/>
        <v>70.991596638655452</v>
      </c>
      <c r="V102" s="361">
        <f t="shared" si="14"/>
        <v>65.488372093023258</v>
      </c>
      <c r="W102" s="361">
        <f t="shared" si="22"/>
        <v>18457.815126050416</v>
      </c>
      <c r="X102" s="361">
        <f t="shared" si="15"/>
        <v>17026.976744186046</v>
      </c>
      <c r="Z102" s="361">
        <f t="shared" si="23"/>
        <v>1430.8383818643706</v>
      </c>
    </row>
    <row r="103" spans="3:26" x14ac:dyDescent="0.3">
      <c r="C103" t="s">
        <v>481</v>
      </c>
      <c r="F103" s="3">
        <f>E25</f>
        <v>4500.3629494704173</v>
      </c>
      <c r="G103" s="265">
        <v>2045</v>
      </c>
      <c r="H103" t="s">
        <v>197</v>
      </c>
      <c r="I103" t="s">
        <v>178</v>
      </c>
      <c r="J103">
        <f t="shared" ref="J103:J104" si="28">$I$164</f>
        <v>59.5</v>
      </c>
      <c r="K103">
        <f t="shared" ref="K103:K104" si="29">$J$164</f>
        <v>64.5</v>
      </c>
      <c r="M103">
        <f t="shared" si="16"/>
        <v>5</v>
      </c>
      <c r="N103">
        <f t="shared" si="17"/>
        <v>1.4666666666666666</v>
      </c>
      <c r="O103" s="314">
        <f t="shared" si="18"/>
        <v>87.266666666666666</v>
      </c>
      <c r="P103" s="314">
        <f t="shared" si="19"/>
        <v>94.6</v>
      </c>
      <c r="R103" s="139">
        <f t="shared" si="20"/>
        <v>48.403361344537814</v>
      </c>
      <c r="S103" s="139">
        <f t="shared" si="13"/>
        <v>44.651162790697676</v>
      </c>
      <c r="U103" s="361">
        <f t="shared" si="21"/>
        <v>60.509081673551826</v>
      </c>
      <c r="V103" s="361">
        <f t="shared" si="14"/>
        <v>55.818455187229986</v>
      </c>
      <c r="W103" s="361">
        <f t="shared" si="22"/>
        <v>15732.361235123475</v>
      </c>
      <c r="X103" s="361">
        <f t="shared" si="15"/>
        <v>14512.798348679797</v>
      </c>
      <c r="Z103" s="361">
        <f t="shared" si="23"/>
        <v>1219.5628864436785</v>
      </c>
    </row>
    <row r="104" spans="3:26" x14ac:dyDescent="0.3">
      <c r="C104" t="s">
        <v>481</v>
      </c>
      <c r="F104" s="3">
        <f>E26</f>
        <v>3801.9510220603111</v>
      </c>
      <c r="G104" s="265">
        <v>2045</v>
      </c>
      <c r="H104" t="s">
        <v>198</v>
      </c>
      <c r="I104" t="s">
        <v>178</v>
      </c>
      <c r="J104">
        <f t="shared" si="28"/>
        <v>59.5</v>
      </c>
      <c r="K104">
        <f t="shared" si="29"/>
        <v>64.5</v>
      </c>
      <c r="M104">
        <f t="shared" si="16"/>
        <v>5</v>
      </c>
      <c r="N104">
        <f t="shared" si="17"/>
        <v>1.4666666666666666</v>
      </c>
      <c r="O104" s="314">
        <f t="shared" si="18"/>
        <v>87.266666666666666</v>
      </c>
      <c r="P104" s="314">
        <f t="shared" si="19"/>
        <v>94.6</v>
      </c>
      <c r="R104" s="139">
        <f t="shared" si="20"/>
        <v>48.403361344537814</v>
      </c>
      <c r="S104" s="139">
        <f t="shared" si="13"/>
        <v>44.651162790697676</v>
      </c>
      <c r="U104" s="361">
        <f t="shared" si="21"/>
        <v>51.118669204172249</v>
      </c>
      <c r="V104" s="361">
        <f t="shared" si="14"/>
        <v>47.155981668965097</v>
      </c>
      <c r="W104" s="361">
        <f t="shared" si="22"/>
        <v>13290.853993084786</v>
      </c>
      <c r="X104" s="361">
        <f t="shared" si="15"/>
        <v>12260.555233930925</v>
      </c>
      <c r="Z104" s="361">
        <f t="shared" si="23"/>
        <v>1030.2987591538604</v>
      </c>
    </row>
    <row r="105" spans="3:26" x14ac:dyDescent="0.3">
      <c r="C105" t="s">
        <v>481</v>
      </c>
      <c r="F105" s="3">
        <f>F15</f>
        <v>3983.42249132914</v>
      </c>
      <c r="G105" s="265">
        <v>2045</v>
      </c>
      <c r="H105" t="s">
        <v>187</v>
      </c>
      <c r="I105" t="s">
        <v>179</v>
      </c>
      <c r="J105">
        <f>$O$164</f>
        <v>28.9</v>
      </c>
      <c r="K105">
        <f>$P$164</f>
        <v>66.8</v>
      </c>
      <c r="M105">
        <f t="shared" si="16"/>
        <v>37.9</v>
      </c>
      <c r="N105">
        <f t="shared" si="17"/>
        <v>1.4666666666666666</v>
      </c>
      <c r="O105" s="314">
        <f t="shared" si="18"/>
        <v>42.386666666666663</v>
      </c>
      <c r="P105" s="314">
        <f t="shared" si="19"/>
        <v>97.973333333333329</v>
      </c>
      <c r="R105" s="139">
        <f t="shared" si="20"/>
        <v>99.653979238754332</v>
      </c>
      <c r="S105" s="139">
        <f t="shared" si="13"/>
        <v>43.113772455089823</v>
      </c>
      <c r="U105" s="361">
        <f t="shared" si="21"/>
        <v>110.2677506250281</v>
      </c>
      <c r="V105" s="361">
        <f t="shared" si="14"/>
        <v>47.705658578792097</v>
      </c>
      <c r="W105" s="361">
        <f t="shared" si="22"/>
        <v>28669.615162507307</v>
      </c>
      <c r="X105" s="361">
        <f t="shared" si="15"/>
        <v>12403.471230485946</v>
      </c>
      <c r="Z105" s="361">
        <f t="shared" si="23"/>
        <v>16266.143932021361</v>
      </c>
    </row>
    <row r="106" spans="3:26" x14ac:dyDescent="0.3">
      <c r="C106" t="s">
        <v>481</v>
      </c>
      <c r="F106" s="3">
        <f>F16</f>
        <v>5095</v>
      </c>
      <c r="G106" s="265">
        <v>2045</v>
      </c>
      <c r="H106" t="s">
        <v>188</v>
      </c>
      <c r="I106" t="s">
        <v>179</v>
      </c>
      <c r="J106">
        <f>$O$164</f>
        <v>28.9</v>
      </c>
      <c r="K106">
        <f>$P$164</f>
        <v>66.8</v>
      </c>
      <c r="M106">
        <f t="shared" si="16"/>
        <v>37.9</v>
      </c>
      <c r="N106">
        <f t="shared" si="17"/>
        <v>1.4666666666666666</v>
      </c>
      <c r="O106" s="314">
        <f t="shared" si="18"/>
        <v>42.386666666666663</v>
      </c>
      <c r="P106" s="314">
        <f t="shared" si="19"/>
        <v>97.973333333333329</v>
      </c>
      <c r="R106" s="139">
        <f t="shared" si="20"/>
        <v>99.653979238754332</v>
      </c>
      <c r="S106" s="139">
        <f t="shared" si="13"/>
        <v>43.113772455089823</v>
      </c>
      <c r="U106" s="361">
        <f t="shared" si="21"/>
        <v>141.03806228373702</v>
      </c>
      <c r="V106" s="361">
        <f t="shared" si="14"/>
        <v>61.017964071856291</v>
      </c>
      <c r="W106" s="361">
        <f t="shared" si="22"/>
        <v>36669.896193771623</v>
      </c>
      <c r="X106" s="361">
        <f t="shared" si="15"/>
        <v>15864.670658682635</v>
      </c>
      <c r="Z106" s="361">
        <f t="shared" si="23"/>
        <v>20805.22553508899</v>
      </c>
    </row>
    <row r="107" spans="3:26" x14ac:dyDescent="0.3">
      <c r="C107" t="s">
        <v>481</v>
      </c>
      <c r="F107" s="3">
        <f>F24</f>
        <v>3195</v>
      </c>
      <c r="G107" s="265">
        <v>2045</v>
      </c>
      <c r="H107" t="s">
        <v>196</v>
      </c>
      <c r="I107" t="s">
        <v>179</v>
      </c>
      <c r="J107">
        <f>$Q$164</f>
        <v>62.4</v>
      </c>
      <c r="K107">
        <f>$R$164</f>
        <v>68.8</v>
      </c>
      <c r="M107">
        <f t="shared" si="16"/>
        <v>6.3999999999999986</v>
      </c>
      <c r="N107">
        <f t="shared" si="17"/>
        <v>1.4666666666666666</v>
      </c>
      <c r="O107" s="314">
        <f t="shared" si="18"/>
        <v>91.52</v>
      </c>
      <c r="P107" s="314">
        <f t="shared" si="19"/>
        <v>100.90666666666665</v>
      </c>
      <c r="R107" s="139">
        <f t="shared" si="20"/>
        <v>46.153846153846153</v>
      </c>
      <c r="S107" s="139">
        <f t="shared" si="13"/>
        <v>41.860465116279073</v>
      </c>
      <c r="U107" s="361">
        <f t="shared" si="21"/>
        <v>40.96153846153846</v>
      </c>
      <c r="V107" s="361">
        <f t="shared" si="14"/>
        <v>37.151162790697676</v>
      </c>
      <c r="W107" s="361">
        <f t="shared" si="22"/>
        <v>10650</v>
      </c>
      <c r="X107" s="361">
        <f t="shared" si="15"/>
        <v>9659.3023255813951</v>
      </c>
      <c r="Z107" s="361">
        <f t="shared" si="23"/>
        <v>990.69767441860495</v>
      </c>
    </row>
    <row r="108" spans="3:26" x14ac:dyDescent="0.3">
      <c r="C108" t="s">
        <v>481</v>
      </c>
      <c r="F108" s="3">
        <f>F25</f>
        <v>2986.067838457469</v>
      </c>
      <c r="G108" s="265">
        <v>2045</v>
      </c>
      <c r="H108" t="s">
        <v>197</v>
      </c>
      <c r="I108" t="s">
        <v>179</v>
      </c>
      <c r="J108">
        <f t="shared" ref="J108:J109" si="30">$Q$164</f>
        <v>62.4</v>
      </c>
      <c r="K108">
        <f>$R$164</f>
        <v>68.8</v>
      </c>
      <c r="M108">
        <f t="shared" si="16"/>
        <v>6.3999999999999986</v>
      </c>
      <c r="N108">
        <f t="shared" si="17"/>
        <v>1.4666666666666666</v>
      </c>
      <c r="O108" s="314">
        <f t="shared" si="18"/>
        <v>91.52</v>
      </c>
      <c r="P108" s="314">
        <f t="shared" si="19"/>
        <v>100.90666666666665</v>
      </c>
      <c r="R108" s="139">
        <f t="shared" si="20"/>
        <v>46.153846153846153</v>
      </c>
      <c r="S108" s="139">
        <f t="shared" si="13"/>
        <v>41.860465116279073</v>
      </c>
      <c r="U108" s="361">
        <f t="shared" si="21"/>
        <v>38.282921005864985</v>
      </c>
      <c r="V108" s="361">
        <f t="shared" si="14"/>
        <v>34.721719051831037</v>
      </c>
      <c r="W108" s="361">
        <f t="shared" si="22"/>
        <v>9953.5594615248956</v>
      </c>
      <c r="X108" s="361">
        <f t="shared" si="15"/>
        <v>9027.646953476069</v>
      </c>
      <c r="Z108" s="361">
        <f t="shared" si="23"/>
        <v>925.91250804882657</v>
      </c>
    </row>
    <row r="109" spans="3:26" x14ac:dyDescent="0.3">
      <c r="C109" t="s">
        <v>481</v>
      </c>
      <c r="F109" s="3">
        <f>F26</f>
        <v>2356.4752219152315</v>
      </c>
      <c r="G109" s="265">
        <v>2045</v>
      </c>
      <c r="H109" t="s">
        <v>198</v>
      </c>
      <c r="I109" t="s">
        <v>179</v>
      </c>
      <c r="J109">
        <f t="shared" si="30"/>
        <v>62.4</v>
      </c>
      <c r="K109">
        <f>$R$164</f>
        <v>68.8</v>
      </c>
      <c r="M109">
        <f t="shared" si="16"/>
        <v>6.3999999999999986</v>
      </c>
      <c r="N109">
        <f t="shared" si="17"/>
        <v>1.4666666666666666</v>
      </c>
      <c r="O109" s="314">
        <f>J109*N109</f>
        <v>91.52</v>
      </c>
      <c r="P109" s="314">
        <f t="shared" si="19"/>
        <v>100.90666666666665</v>
      </c>
      <c r="R109" s="139">
        <f t="shared" si="20"/>
        <v>46.153846153846153</v>
      </c>
      <c r="S109" s="139">
        <f t="shared" si="13"/>
        <v>41.860465116279073</v>
      </c>
      <c r="U109" s="361">
        <f t="shared" si="21"/>
        <v>30.211220793785021</v>
      </c>
      <c r="V109" s="361">
        <f t="shared" si="14"/>
        <v>27.400874673432927</v>
      </c>
      <c r="W109" s="361">
        <f t="shared" si="22"/>
        <v>7854.9174063841056</v>
      </c>
      <c r="X109" s="361">
        <f t="shared" si="15"/>
        <v>7124.2274150925614</v>
      </c>
      <c r="Z109" s="361">
        <f t="shared" si="23"/>
        <v>730.68999129154417</v>
      </c>
    </row>
    <row r="110" spans="3:26" x14ac:dyDescent="0.3">
      <c r="F110" s="3"/>
      <c r="G110" s="290"/>
      <c r="O110" s="314"/>
      <c r="P110" s="314"/>
      <c r="R110" s="139"/>
      <c r="S110" s="139"/>
      <c r="U110" s="361"/>
      <c r="V110" s="7" t="s">
        <v>480</v>
      </c>
      <c r="W110" s="363">
        <f>SUM(W100:W109)</f>
        <v>156309.01352191431</v>
      </c>
      <c r="X110" s="363">
        <f>SUM(X100:X109)</f>
        <v>112256.16581256274</v>
      </c>
      <c r="Z110" s="361"/>
    </row>
    <row r="111" spans="3:26" x14ac:dyDescent="0.3">
      <c r="F111" s="3"/>
      <c r="G111" s="335"/>
      <c r="O111" s="314"/>
      <c r="P111" s="314"/>
      <c r="R111" s="139"/>
      <c r="S111" s="139"/>
      <c r="U111" s="361"/>
      <c r="V111" s="7" t="s">
        <v>229</v>
      </c>
      <c r="W111" s="364">
        <f>(W110/W99)^(1/(2045-2015))-1</f>
        <v>2.5641531654246208E-2</v>
      </c>
      <c r="X111" s="364">
        <f>(X110/X99)^(1/(2045-2015))-1</f>
        <v>1.6523227604092305E-2</v>
      </c>
      <c r="Z111" s="361"/>
    </row>
    <row r="112" spans="3:26" x14ac:dyDescent="0.3">
      <c r="F112" s="3"/>
      <c r="G112" s="290"/>
      <c r="O112" s="314"/>
      <c r="P112" s="314"/>
      <c r="R112" s="139"/>
      <c r="S112" s="139"/>
      <c r="U112" s="361"/>
      <c r="V112" s="361"/>
      <c r="W112" s="361"/>
      <c r="X112" s="361"/>
      <c r="Z112" s="361"/>
    </row>
    <row r="113" spans="3:26" x14ac:dyDescent="0.3">
      <c r="C113" t="s">
        <v>206</v>
      </c>
      <c r="F113" s="3">
        <f>G15</f>
        <v>982.86176887269801</v>
      </c>
      <c r="G113" s="290">
        <v>2015</v>
      </c>
      <c r="H113" t="s">
        <v>187</v>
      </c>
      <c r="I113" t="s">
        <v>178</v>
      </c>
      <c r="J113">
        <f>$C$164</f>
        <v>64.5</v>
      </c>
      <c r="K113">
        <f>$D$164</f>
        <v>66.8</v>
      </c>
      <c r="M113">
        <f>K113-J113</f>
        <v>2.2999999999999972</v>
      </c>
      <c r="N113">
        <f>5280/3600</f>
        <v>1.4666666666666666</v>
      </c>
      <c r="O113" s="314">
        <f t="shared" ref="O113:O134" si="31">J113*N113</f>
        <v>94.6</v>
      </c>
      <c r="P113" s="314">
        <f t="shared" ref="P113:P134" si="32">K113*N113</f>
        <v>97.973333333333329</v>
      </c>
      <c r="R113" s="139">
        <f>$F$79/O113</f>
        <v>206.51162790697677</v>
      </c>
      <c r="S113" s="139">
        <f>$F$79/P113</f>
        <v>199.40119760479044</v>
      </c>
      <c r="U113" s="361">
        <f t="shared" ref="U113:U134" si="33">(R113*F113)/seconds_in_hour</f>
        <v>56.381217749286556</v>
      </c>
      <c r="V113" s="361">
        <f t="shared" ref="V113:V134" si="34">(S113*F113)/seconds_in_hour</f>
        <v>54.439948275882983</v>
      </c>
      <c r="W113" s="361">
        <f t="shared" ref="W113:W134" si="35">U113*Annual_Number_Weekdays</f>
        <v>14659.116614814504</v>
      </c>
      <c r="X113" s="361">
        <f t="shared" ref="X113:X134" si="36">V113*Annual_Number_Weekdays</f>
        <v>14154.386551729576</v>
      </c>
      <c r="Z113" s="361">
        <f>W113-X113</f>
        <v>504.73006308492768</v>
      </c>
    </row>
    <row r="114" spans="3:26" x14ac:dyDescent="0.3">
      <c r="C114" t="s">
        <v>206</v>
      </c>
      <c r="F114" s="3">
        <f>G16</f>
        <v>1070</v>
      </c>
      <c r="G114" s="290">
        <v>2015</v>
      </c>
      <c r="H114" t="s">
        <v>188</v>
      </c>
      <c r="I114" t="s">
        <v>178</v>
      </c>
      <c r="J114">
        <f>$C$164</f>
        <v>64.5</v>
      </c>
      <c r="K114">
        <f>$D$164</f>
        <v>66.8</v>
      </c>
      <c r="M114">
        <f t="shared" ref="M114:M134" si="37">K114-J114</f>
        <v>2.2999999999999972</v>
      </c>
      <c r="N114">
        <f t="shared" ref="N114:N134" si="38">5280/3600</f>
        <v>1.4666666666666666</v>
      </c>
      <c r="O114" s="314">
        <f t="shared" si="31"/>
        <v>94.6</v>
      </c>
      <c r="P114" s="314">
        <f t="shared" si="32"/>
        <v>97.973333333333329</v>
      </c>
      <c r="R114" s="139">
        <f t="shared" ref="R114:R134" si="39">$F$79/O114</f>
        <v>206.51162790697677</v>
      </c>
      <c r="S114" s="139">
        <f t="shared" ref="S114:S134" si="40">$F$79/P114</f>
        <v>199.40119760479044</v>
      </c>
      <c r="U114" s="361">
        <f t="shared" si="33"/>
        <v>61.379844961240323</v>
      </c>
      <c r="V114" s="361">
        <f t="shared" si="34"/>
        <v>59.266467065868277</v>
      </c>
      <c r="W114" s="361">
        <f t="shared" si="35"/>
        <v>15958.759689922485</v>
      </c>
      <c r="X114" s="361">
        <f t="shared" si="36"/>
        <v>15409.281437125752</v>
      </c>
      <c r="Z114" s="361">
        <f t="shared" si="23"/>
        <v>549.4782527967327</v>
      </c>
    </row>
    <row r="115" spans="3:26" x14ac:dyDescent="0.3">
      <c r="C115" t="s">
        <v>206</v>
      </c>
      <c r="F115" s="3">
        <f>G24</f>
        <v>3140</v>
      </c>
      <c r="G115" s="290">
        <v>2015</v>
      </c>
      <c r="H115" t="s">
        <v>196</v>
      </c>
      <c r="I115" t="s">
        <v>178</v>
      </c>
      <c r="J115">
        <f>$E$164</f>
        <v>63.2</v>
      </c>
      <c r="K115">
        <f>$F$164</f>
        <v>67.3</v>
      </c>
      <c r="M115">
        <f t="shared" si="37"/>
        <v>4.0999999999999943</v>
      </c>
      <c r="N115">
        <f t="shared" si="38"/>
        <v>1.4666666666666666</v>
      </c>
      <c r="O115" s="314">
        <f t="shared" si="31"/>
        <v>92.693333333333328</v>
      </c>
      <c r="P115" s="314">
        <f t="shared" si="32"/>
        <v>98.706666666666649</v>
      </c>
      <c r="R115" s="139">
        <f t="shared" si="39"/>
        <v>210.75949367088609</v>
      </c>
      <c r="S115" s="139">
        <f t="shared" si="40"/>
        <v>197.91976225854387</v>
      </c>
      <c r="U115" s="361">
        <f t="shared" si="33"/>
        <v>183.82911392405063</v>
      </c>
      <c r="V115" s="361">
        <f t="shared" si="34"/>
        <v>172.63001485884107</v>
      </c>
      <c r="W115" s="361">
        <f t="shared" si="35"/>
        <v>47795.569620253162</v>
      </c>
      <c r="X115" s="361">
        <f t="shared" si="36"/>
        <v>44883.803863298679</v>
      </c>
      <c r="Z115" s="361">
        <f t="shared" si="23"/>
        <v>2911.7657569544826</v>
      </c>
    </row>
    <row r="116" spans="3:26" x14ac:dyDescent="0.3">
      <c r="C116" t="s">
        <v>206</v>
      </c>
      <c r="F116" s="3">
        <f>G25</f>
        <v>2352.5817985562976</v>
      </c>
      <c r="G116" s="290">
        <v>2015</v>
      </c>
      <c r="H116" t="s">
        <v>197</v>
      </c>
      <c r="I116" t="s">
        <v>178</v>
      </c>
      <c r="J116">
        <f t="shared" ref="J116:J117" si="41">$E$164</f>
        <v>63.2</v>
      </c>
      <c r="K116">
        <f t="shared" ref="K116:K117" si="42">$F$164</f>
        <v>67.3</v>
      </c>
      <c r="M116">
        <f t="shared" si="37"/>
        <v>4.0999999999999943</v>
      </c>
      <c r="N116">
        <f t="shared" si="38"/>
        <v>1.4666666666666666</v>
      </c>
      <c r="O116" s="314">
        <f t="shared" si="31"/>
        <v>92.693333333333328</v>
      </c>
      <c r="P116" s="314">
        <f t="shared" si="32"/>
        <v>98.706666666666649</v>
      </c>
      <c r="R116" s="139">
        <f t="shared" si="39"/>
        <v>210.75949367088609</v>
      </c>
      <c r="S116" s="139">
        <f t="shared" si="40"/>
        <v>197.91976225854387</v>
      </c>
      <c r="U116" s="361">
        <f t="shared" si="33"/>
        <v>137.7302635230744</v>
      </c>
      <c r="V116" s="361">
        <f t="shared" si="34"/>
        <v>129.33956396223331</v>
      </c>
      <c r="W116" s="361">
        <f t="shared" si="35"/>
        <v>35809.86851599934</v>
      </c>
      <c r="X116" s="361">
        <f t="shared" si="36"/>
        <v>33628.286630180664</v>
      </c>
      <c r="Z116" s="361">
        <f t="shared" si="23"/>
        <v>2181.5818858186758</v>
      </c>
    </row>
    <row r="117" spans="3:26" x14ac:dyDescent="0.3">
      <c r="C117" t="s">
        <v>206</v>
      </c>
      <c r="F117" s="3">
        <f>G26</f>
        <v>1987.484314916009</v>
      </c>
      <c r="G117" s="290">
        <v>2015</v>
      </c>
      <c r="H117" t="s">
        <v>198</v>
      </c>
      <c r="I117" t="s">
        <v>178</v>
      </c>
      <c r="J117">
        <f t="shared" si="41"/>
        <v>63.2</v>
      </c>
      <c r="K117">
        <f t="shared" si="42"/>
        <v>67.3</v>
      </c>
      <c r="M117">
        <f t="shared" si="37"/>
        <v>4.0999999999999943</v>
      </c>
      <c r="N117">
        <f t="shared" si="38"/>
        <v>1.4666666666666666</v>
      </c>
      <c r="O117" s="314">
        <f t="shared" si="31"/>
        <v>92.693333333333328</v>
      </c>
      <c r="P117" s="314">
        <f t="shared" si="32"/>
        <v>98.706666666666649</v>
      </c>
      <c r="R117" s="139">
        <f t="shared" si="39"/>
        <v>210.75949367088609</v>
      </c>
      <c r="S117" s="139">
        <f t="shared" si="40"/>
        <v>197.91976225854387</v>
      </c>
      <c r="U117" s="361">
        <f t="shared" si="33"/>
        <v>116.35588552514611</v>
      </c>
      <c r="V117" s="361">
        <f t="shared" si="34"/>
        <v>109.26733975021151</v>
      </c>
      <c r="W117" s="361">
        <f t="shared" si="35"/>
        <v>30252.530236537987</v>
      </c>
      <c r="X117" s="361">
        <f t="shared" si="36"/>
        <v>28409.50833505499</v>
      </c>
      <c r="Z117" s="361">
        <f t="shared" si="23"/>
        <v>1843.0219014829963</v>
      </c>
    </row>
    <row r="118" spans="3:26" x14ac:dyDescent="0.3">
      <c r="C118" t="s">
        <v>206</v>
      </c>
      <c r="F118" s="3">
        <f>H15</f>
        <v>2105.9417435776845</v>
      </c>
      <c r="G118" s="290">
        <v>2015</v>
      </c>
      <c r="H118" t="s">
        <v>187</v>
      </c>
      <c r="I118" t="s">
        <v>179</v>
      </c>
      <c r="J118">
        <f>$K$164</f>
        <v>64.3</v>
      </c>
      <c r="K118">
        <f>$L$164</f>
        <v>69.2</v>
      </c>
      <c r="M118">
        <f t="shared" si="37"/>
        <v>4.9000000000000057</v>
      </c>
      <c r="N118">
        <f t="shared" si="38"/>
        <v>1.4666666666666666</v>
      </c>
      <c r="O118" s="314">
        <f t="shared" si="31"/>
        <v>94.306666666666658</v>
      </c>
      <c r="P118" s="314">
        <f t="shared" si="32"/>
        <v>101.49333333333333</v>
      </c>
      <c r="R118" s="139">
        <f t="shared" si="39"/>
        <v>207.15396578538105</v>
      </c>
      <c r="S118" s="139">
        <f t="shared" si="40"/>
        <v>192.48554913294799</v>
      </c>
      <c r="U118" s="361">
        <f t="shared" si="33"/>
        <v>121.18171774863815</v>
      </c>
      <c r="V118" s="361">
        <f t="shared" si="34"/>
        <v>112.60093137626349</v>
      </c>
      <c r="W118" s="361">
        <f t="shared" si="35"/>
        <v>31507.246614645919</v>
      </c>
      <c r="X118" s="361">
        <f t="shared" si="36"/>
        <v>29276.242157828507</v>
      </c>
      <c r="Z118" s="361">
        <f t="shared" si="23"/>
        <v>2231.0044568174126</v>
      </c>
    </row>
    <row r="119" spans="3:26" x14ac:dyDescent="0.3">
      <c r="C119" t="s">
        <v>206</v>
      </c>
      <c r="F119" s="3">
        <f>H16</f>
        <v>3035</v>
      </c>
      <c r="G119" s="290">
        <v>2015</v>
      </c>
      <c r="H119" t="s">
        <v>188</v>
      </c>
      <c r="I119" t="s">
        <v>179</v>
      </c>
      <c r="J119">
        <f>$K$164</f>
        <v>64.3</v>
      </c>
      <c r="K119">
        <f>$L$164</f>
        <v>69.2</v>
      </c>
      <c r="M119">
        <f t="shared" si="37"/>
        <v>4.9000000000000057</v>
      </c>
      <c r="N119">
        <f t="shared" si="38"/>
        <v>1.4666666666666666</v>
      </c>
      <c r="O119" s="314">
        <f t="shared" si="31"/>
        <v>94.306666666666658</v>
      </c>
      <c r="P119" s="314">
        <f t="shared" si="32"/>
        <v>101.49333333333333</v>
      </c>
      <c r="R119" s="139">
        <f t="shared" si="39"/>
        <v>207.15396578538105</v>
      </c>
      <c r="S119" s="139">
        <f t="shared" si="40"/>
        <v>192.48554913294799</v>
      </c>
      <c r="U119" s="361">
        <f t="shared" si="33"/>
        <v>174.64230171073095</v>
      </c>
      <c r="V119" s="361">
        <f t="shared" si="34"/>
        <v>162.27601156069366</v>
      </c>
      <c r="W119" s="361">
        <f t="shared" si="35"/>
        <v>45406.99844479005</v>
      </c>
      <c r="X119" s="361">
        <f t="shared" si="36"/>
        <v>42191.763005780354</v>
      </c>
      <c r="Z119" s="361">
        <f t="shared" si="23"/>
        <v>3215.2354390096953</v>
      </c>
    </row>
    <row r="120" spans="3:26" x14ac:dyDescent="0.3">
      <c r="C120" t="s">
        <v>206</v>
      </c>
      <c r="F120" s="3">
        <f>H24</f>
        <v>1120</v>
      </c>
      <c r="G120" s="290">
        <v>2015</v>
      </c>
      <c r="H120" t="s">
        <v>196</v>
      </c>
      <c r="I120" t="s">
        <v>179</v>
      </c>
      <c r="J120">
        <f>$M$164</f>
        <v>64.400000000000006</v>
      </c>
      <c r="K120">
        <f>$N$164</f>
        <v>68.900000000000006</v>
      </c>
      <c r="M120">
        <f t="shared" si="37"/>
        <v>4.5</v>
      </c>
      <c r="N120">
        <f t="shared" si="38"/>
        <v>1.4666666666666666</v>
      </c>
      <c r="O120" s="314">
        <f t="shared" si="31"/>
        <v>94.453333333333333</v>
      </c>
      <c r="P120" s="314">
        <f t="shared" si="32"/>
        <v>101.05333333333333</v>
      </c>
      <c r="R120" s="139">
        <f t="shared" si="39"/>
        <v>206.83229813664596</v>
      </c>
      <c r="S120" s="139">
        <f t="shared" si="40"/>
        <v>193.32365747460088</v>
      </c>
      <c r="U120" s="361">
        <f t="shared" si="33"/>
        <v>64.34782608695653</v>
      </c>
      <c r="V120" s="361">
        <f t="shared" si="34"/>
        <v>60.145137880986944</v>
      </c>
      <c r="W120" s="361">
        <f t="shared" si="35"/>
        <v>16730.4347826087</v>
      </c>
      <c r="X120" s="361">
        <f t="shared" si="36"/>
        <v>15637.735849056606</v>
      </c>
      <c r="Z120" s="361">
        <f t="shared" si="23"/>
        <v>1092.6989335520939</v>
      </c>
    </row>
    <row r="121" spans="3:26" x14ac:dyDescent="0.3">
      <c r="C121" t="s">
        <v>206</v>
      </c>
      <c r="F121" s="3">
        <f>H25</f>
        <v>1578.663805772735</v>
      </c>
      <c r="G121" s="290">
        <v>2015</v>
      </c>
      <c r="H121" t="s">
        <v>197</v>
      </c>
      <c r="I121" t="s">
        <v>179</v>
      </c>
      <c r="J121">
        <f t="shared" ref="J121:J122" si="43">$M$164</f>
        <v>64.400000000000006</v>
      </c>
      <c r="K121">
        <f t="shared" ref="K121:K122" si="44">$N$164</f>
        <v>68.900000000000006</v>
      </c>
      <c r="M121">
        <f t="shared" si="37"/>
        <v>4.5</v>
      </c>
      <c r="N121">
        <f t="shared" si="38"/>
        <v>1.4666666666666666</v>
      </c>
      <c r="O121" s="314">
        <f t="shared" si="31"/>
        <v>94.453333333333333</v>
      </c>
      <c r="P121" s="314">
        <f t="shared" si="32"/>
        <v>101.05333333333333</v>
      </c>
      <c r="R121" s="139">
        <f t="shared" si="39"/>
        <v>206.83229813664596</v>
      </c>
      <c r="S121" s="139">
        <f t="shared" si="40"/>
        <v>193.32365747460088</v>
      </c>
      <c r="U121" s="361">
        <f t="shared" si="33"/>
        <v>90.699628592532903</v>
      </c>
      <c r="V121" s="361">
        <f t="shared" si="34"/>
        <v>84.775850237432806</v>
      </c>
      <c r="W121" s="361">
        <f t="shared" si="35"/>
        <v>23581.903434058553</v>
      </c>
      <c r="X121" s="361">
        <f t="shared" si="36"/>
        <v>22041.721061732529</v>
      </c>
      <c r="Z121" s="361">
        <f t="shared" si="23"/>
        <v>1540.1823723260241</v>
      </c>
    </row>
    <row r="122" spans="3:26" x14ac:dyDescent="0.3">
      <c r="C122" t="s">
        <v>206</v>
      </c>
      <c r="F122" s="3">
        <f>H26</f>
        <v>1245.8130033507728</v>
      </c>
      <c r="G122" s="290">
        <v>2015</v>
      </c>
      <c r="H122" t="s">
        <v>198</v>
      </c>
      <c r="I122" t="s">
        <v>179</v>
      </c>
      <c r="J122">
        <f t="shared" si="43"/>
        <v>64.400000000000006</v>
      </c>
      <c r="K122">
        <f t="shared" si="44"/>
        <v>68.900000000000006</v>
      </c>
      <c r="M122">
        <f t="shared" si="37"/>
        <v>4.5</v>
      </c>
      <c r="N122">
        <f t="shared" si="38"/>
        <v>1.4666666666666666</v>
      </c>
      <c r="O122" s="314">
        <f t="shared" si="31"/>
        <v>94.453333333333333</v>
      </c>
      <c r="P122" s="314">
        <f t="shared" si="32"/>
        <v>101.05333333333333</v>
      </c>
      <c r="R122" s="139">
        <f t="shared" si="39"/>
        <v>206.83229813664596</v>
      </c>
      <c r="S122" s="139">
        <f t="shared" si="40"/>
        <v>193.32365747460088</v>
      </c>
      <c r="U122" s="361">
        <f t="shared" si="33"/>
        <v>71.5762129254326</v>
      </c>
      <c r="V122" s="361">
        <f t="shared" si="34"/>
        <v>66.901423982552387</v>
      </c>
      <c r="W122" s="361">
        <f t="shared" si="35"/>
        <v>18609.815360612476</v>
      </c>
      <c r="X122" s="361">
        <f t="shared" si="36"/>
        <v>17394.370235463619</v>
      </c>
      <c r="Z122" s="361">
        <f t="shared" si="23"/>
        <v>1215.4451251488572</v>
      </c>
    </row>
    <row r="123" spans="3:26" x14ac:dyDescent="0.3">
      <c r="F123" s="3"/>
      <c r="G123" s="335"/>
      <c r="O123" s="314"/>
      <c r="P123" s="314"/>
      <c r="R123" s="139"/>
      <c r="S123" s="139"/>
      <c r="U123" s="361"/>
      <c r="V123" s="7" t="s">
        <v>479</v>
      </c>
      <c r="W123" s="363">
        <f>SUM(W113:W122)</f>
        <v>280312.24331424315</v>
      </c>
      <c r="X123" s="363">
        <f>SUM(X113:X122)</f>
        <v>263027.09912725125</v>
      </c>
      <c r="Z123" s="361">
        <f>SUM(Z113:Z122)</f>
        <v>17285.1441869919</v>
      </c>
    </row>
    <row r="124" spans="3:26" x14ac:dyDescent="0.3">
      <c r="F124" s="3"/>
      <c r="G124" s="335"/>
      <c r="O124" s="314"/>
      <c r="P124" s="314"/>
      <c r="R124" s="139"/>
      <c r="S124" s="139"/>
      <c r="U124" s="361"/>
      <c r="V124" s="361"/>
      <c r="W124" s="361"/>
      <c r="X124" s="361"/>
      <c r="Z124" s="361"/>
    </row>
    <row r="125" spans="3:26" x14ac:dyDescent="0.3">
      <c r="C125" t="s">
        <v>206</v>
      </c>
      <c r="F125" s="3">
        <f>I15</f>
        <v>1461.9520340012143</v>
      </c>
      <c r="G125" s="290">
        <v>2045</v>
      </c>
      <c r="H125" t="s">
        <v>187</v>
      </c>
      <c r="I125" t="s">
        <v>178</v>
      </c>
      <c r="J125">
        <f>$G$164</f>
        <v>63.8</v>
      </c>
      <c r="K125">
        <f>$H$164</f>
        <v>66.7</v>
      </c>
      <c r="M125">
        <f t="shared" si="37"/>
        <v>2.9000000000000057</v>
      </c>
      <c r="N125">
        <f t="shared" si="38"/>
        <v>1.4666666666666666</v>
      </c>
      <c r="O125" s="314">
        <f t="shared" si="31"/>
        <v>93.573333333333323</v>
      </c>
      <c r="P125" s="314">
        <f t="shared" si="32"/>
        <v>97.826666666666668</v>
      </c>
      <c r="R125" s="139">
        <f t="shared" si="39"/>
        <v>208.77742946708466</v>
      </c>
      <c r="S125" s="139">
        <f t="shared" si="40"/>
        <v>199.70014992503746</v>
      </c>
      <c r="U125" s="361">
        <f t="shared" si="33"/>
        <v>84.784052128597068</v>
      </c>
      <c r="V125" s="361">
        <f t="shared" si="34"/>
        <v>81.097788992571097</v>
      </c>
      <c r="W125" s="361">
        <f t="shared" si="35"/>
        <v>22043.853553435238</v>
      </c>
      <c r="X125" s="361">
        <f t="shared" si="36"/>
        <v>21085.425138068484</v>
      </c>
      <c r="Z125" s="361">
        <f t="shared" si="23"/>
        <v>958.42841536675405</v>
      </c>
    </row>
    <row r="126" spans="3:26" x14ac:dyDescent="0.3">
      <c r="C126" t="s">
        <v>206</v>
      </c>
      <c r="F126" s="3">
        <f>I16</f>
        <v>1730</v>
      </c>
      <c r="G126" s="290">
        <v>2045</v>
      </c>
      <c r="H126" t="s">
        <v>188</v>
      </c>
      <c r="I126" t="s">
        <v>178</v>
      </c>
      <c r="J126">
        <f>$G$164</f>
        <v>63.8</v>
      </c>
      <c r="K126">
        <f>$H$164</f>
        <v>66.7</v>
      </c>
      <c r="M126">
        <f t="shared" si="37"/>
        <v>2.9000000000000057</v>
      </c>
      <c r="N126">
        <f t="shared" si="38"/>
        <v>1.4666666666666666</v>
      </c>
      <c r="O126" s="314">
        <f t="shared" si="31"/>
        <v>93.573333333333323</v>
      </c>
      <c r="P126" s="314">
        <f t="shared" si="32"/>
        <v>97.826666666666668</v>
      </c>
      <c r="R126" s="139">
        <f t="shared" si="39"/>
        <v>208.77742946708466</v>
      </c>
      <c r="S126" s="139">
        <f t="shared" si="40"/>
        <v>199.70014992503746</v>
      </c>
      <c r="U126" s="361">
        <f t="shared" si="33"/>
        <v>100.32915360501568</v>
      </c>
      <c r="V126" s="361">
        <f t="shared" si="34"/>
        <v>95.967016491754123</v>
      </c>
      <c r="W126" s="361">
        <f t="shared" si="35"/>
        <v>26085.579937304075</v>
      </c>
      <c r="X126" s="361">
        <f t="shared" si="36"/>
        <v>24951.424287856073</v>
      </c>
      <c r="Z126" s="361">
        <f t="shared" si="23"/>
        <v>1134.1556494480028</v>
      </c>
    </row>
    <row r="127" spans="3:26" x14ac:dyDescent="0.3">
      <c r="C127" t="s">
        <v>206</v>
      </c>
      <c r="F127" s="3">
        <f>I24</f>
        <v>4935</v>
      </c>
      <c r="G127" s="290">
        <v>2045</v>
      </c>
      <c r="H127" t="s">
        <v>196</v>
      </c>
      <c r="I127" t="s">
        <v>178</v>
      </c>
      <c r="J127">
        <f>$I$164</f>
        <v>59.5</v>
      </c>
      <c r="K127">
        <f>$J$164</f>
        <v>64.5</v>
      </c>
      <c r="M127">
        <f t="shared" si="37"/>
        <v>5</v>
      </c>
      <c r="N127">
        <f t="shared" si="38"/>
        <v>1.4666666666666666</v>
      </c>
      <c r="O127" s="314">
        <f t="shared" si="31"/>
        <v>87.266666666666666</v>
      </c>
      <c r="P127" s="314">
        <f t="shared" si="32"/>
        <v>94.6</v>
      </c>
      <c r="R127" s="139">
        <f t="shared" si="39"/>
        <v>223.8655462184874</v>
      </c>
      <c r="S127" s="139">
        <f t="shared" si="40"/>
        <v>206.51162790697677</v>
      </c>
      <c r="U127" s="361">
        <f t="shared" si="33"/>
        <v>306.88235294117646</v>
      </c>
      <c r="V127" s="361">
        <f t="shared" si="34"/>
        <v>283.09302325581399</v>
      </c>
      <c r="W127" s="361">
        <f t="shared" si="35"/>
        <v>79789.411764705874</v>
      </c>
      <c r="X127" s="361">
        <f t="shared" si="36"/>
        <v>73604.186046511633</v>
      </c>
      <c r="Z127" s="361">
        <f t="shared" si="23"/>
        <v>6185.2257181942405</v>
      </c>
    </row>
    <row r="128" spans="3:26" x14ac:dyDescent="0.3">
      <c r="C128" t="s">
        <v>206</v>
      </c>
      <c r="F128" s="3">
        <f>I25</f>
        <v>3499.3341428860554</v>
      </c>
      <c r="G128" s="290">
        <v>2045</v>
      </c>
      <c r="H128" t="s">
        <v>197</v>
      </c>
      <c r="I128" t="s">
        <v>178</v>
      </c>
      <c r="J128">
        <f t="shared" ref="J128:J129" si="45">$I$164</f>
        <v>59.5</v>
      </c>
      <c r="K128">
        <f t="shared" ref="K128:K129" si="46">$J$164</f>
        <v>64.5</v>
      </c>
      <c r="M128">
        <f t="shared" si="37"/>
        <v>5</v>
      </c>
      <c r="N128">
        <f t="shared" si="38"/>
        <v>1.4666666666666666</v>
      </c>
      <c r="O128" s="314">
        <f t="shared" si="31"/>
        <v>87.266666666666666</v>
      </c>
      <c r="P128" s="314">
        <f t="shared" si="32"/>
        <v>94.6</v>
      </c>
      <c r="R128" s="139">
        <f t="shared" si="39"/>
        <v>223.8655462184874</v>
      </c>
      <c r="S128" s="139">
        <f t="shared" si="40"/>
        <v>206.51162790697677</v>
      </c>
      <c r="U128" s="361">
        <f t="shared" si="33"/>
        <v>217.60565258283032</v>
      </c>
      <c r="V128" s="361">
        <f t="shared" si="34"/>
        <v>200.73699734385124</v>
      </c>
      <c r="W128" s="361">
        <f t="shared" si="35"/>
        <v>56577.46967153588</v>
      </c>
      <c r="X128" s="361">
        <f t="shared" si="36"/>
        <v>52191.619309401322</v>
      </c>
      <c r="Z128" s="361">
        <f t="shared" si="23"/>
        <v>4385.850362134559</v>
      </c>
    </row>
    <row r="129" spans="3:27" x14ac:dyDescent="0.3">
      <c r="C129" t="s">
        <v>206</v>
      </c>
      <c r="F129" s="3">
        <f>I26</f>
        <v>2956.2720097146325</v>
      </c>
      <c r="G129" s="290">
        <v>2045</v>
      </c>
      <c r="H129" t="s">
        <v>198</v>
      </c>
      <c r="I129" t="s">
        <v>178</v>
      </c>
      <c r="J129">
        <f t="shared" si="45"/>
        <v>59.5</v>
      </c>
      <c r="K129">
        <f t="shared" si="46"/>
        <v>64.5</v>
      </c>
      <c r="M129">
        <f t="shared" si="37"/>
        <v>5</v>
      </c>
      <c r="N129">
        <f t="shared" si="38"/>
        <v>1.4666666666666666</v>
      </c>
      <c r="O129" s="314">
        <f t="shared" si="31"/>
        <v>87.266666666666666</v>
      </c>
      <c r="P129" s="314">
        <f t="shared" si="32"/>
        <v>94.6</v>
      </c>
      <c r="R129" s="139">
        <f t="shared" si="39"/>
        <v>223.8655462184874</v>
      </c>
      <c r="S129" s="139">
        <f t="shared" si="40"/>
        <v>206.51162790697677</v>
      </c>
      <c r="U129" s="361">
        <f t="shared" si="33"/>
        <v>183.83540228477545</v>
      </c>
      <c r="V129" s="361">
        <f t="shared" si="34"/>
        <v>169.58459590611074</v>
      </c>
      <c r="W129" s="361">
        <f t="shared" si="35"/>
        <v>47797.204594041621</v>
      </c>
      <c r="X129" s="361">
        <f t="shared" si="36"/>
        <v>44091.994935588795</v>
      </c>
      <c r="Z129" s="361">
        <f t="shared" si="23"/>
        <v>3705.2096584528263</v>
      </c>
    </row>
    <row r="130" spans="3:27" x14ac:dyDescent="0.3">
      <c r="C130" t="s">
        <v>206</v>
      </c>
      <c r="F130" s="3">
        <f>J15</f>
        <v>3132.2588325201336</v>
      </c>
      <c r="G130" s="290">
        <v>2045</v>
      </c>
      <c r="H130" t="s">
        <v>187</v>
      </c>
      <c r="I130" t="s">
        <v>179</v>
      </c>
      <c r="J130">
        <f>$O$164</f>
        <v>28.9</v>
      </c>
      <c r="K130">
        <f>$P$164</f>
        <v>66.8</v>
      </c>
      <c r="M130">
        <f t="shared" si="37"/>
        <v>37.9</v>
      </c>
      <c r="N130">
        <f t="shared" si="38"/>
        <v>1.4666666666666666</v>
      </c>
      <c r="O130" s="314">
        <f t="shared" si="31"/>
        <v>42.386666666666663</v>
      </c>
      <c r="P130" s="314">
        <f t="shared" si="32"/>
        <v>97.973333333333329</v>
      </c>
      <c r="R130" s="139">
        <f t="shared" si="39"/>
        <v>460.89965397923879</v>
      </c>
      <c r="S130" s="139">
        <f t="shared" si="40"/>
        <v>199.40119760479044</v>
      </c>
      <c r="U130" s="361">
        <f t="shared" si="33"/>
        <v>401.01583668942891</v>
      </c>
      <c r="V130" s="361">
        <f t="shared" si="34"/>
        <v>173.49337844797148</v>
      </c>
      <c r="W130" s="361">
        <f t="shared" si="35"/>
        <v>104264.11753925151</v>
      </c>
      <c r="X130" s="361">
        <f t="shared" si="36"/>
        <v>45108.278396472582</v>
      </c>
      <c r="Z130" s="361">
        <f t="shared" si="23"/>
        <v>59155.839142778932</v>
      </c>
    </row>
    <row r="131" spans="3:27" x14ac:dyDescent="0.3">
      <c r="C131" t="s">
        <v>206</v>
      </c>
      <c r="F131" s="3">
        <f>J16</f>
        <v>4575</v>
      </c>
      <c r="G131" s="290">
        <v>2045</v>
      </c>
      <c r="H131" t="s">
        <v>188</v>
      </c>
      <c r="I131" t="s">
        <v>179</v>
      </c>
      <c r="J131">
        <f>$O$164</f>
        <v>28.9</v>
      </c>
      <c r="K131">
        <f>$P$164</f>
        <v>66.8</v>
      </c>
      <c r="M131">
        <f t="shared" si="37"/>
        <v>37.9</v>
      </c>
      <c r="N131">
        <f t="shared" si="38"/>
        <v>1.4666666666666666</v>
      </c>
      <c r="O131" s="314">
        <f t="shared" si="31"/>
        <v>42.386666666666663</v>
      </c>
      <c r="P131" s="314">
        <f t="shared" si="32"/>
        <v>97.973333333333329</v>
      </c>
      <c r="R131" s="139">
        <f t="shared" si="39"/>
        <v>460.89965397923879</v>
      </c>
      <c r="S131" s="139">
        <f t="shared" si="40"/>
        <v>199.40119760479044</v>
      </c>
      <c r="U131" s="361">
        <f t="shared" si="33"/>
        <v>585.72664359861596</v>
      </c>
      <c r="V131" s="361">
        <f t="shared" si="34"/>
        <v>253.40568862275452</v>
      </c>
      <c r="W131" s="361">
        <f t="shared" si="35"/>
        <v>152288.92733564015</v>
      </c>
      <c r="X131" s="361">
        <f t="shared" si="36"/>
        <v>65885.479041916173</v>
      </c>
      <c r="Z131" s="361">
        <f t="shared" si="23"/>
        <v>86403.448293723981</v>
      </c>
    </row>
    <row r="132" spans="3:27" x14ac:dyDescent="0.3">
      <c r="C132" t="s">
        <v>206</v>
      </c>
      <c r="F132" s="3">
        <f>J24</f>
        <v>2010</v>
      </c>
      <c r="G132" s="290">
        <v>2045</v>
      </c>
      <c r="H132" t="s">
        <v>196</v>
      </c>
      <c r="I132" t="s">
        <v>179</v>
      </c>
      <c r="J132">
        <f>$Q$164</f>
        <v>62.4</v>
      </c>
      <c r="K132">
        <f>$R$164</f>
        <v>68.8</v>
      </c>
      <c r="M132">
        <f t="shared" si="37"/>
        <v>6.3999999999999986</v>
      </c>
      <c r="N132">
        <f t="shared" si="38"/>
        <v>1.4666666666666666</v>
      </c>
      <c r="O132" s="314">
        <f t="shared" si="31"/>
        <v>91.52</v>
      </c>
      <c r="P132" s="314">
        <f t="shared" si="32"/>
        <v>100.90666666666665</v>
      </c>
      <c r="R132" s="139">
        <f t="shared" si="39"/>
        <v>213.46153846153848</v>
      </c>
      <c r="S132" s="139">
        <f t="shared" si="40"/>
        <v>193.60465116279073</v>
      </c>
      <c r="U132" s="361">
        <f t="shared" si="33"/>
        <v>119.18269230769232</v>
      </c>
      <c r="V132" s="361">
        <f t="shared" si="34"/>
        <v>108.09593023255815</v>
      </c>
      <c r="W132" s="361">
        <f t="shared" si="35"/>
        <v>30987.500000000004</v>
      </c>
      <c r="X132" s="361">
        <f t="shared" si="36"/>
        <v>28104.941860465118</v>
      </c>
      <c r="Z132" s="361">
        <f t="shared" si="23"/>
        <v>2882.5581395348854</v>
      </c>
    </row>
    <row r="133" spans="3:27" x14ac:dyDescent="0.3">
      <c r="C133" t="s">
        <v>206</v>
      </c>
      <c r="F133" s="3">
        <f>J25</f>
        <v>2348.0154017988361</v>
      </c>
      <c r="G133" s="290">
        <v>2045</v>
      </c>
      <c r="H133" t="s">
        <v>197</v>
      </c>
      <c r="I133" t="s">
        <v>179</v>
      </c>
      <c r="J133">
        <f t="shared" ref="J133:J134" si="47">$Q$164</f>
        <v>62.4</v>
      </c>
      <c r="K133">
        <f t="shared" ref="K133" si="48">$R$164</f>
        <v>68.8</v>
      </c>
      <c r="M133">
        <f t="shared" si="37"/>
        <v>6.3999999999999986</v>
      </c>
      <c r="N133">
        <f t="shared" si="38"/>
        <v>1.4666666666666666</v>
      </c>
      <c r="O133" s="314">
        <f t="shared" si="31"/>
        <v>91.52</v>
      </c>
      <c r="P133" s="314">
        <f t="shared" si="32"/>
        <v>100.90666666666665</v>
      </c>
      <c r="R133" s="139">
        <f t="shared" si="39"/>
        <v>213.46153846153848</v>
      </c>
      <c r="S133" s="139">
        <f t="shared" si="40"/>
        <v>193.60465116279073</v>
      </c>
      <c r="U133" s="361">
        <f t="shared" si="33"/>
        <v>139.22527222204639</v>
      </c>
      <c r="V133" s="361">
        <f t="shared" si="34"/>
        <v>126.27408410836766</v>
      </c>
      <c r="W133" s="361">
        <f t="shared" si="35"/>
        <v>36198.570777732057</v>
      </c>
      <c r="X133" s="361">
        <f t="shared" si="36"/>
        <v>32831.261868175592</v>
      </c>
      <c r="Z133" s="361">
        <f t="shared" si="23"/>
        <v>3367.3089095564646</v>
      </c>
    </row>
    <row r="134" spans="3:27" x14ac:dyDescent="0.3">
      <c r="C134" t="s">
        <v>206</v>
      </c>
      <c r="F134" s="3">
        <f>J26</f>
        <v>1852.951913467756</v>
      </c>
      <c r="G134" s="290">
        <v>2045</v>
      </c>
      <c r="H134" t="s">
        <v>198</v>
      </c>
      <c r="I134" t="s">
        <v>179</v>
      </c>
      <c r="J134">
        <f t="shared" si="47"/>
        <v>62.4</v>
      </c>
      <c r="K134">
        <f>$R$164</f>
        <v>68.8</v>
      </c>
      <c r="M134">
        <f t="shared" si="37"/>
        <v>6.3999999999999986</v>
      </c>
      <c r="N134">
        <f t="shared" si="38"/>
        <v>1.4666666666666666</v>
      </c>
      <c r="O134" s="314">
        <f t="shared" si="31"/>
        <v>91.52</v>
      </c>
      <c r="P134" s="314">
        <f t="shared" si="32"/>
        <v>100.90666666666665</v>
      </c>
      <c r="R134" s="139">
        <f t="shared" si="39"/>
        <v>213.46153846153848</v>
      </c>
      <c r="S134" s="139">
        <f t="shared" si="40"/>
        <v>193.60465116279073</v>
      </c>
      <c r="U134" s="361">
        <f t="shared" si="33"/>
        <v>109.87054615113297</v>
      </c>
      <c r="V134" s="361">
        <f t="shared" si="34"/>
        <v>99.650030230097357</v>
      </c>
      <c r="W134" s="361">
        <f t="shared" si="35"/>
        <v>28566.341999294571</v>
      </c>
      <c r="X134" s="361">
        <f t="shared" si="36"/>
        <v>25909.007859825313</v>
      </c>
      <c r="Z134" s="361">
        <f t="shared" si="23"/>
        <v>2657.3341394692579</v>
      </c>
    </row>
    <row r="135" spans="3:27" x14ac:dyDescent="0.3">
      <c r="F135" s="3"/>
      <c r="G135" s="335"/>
      <c r="O135" s="314"/>
      <c r="P135" s="314"/>
      <c r="R135" s="139"/>
      <c r="S135" s="139"/>
      <c r="U135" s="361"/>
      <c r="V135" s="7" t="s">
        <v>480</v>
      </c>
      <c r="W135" s="363">
        <f>SUM(W125:W134)</f>
        <v>584598.97717294109</v>
      </c>
      <c r="X135" s="363">
        <f>SUM(X125:X134)</f>
        <v>413763.61874428106</v>
      </c>
      <c r="Z135" s="361">
        <f>SUM(Z125:Z134)</f>
        <v>170835.35842865991</v>
      </c>
      <c r="AA135" s="361"/>
    </row>
    <row r="136" spans="3:27" x14ac:dyDescent="0.3">
      <c r="F136" s="3"/>
      <c r="G136" s="290"/>
      <c r="O136" s="314"/>
      <c r="P136" s="314"/>
      <c r="R136" s="139"/>
      <c r="S136" s="139"/>
      <c r="U136" s="361"/>
      <c r="V136" s="7" t="s">
        <v>229</v>
      </c>
      <c r="W136" s="364">
        <f>(W135/W123)^(1/(2045-2015))-1</f>
        <v>2.4803341485595487E-2</v>
      </c>
      <c r="X136" s="364">
        <f>(X135/X123)^(1/(2045-2015))-1</f>
        <v>1.5215859362581297E-2</v>
      </c>
      <c r="Z136" s="361"/>
    </row>
    <row r="137" spans="3:27" x14ac:dyDescent="0.3">
      <c r="F137" s="3"/>
      <c r="G137" s="290"/>
      <c r="O137" s="314"/>
      <c r="P137" s="314"/>
      <c r="R137" s="139"/>
      <c r="S137" s="139"/>
      <c r="U137" s="361"/>
      <c r="V137" s="361"/>
      <c r="W137" s="361"/>
      <c r="X137" s="361"/>
      <c r="Z137" s="361"/>
    </row>
    <row r="138" spans="3:27" x14ac:dyDescent="0.3">
      <c r="C138" t="s">
        <v>210</v>
      </c>
      <c r="F138" s="3">
        <f>K15</f>
        <v>848.21190042501519</v>
      </c>
      <c r="G138" s="290">
        <v>2015</v>
      </c>
      <c r="H138" t="s">
        <v>187</v>
      </c>
      <c r="I138" t="s">
        <v>178</v>
      </c>
      <c r="J138">
        <f>$C$164</f>
        <v>64.5</v>
      </c>
      <c r="K138">
        <f>$D$164</f>
        <v>66.8</v>
      </c>
      <c r="M138">
        <f>K138-J138</f>
        <v>2.2999999999999972</v>
      </c>
      <c r="N138">
        <f>5280/3600</f>
        <v>1.4666666666666666</v>
      </c>
      <c r="O138" s="314">
        <f>J138*N138</f>
        <v>94.6</v>
      </c>
      <c r="P138" s="314">
        <f t="shared" ref="P138" si="49">K138*N138</f>
        <v>97.973333333333329</v>
      </c>
      <c r="R138" s="139">
        <f>$F$81/O138</f>
        <v>100.46511627906978</v>
      </c>
      <c r="S138" s="139">
        <f>$F$81/P138</f>
        <v>97.005988023952099</v>
      </c>
      <c r="U138" s="361">
        <f t="shared" ref="U138:U159" si="50">(R138*F138)/seconds_in_hour</f>
        <v>23.671029779302749</v>
      </c>
      <c r="V138" s="361">
        <f t="shared" ref="V138:V159" si="51">(S138*F138)/seconds_in_hour</f>
        <v>22.856009292889631</v>
      </c>
      <c r="W138" s="361">
        <f t="shared" ref="W138:W159" si="52">U138*Annual_Number_Weekdays</f>
        <v>6154.4677426187145</v>
      </c>
      <c r="X138" s="361">
        <f t="shared" ref="X138:X159" si="53">V138*Annual_Number_Weekdays</f>
        <v>5942.5624161513042</v>
      </c>
      <c r="Z138" s="361">
        <f t="shared" ref="Z138:Z159" si="54">W138-X138</f>
        <v>211.9053264674103</v>
      </c>
    </row>
    <row r="139" spans="3:27" x14ac:dyDescent="0.3">
      <c r="C139" t="s">
        <v>210</v>
      </c>
      <c r="F139" s="3">
        <f>K16</f>
        <v>935</v>
      </c>
      <c r="G139" s="290">
        <v>2015</v>
      </c>
      <c r="H139" t="s">
        <v>188</v>
      </c>
      <c r="I139" t="s">
        <v>178</v>
      </c>
      <c r="J139">
        <f>$C$164</f>
        <v>64.5</v>
      </c>
      <c r="K139">
        <f>$D$164</f>
        <v>66.8</v>
      </c>
      <c r="M139">
        <f t="shared" ref="M139:M159" si="55">K139-J139</f>
        <v>2.2999999999999972</v>
      </c>
      <c r="N139">
        <f t="shared" ref="N139:N159" si="56">5280/3600</f>
        <v>1.4666666666666666</v>
      </c>
      <c r="O139" s="314">
        <f t="shared" ref="O139:O159" si="57">J139*N139</f>
        <v>94.6</v>
      </c>
      <c r="P139" s="314">
        <f t="shared" ref="P139:P159" si="58">K139*N139</f>
        <v>97.973333333333329</v>
      </c>
      <c r="R139" s="139">
        <f t="shared" ref="R139:R159" si="59">$F$81/O139</f>
        <v>100.46511627906978</v>
      </c>
      <c r="S139" s="139">
        <f t="shared" ref="S139:S159" si="60">$F$81/P139</f>
        <v>97.005988023952099</v>
      </c>
      <c r="U139" s="361">
        <f t="shared" si="50"/>
        <v>26.093023255813957</v>
      </c>
      <c r="V139" s="361">
        <f t="shared" si="51"/>
        <v>25.194610778443113</v>
      </c>
      <c r="W139" s="361">
        <f t="shared" si="52"/>
        <v>6784.1860465116288</v>
      </c>
      <c r="X139" s="361">
        <f t="shared" si="53"/>
        <v>6550.5988023952095</v>
      </c>
      <c r="Z139" s="361">
        <f t="shared" si="54"/>
        <v>233.58724411641924</v>
      </c>
    </row>
    <row r="140" spans="3:27" x14ac:dyDescent="0.3">
      <c r="C140" t="s">
        <v>210</v>
      </c>
      <c r="F140" s="3">
        <f>K24</f>
        <v>2580</v>
      </c>
      <c r="G140" s="290">
        <v>2015</v>
      </c>
      <c r="H140" t="s">
        <v>196</v>
      </c>
      <c r="I140" t="s">
        <v>178</v>
      </c>
      <c r="J140">
        <f>$E$164</f>
        <v>63.2</v>
      </c>
      <c r="K140">
        <f>$F$164</f>
        <v>67.3</v>
      </c>
      <c r="M140">
        <f t="shared" si="55"/>
        <v>4.0999999999999943</v>
      </c>
      <c r="N140">
        <f t="shared" si="56"/>
        <v>1.4666666666666666</v>
      </c>
      <c r="O140" s="314">
        <f t="shared" si="57"/>
        <v>92.693333333333328</v>
      </c>
      <c r="P140" s="314">
        <f t="shared" si="58"/>
        <v>98.706666666666649</v>
      </c>
      <c r="R140" s="139">
        <f t="shared" si="59"/>
        <v>102.53164556962025</v>
      </c>
      <c r="S140" s="139">
        <f t="shared" si="60"/>
        <v>96.285289747399716</v>
      </c>
      <c r="U140" s="361">
        <f t="shared" si="50"/>
        <v>73.48101265822784</v>
      </c>
      <c r="V140" s="361">
        <f t="shared" si="51"/>
        <v>69.004457652303131</v>
      </c>
      <c r="W140" s="361">
        <f t="shared" si="52"/>
        <v>19105.063291139239</v>
      </c>
      <c r="X140" s="361">
        <f t="shared" si="53"/>
        <v>17941.158989598815</v>
      </c>
      <c r="Z140" s="361">
        <f t="shared" si="54"/>
        <v>1163.9043015404241</v>
      </c>
    </row>
    <row r="141" spans="3:27" x14ac:dyDescent="0.3">
      <c r="C141" t="s">
        <v>210</v>
      </c>
      <c r="F141" s="3">
        <f>K25</f>
        <v>2030.283343452742</v>
      </c>
      <c r="G141" s="290">
        <v>2015</v>
      </c>
      <c r="H141" t="s">
        <v>197</v>
      </c>
      <c r="I141" t="s">
        <v>178</v>
      </c>
      <c r="J141">
        <f t="shared" ref="J141:J142" si="61">$E$164</f>
        <v>63.2</v>
      </c>
      <c r="K141">
        <f t="shared" ref="K141:K142" si="62">$F$164</f>
        <v>67.3</v>
      </c>
      <c r="M141">
        <f t="shared" si="55"/>
        <v>4.0999999999999943</v>
      </c>
      <c r="N141">
        <f t="shared" si="56"/>
        <v>1.4666666666666666</v>
      </c>
      <c r="O141" s="314">
        <f t="shared" si="57"/>
        <v>92.693333333333328</v>
      </c>
      <c r="P141" s="314">
        <f t="shared" si="58"/>
        <v>98.706666666666649</v>
      </c>
      <c r="R141" s="139">
        <f t="shared" si="59"/>
        <v>102.53164556962025</v>
      </c>
      <c r="S141" s="139">
        <f t="shared" si="60"/>
        <v>96.285289747399716</v>
      </c>
      <c r="U141" s="361">
        <f t="shared" si="50"/>
        <v>57.824525604666697</v>
      </c>
      <c r="V141" s="361">
        <f t="shared" si="51"/>
        <v>54.301783331574086</v>
      </c>
      <c r="W141" s="361">
        <f t="shared" si="52"/>
        <v>15034.376657213341</v>
      </c>
      <c r="X141" s="361">
        <f t="shared" si="53"/>
        <v>14118.463666209262</v>
      </c>
      <c r="Z141" s="361">
        <f t="shared" si="54"/>
        <v>915.91299100407923</v>
      </c>
    </row>
    <row r="142" spans="3:27" x14ac:dyDescent="0.3">
      <c r="C142" t="s">
        <v>210</v>
      </c>
      <c r="F142" s="3">
        <f>K26</f>
        <v>1715.2034001214327</v>
      </c>
      <c r="G142" s="290">
        <v>2015</v>
      </c>
      <c r="H142" t="s">
        <v>198</v>
      </c>
      <c r="I142" t="s">
        <v>178</v>
      </c>
      <c r="J142">
        <f t="shared" si="61"/>
        <v>63.2</v>
      </c>
      <c r="K142">
        <f t="shared" si="62"/>
        <v>67.3</v>
      </c>
      <c r="M142">
        <f t="shared" si="55"/>
        <v>4.0999999999999943</v>
      </c>
      <c r="N142">
        <f t="shared" si="56"/>
        <v>1.4666666666666666</v>
      </c>
      <c r="O142" s="314">
        <f t="shared" si="57"/>
        <v>92.693333333333328</v>
      </c>
      <c r="P142" s="314">
        <f t="shared" si="58"/>
        <v>98.706666666666649</v>
      </c>
      <c r="R142" s="139">
        <f t="shared" si="59"/>
        <v>102.53164556962025</v>
      </c>
      <c r="S142" s="139">
        <f t="shared" si="60"/>
        <v>96.285289747399716</v>
      </c>
      <c r="U142" s="361">
        <f t="shared" si="50"/>
        <v>48.850729750293965</v>
      </c>
      <c r="V142" s="361">
        <f t="shared" si="51"/>
        <v>45.874682321227034</v>
      </c>
      <c r="W142" s="361">
        <f t="shared" si="52"/>
        <v>12701.18973507643</v>
      </c>
      <c r="X142" s="361">
        <f t="shared" si="53"/>
        <v>11927.417403519028</v>
      </c>
      <c r="Z142" s="361">
        <f t="shared" si="54"/>
        <v>773.77233155740214</v>
      </c>
    </row>
    <row r="143" spans="3:27" x14ac:dyDescent="0.3">
      <c r="C143" t="s">
        <v>210</v>
      </c>
      <c r="F143" s="3">
        <f>L15</f>
        <v>1825.9305743342541</v>
      </c>
      <c r="G143" s="290">
        <v>2015</v>
      </c>
      <c r="H143" t="s">
        <v>187</v>
      </c>
      <c r="I143" t="s">
        <v>179</v>
      </c>
      <c r="J143">
        <f>$K$164</f>
        <v>64.3</v>
      </c>
      <c r="K143">
        <f>$L$164</f>
        <v>69.2</v>
      </c>
      <c r="M143">
        <f t="shared" si="55"/>
        <v>4.9000000000000057</v>
      </c>
      <c r="N143">
        <f t="shared" si="56"/>
        <v>1.4666666666666666</v>
      </c>
      <c r="O143" s="314">
        <f t="shared" si="57"/>
        <v>94.306666666666658</v>
      </c>
      <c r="P143" s="314">
        <f t="shared" si="58"/>
        <v>101.49333333333333</v>
      </c>
      <c r="R143" s="139">
        <f t="shared" si="59"/>
        <v>100.77760497667187</v>
      </c>
      <c r="S143" s="139">
        <f t="shared" si="60"/>
        <v>93.641618497109832</v>
      </c>
      <c r="U143" s="361">
        <f t="shared" si="50"/>
        <v>51.114697259745846</v>
      </c>
      <c r="V143" s="361">
        <f t="shared" si="51"/>
        <v>47.49530395667135</v>
      </c>
      <c r="W143" s="361">
        <f t="shared" si="52"/>
        <v>13289.82128753392</v>
      </c>
      <c r="X143" s="361">
        <f t="shared" si="53"/>
        <v>12348.779028734551</v>
      </c>
      <c r="Z143" s="361">
        <f t="shared" si="54"/>
        <v>941.04225879936894</v>
      </c>
    </row>
    <row r="144" spans="3:27" x14ac:dyDescent="0.3">
      <c r="C144" t="s">
        <v>210</v>
      </c>
      <c r="F144" s="3">
        <f>L16</f>
        <v>2410</v>
      </c>
      <c r="G144" s="290">
        <v>2015</v>
      </c>
      <c r="H144" t="s">
        <v>188</v>
      </c>
      <c r="I144" t="s">
        <v>179</v>
      </c>
      <c r="J144">
        <f>$K$164</f>
        <v>64.3</v>
      </c>
      <c r="K144">
        <f>$L$164</f>
        <v>69.2</v>
      </c>
      <c r="M144">
        <f t="shared" si="55"/>
        <v>4.9000000000000057</v>
      </c>
      <c r="N144">
        <f t="shared" si="56"/>
        <v>1.4666666666666666</v>
      </c>
      <c r="O144" s="314">
        <f t="shared" si="57"/>
        <v>94.306666666666658</v>
      </c>
      <c r="P144" s="314">
        <f t="shared" si="58"/>
        <v>101.49333333333333</v>
      </c>
      <c r="R144" s="139">
        <f t="shared" si="59"/>
        <v>100.77760497667187</v>
      </c>
      <c r="S144" s="139">
        <f t="shared" si="60"/>
        <v>93.641618497109832</v>
      </c>
      <c r="U144" s="361">
        <f t="shared" si="50"/>
        <v>67.465007776049774</v>
      </c>
      <c r="V144" s="361">
        <f t="shared" si="51"/>
        <v>62.687861271676304</v>
      </c>
      <c r="W144" s="361">
        <f t="shared" si="52"/>
        <v>17540.902021772941</v>
      </c>
      <c r="X144" s="361">
        <f t="shared" si="53"/>
        <v>16298.84393063584</v>
      </c>
      <c r="Z144" s="361">
        <f t="shared" si="54"/>
        <v>1242.0580911371017</v>
      </c>
    </row>
    <row r="145" spans="3:26" x14ac:dyDescent="0.3">
      <c r="C145" t="s">
        <v>210</v>
      </c>
      <c r="F145" s="3">
        <f>L24</f>
        <v>985</v>
      </c>
      <c r="G145" s="290">
        <v>2015</v>
      </c>
      <c r="H145" t="s">
        <v>196</v>
      </c>
      <c r="I145" t="s">
        <v>179</v>
      </c>
      <c r="J145">
        <f>$M$164</f>
        <v>64.400000000000006</v>
      </c>
      <c r="K145">
        <f>$N$164</f>
        <v>68.900000000000006</v>
      </c>
      <c r="M145">
        <f t="shared" si="55"/>
        <v>4.5</v>
      </c>
      <c r="N145">
        <f t="shared" si="56"/>
        <v>1.4666666666666666</v>
      </c>
      <c r="O145" s="314">
        <f t="shared" si="57"/>
        <v>94.453333333333333</v>
      </c>
      <c r="P145" s="314">
        <f t="shared" si="58"/>
        <v>101.05333333333333</v>
      </c>
      <c r="R145" s="139">
        <f t="shared" si="59"/>
        <v>100.62111801242236</v>
      </c>
      <c r="S145" s="139">
        <f t="shared" si="60"/>
        <v>94.049346879535562</v>
      </c>
      <c r="U145" s="361">
        <f t="shared" si="50"/>
        <v>27.531055900621116</v>
      </c>
      <c r="V145" s="361">
        <f t="shared" si="51"/>
        <v>25.732946298984036</v>
      </c>
      <c r="W145" s="361">
        <f t="shared" si="52"/>
        <v>7158.0745341614902</v>
      </c>
      <c r="X145" s="361">
        <f t="shared" si="53"/>
        <v>6690.566037735849</v>
      </c>
      <c r="Z145" s="361">
        <f>W145-X145</f>
        <v>467.50849642564117</v>
      </c>
    </row>
    <row r="146" spans="3:26" x14ac:dyDescent="0.3">
      <c r="C146" t="s">
        <v>210</v>
      </c>
      <c r="F146" s="3">
        <f>L25</f>
        <v>1368.7608018341075</v>
      </c>
      <c r="G146" s="290">
        <v>2015</v>
      </c>
      <c r="H146" t="s">
        <v>197</v>
      </c>
      <c r="I146" t="s">
        <v>179</v>
      </c>
      <c r="J146">
        <f t="shared" ref="J146:J147" si="63">$M$164</f>
        <v>64.400000000000006</v>
      </c>
      <c r="K146">
        <f t="shared" ref="K146:K147" si="64">$N$164</f>
        <v>68.900000000000006</v>
      </c>
      <c r="M146">
        <f t="shared" si="55"/>
        <v>4.5</v>
      </c>
      <c r="N146">
        <f t="shared" si="56"/>
        <v>1.4666666666666666</v>
      </c>
      <c r="O146" s="314">
        <f t="shared" si="57"/>
        <v>94.453333333333333</v>
      </c>
      <c r="P146" s="314">
        <f t="shared" si="58"/>
        <v>101.05333333333333</v>
      </c>
      <c r="R146" s="139">
        <f t="shared" si="59"/>
        <v>100.62111801242236</v>
      </c>
      <c r="S146" s="139">
        <f t="shared" si="60"/>
        <v>94.049346879535562</v>
      </c>
      <c r="U146" s="361">
        <f t="shared" si="50"/>
        <v>38.257289492257662</v>
      </c>
      <c r="V146" s="361">
        <f t="shared" si="51"/>
        <v>35.75862762411311</v>
      </c>
      <c r="W146" s="361">
        <f t="shared" si="52"/>
        <v>9946.8952679869926</v>
      </c>
      <c r="X146" s="361">
        <f t="shared" si="53"/>
        <v>9297.2431822694089</v>
      </c>
      <c r="Z146" s="361">
        <f t="shared" si="54"/>
        <v>649.65208571758376</v>
      </c>
    </row>
    <row r="147" spans="3:26" x14ac:dyDescent="0.3">
      <c r="C147" t="s">
        <v>210</v>
      </c>
      <c r="F147" s="3">
        <f>L26</f>
        <v>1080.1666568690846</v>
      </c>
      <c r="G147" s="290">
        <v>2015</v>
      </c>
      <c r="H147" t="s">
        <v>198</v>
      </c>
      <c r="I147" t="s">
        <v>179</v>
      </c>
      <c r="J147">
        <f t="shared" si="63"/>
        <v>64.400000000000006</v>
      </c>
      <c r="K147">
        <f t="shared" si="64"/>
        <v>68.900000000000006</v>
      </c>
      <c r="M147">
        <f t="shared" si="55"/>
        <v>4.5</v>
      </c>
      <c r="N147">
        <f t="shared" si="56"/>
        <v>1.4666666666666666</v>
      </c>
      <c r="O147" s="314">
        <f t="shared" si="57"/>
        <v>94.453333333333333</v>
      </c>
      <c r="P147" s="314">
        <f t="shared" si="58"/>
        <v>101.05333333333333</v>
      </c>
      <c r="R147" s="139">
        <f t="shared" si="59"/>
        <v>100.62111801242236</v>
      </c>
      <c r="S147" s="139">
        <f t="shared" si="60"/>
        <v>94.049346879535562</v>
      </c>
      <c r="U147" s="361">
        <f t="shared" si="50"/>
        <v>30.190993514974416</v>
      </c>
      <c r="V147" s="361">
        <f t="shared" si="51"/>
        <v>28.21915794433022</v>
      </c>
      <c r="W147" s="361">
        <f t="shared" si="52"/>
        <v>7849.6583138933483</v>
      </c>
      <c r="X147" s="361">
        <f t="shared" si="53"/>
        <v>7336.981065525857</v>
      </c>
      <c r="Z147" s="361">
        <f t="shared" si="54"/>
        <v>512.6772483674913</v>
      </c>
    </row>
    <row r="148" spans="3:26" x14ac:dyDescent="0.3">
      <c r="F148" s="3"/>
      <c r="G148" s="335"/>
      <c r="O148" s="314"/>
      <c r="P148" s="314"/>
      <c r="R148" s="139"/>
      <c r="S148" s="139"/>
      <c r="U148" s="361"/>
      <c r="V148" s="7" t="s">
        <v>479</v>
      </c>
      <c r="W148" s="363">
        <f>SUM(W138:W147)</f>
        <v>115564.63489790806</v>
      </c>
      <c r="X148" s="363">
        <f>SUM(X138:X147)</f>
        <v>108452.61452277511</v>
      </c>
      <c r="Z148" s="361"/>
    </row>
    <row r="149" spans="3:26" x14ac:dyDescent="0.3">
      <c r="F149" s="3"/>
      <c r="G149" s="335"/>
      <c r="O149" s="314"/>
      <c r="P149" s="314"/>
      <c r="R149" s="139"/>
      <c r="S149" s="139"/>
      <c r="U149" s="361"/>
      <c r="V149" s="361"/>
      <c r="W149" s="361"/>
      <c r="X149" s="361"/>
      <c r="Z149" s="361"/>
    </row>
    <row r="150" spans="3:26" x14ac:dyDescent="0.3">
      <c r="C150" t="s">
        <v>210</v>
      </c>
      <c r="F150" s="3">
        <f>M15</f>
        <v>1245.3056061526006</v>
      </c>
      <c r="G150" s="290">
        <v>2045</v>
      </c>
      <c r="H150" t="s">
        <v>187</v>
      </c>
      <c r="I150" t="s">
        <v>178</v>
      </c>
      <c r="J150">
        <f>$G$164</f>
        <v>63.8</v>
      </c>
      <c r="K150">
        <f>$H$164</f>
        <v>66.7</v>
      </c>
      <c r="M150">
        <f t="shared" si="55"/>
        <v>2.9000000000000057</v>
      </c>
      <c r="N150">
        <f t="shared" si="56"/>
        <v>1.4666666666666666</v>
      </c>
      <c r="O150" s="314">
        <f t="shared" si="57"/>
        <v>93.573333333333323</v>
      </c>
      <c r="P150" s="314">
        <f t="shared" si="58"/>
        <v>97.826666666666668</v>
      </c>
      <c r="R150" s="139">
        <f t="shared" si="59"/>
        <v>101.56739811912227</v>
      </c>
      <c r="S150" s="139">
        <f t="shared" si="60"/>
        <v>97.151424287856074</v>
      </c>
      <c r="U150" s="361">
        <f t="shared" si="50"/>
        <v>35.134013966687796</v>
      </c>
      <c r="V150" s="361">
        <f t="shared" si="51"/>
        <v>33.606448142049196</v>
      </c>
      <c r="W150" s="361">
        <f t="shared" si="52"/>
        <v>9134.8436313388265</v>
      </c>
      <c r="X150" s="361">
        <f t="shared" si="53"/>
        <v>8737.67651693279</v>
      </c>
      <c r="Z150" s="361">
        <f t="shared" si="54"/>
        <v>397.16711440603649</v>
      </c>
    </row>
    <row r="151" spans="3:26" x14ac:dyDescent="0.3">
      <c r="C151" t="s">
        <v>210</v>
      </c>
      <c r="F151" s="3">
        <f>M16</f>
        <v>1510</v>
      </c>
      <c r="G151" s="290">
        <v>2045</v>
      </c>
      <c r="H151" t="s">
        <v>188</v>
      </c>
      <c r="I151" t="s">
        <v>178</v>
      </c>
      <c r="J151">
        <f>$G$164</f>
        <v>63.8</v>
      </c>
      <c r="K151">
        <f>$H$164</f>
        <v>66.7</v>
      </c>
      <c r="M151">
        <f t="shared" si="55"/>
        <v>2.9000000000000057</v>
      </c>
      <c r="N151">
        <f t="shared" si="56"/>
        <v>1.4666666666666666</v>
      </c>
      <c r="O151" s="314">
        <f t="shared" si="57"/>
        <v>93.573333333333323</v>
      </c>
      <c r="P151" s="314">
        <f t="shared" si="58"/>
        <v>97.826666666666668</v>
      </c>
      <c r="R151" s="139">
        <f t="shared" si="59"/>
        <v>101.56739811912227</v>
      </c>
      <c r="S151" s="139">
        <f t="shared" si="60"/>
        <v>97.151424287856074</v>
      </c>
      <c r="U151" s="361">
        <f t="shared" si="50"/>
        <v>42.60188087774295</v>
      </c>
      <c r="V151" s="361">
        <f t="shared" si="51"/>
        <v>40.749625187406295</v>
      </c>
      <c r="W151" s="361">
        <f t="shared" si="52"/>
        <v>11076.489028213167</v>
      </c>
      <c r="X151" s="361">
        <f t="shared" si="53"/>
        <v>10594.902548725637</v>
      </c>
      <c r="Z151" s="361">
        <f t="shared" si="54"/>
        <v>481.5864794875306</v>
      </c>
    </row>
    <row r="152" spans="3:26" x14ac:dyDescent="0.3">
      <c r="C152" t="s">
        <v>210</v>
      </c>
      <c r="F152" s="3">
        <f>M24</f>
        <v>4025</v>
      </c>
      <c r="G152" s="290">
        <v>2045</v>
      </c>
      <c r="H152" t="s">
        <v>196</v>
      </c>
      <c r="I152" t="s">
        <v>178</v>
      </c>
      <c r="J152">
        <f>$I$164</f>
        <v>59.5</v>
      </c>
      <c r="K152">
        <f>$J$164</f>
        <v>64.5</v>
      </c>
      <c r="M152">
        <f t="shared" si="55"/>
        <v>5</v>
      </c>
      <c r="N152">
        <f t="shared" si="56"/>
        <v>1.4666666666666666</v>
      </c>
      <c r="O152" s="314">
        <f t="shared" si="57"/>
        <v>87.266666666666666</v>
      </c>
      <c r="P152" s="314">
        <f t="shared" si="58"/>
        <v>94.6</v>
      </c>
      <c r="R152" s="139">
        <f t="shared" si="59"/>
        <v>108.90756302521008</v>
      </c>
      <c r="S152" s="139">
        <f t="shared" si="60"/>
        <v>100.46511627906978</v>
      </c>
      <c r="U152" s="361">
        <f t="shared" si="50"/>
        <v>121.76470588235294</v>
      </c>
      <c r="V152" s="361">
        <f t="shared" si="51"/>
        <v>112.32558139534885</v>
      </c>
      <c r="W152" s="361">
        <f t="shared" si="52"/>
        <v>31658.823529411766</v>
      </c>
      <c r="X152" s="361">
        <f t="shared" si="53"/>
        <v>29204.651162790702</v>
      </c>
      <c r="Z152" s="361">
        <f t="shared" si="54"/>
        <v>2454.1723666210637</v>
      </c>
    </row>
    <row r="153" spans="3:26" x14ac:dyDescent="0.3">
      <c r="C153" t="s">
        <v>210</v>
      </c>
      <c r="F153" s="3">
        <f>M25</f>
        <v>2980.7684004587459</v>
      </c>
      <c r="G153" s="290">
        <v>2045</v>
      </c>
      <c r="H153" t="s">
        <v>197</v>
      </c>
      <c r="I153" t="s">
        <v>178</v>
      </c>
      <c r="J153">
        <f t="shared" ref="J153:J154" si="65">$I$164</f>
        <v>59.5</v>
      </c>
      <c r="K153">
        <f t="shared" ref="K153:K154" si="66">$J$164</f>
        <v>64.5</v>
      </c>
      <c r="M153">
        <f t="shared" si="55"/>
        <v>5</v>
      </c>
      <c r="N153">
        <f t="shared" si="56"/>
        <v>1.4666666666666666</v>
      </c>
      <c r="O153" s="314">
        <f t="shared" si="57"/>
        <v>87.266666666666666</v>
      </c>
      <c r="P153" s="314">
        <f t="shared" si="58"/>
        <v>94.6</v>
      </c>
      <c r="R153" s="139">
        <f t="shared" si="59"/>
        <v>108.90756302521008</v>
      </c>
      <c r="S153" s="139">
        <f t="shared" si="60"/>
        <v>100.46511627906978</v>
      </c>
      <c r="U153" s="361">
        <f t="shared" si="50"/>
        <v>90.174506232365417</v>
      </c>
      <c r="V153" s="361">
        <f t="shared" si="51"/>
        <v>83.184234431406864</v>
      </c>
      <c r="W153" s="361">
        <f t="shared" si="52"/>
        <v>23445.371620415008</v>
      </c>
      <c r="X153" s="361">
        <f t="shared" si="53"/>
        <v>21627.900952165786</v>
      </c>
      <c r="Z153" s="361">
        <f t="shared" si="54"/>
        <v>1817.4706682492215</v>
      </c>
    </row>
    <row r="154" spans="3:26" x14ac:dyDescent="0.3">
      <c r="C154" t="s">
        <v>210</v>
      </c>
      <c r="F154" s="3">
        <f>M26</f>
        <v>2518.182554138838</v>
      </c>
      <c r="G154" s="290">
        <v>2045</v>
      </c>
      <c r="H154" t="s">
        <v>198</v>
      </c>
      <c r="I154" t="s">
        <v>178</v>
      </c>
      <c r="J154">
        <f t="shared" si="65"/>
        <v>59.5</v>
      </c>
      <c r="K154">
        <f t="shared" si="66"/>
        <v>64.5</v>
      </c>
      <c r="M154">
        <f t="shared" si="55"/>
        <v>5</v>
      </c>
      <c r="N154">
        <f t="shared" si="56"/>
        <v>1.4666666666666666</v>
      </c>
      <c r="O154" s="314">
        <f t="shared" si="57"/>
        <v>87.266666666666666</v>
      </c>
      <c r="P154" s="314">
        <f t="shared" si="58"/>
        <v>94.6</v>
      </c>
      <c r="R154" s="139">
        <f t="shared" si="59"/>
        <v>108.90756302521008</v>
      </c>
      <c r="S154" s="139">
        <f t="shared" si="60"/>
        <v>100.46511627906978</v>
      </c>
      <c r="U154" s="361">
        <f t="shared" si="50"/>
        <v>76.180312562183332</v>
      </c>
      <c r="V154" s="361">
        <f t="shared" si="51"/>
        <v>70.274861975967582</v>
      </c>
      <c r="W154" s="361">
        <f t="shared" si="52"/>
        <v>19806.881266167667</v>
      </c>
      <c r="X154" s="361">
        <f t="shared" si="53"/>
        <v>18271.464113751572</v>
      </c>
      <c r="Z154" s="361">
        <f t="shared" si="54"/>
        <v>1535.4171524160956</v>
      </c>
    </row>
    <row r="155" spans="3:26" x14ac:dyDescent="0.3">
      <c r="C155" t="s">
        <v>210</v>
      </c>
      <c r="F155" s="3">
        <f>N15</f>
        <v>2680.6090176944326</v>
      </c>
      <c r="G155" s="290">
        <v>2045</v>
      </c>
      <c r="H155" t="s">
        <v>187</v>
      </c>
      <c r="I155" t="s">
        <v>179</v>
      </c>
      <c r="J155">
        <f>$O$164</f>
        <v>28.9</v>
      </c>
      <c r="K155">
        <f>$P$164</f>
        <v>66.8</v>
      </c>
      <c r="M155">
        <f t="shared" si="55"/>
        <v>37.9</v>
      </c>
      <c r="N155">
        <f t="shared" si="56"/>
        <v>1.4666666666666666</v>
      </c>
      <c r="O155" s="314">
        <f t="shared" si="57"/>
        <v>42.386666666666663</v>
      </c>
      <c r="P155" s="314">
        <f t="shared" si="58"/>
        <v>97.973333333333329</v>
      </c>
      <c r="R155" s="139">
        <f t="shared" si="59"/>
        <v>224.22145328719725</v>
      </c>
      <c r="S155" s="139">
        <f t="shared" si="60"/>
        <v>97.005988023952099</v>
      </c>
      <c r="U155" s="361">
        <f t="shared" si="50"/>
        <v>166.95834712283664</v>
      </c>
      <c r="V155" s="361">
        <f t="shared" si="51"/>
        <v>72.231979518712265</v>
      </c>
      <c r="W155" s="361">
        <f t="shared" si="52"/>
        <v>43409.170251937525</v>
      </c>
      <c r="X155" s="361">
        <f t="shared" si="53"/>
        <v>18780.314674865189</v>
      </c>
      <c r="Z155" s="361">
        <f t="shared" si="54"/>
        <v>24628.855577072336</v>
      </c>
    </row>
    <row r="156" spans="3:26" x14ac:dyDescent="0.3">
      <c r="C156" t="s">
        <v>210</v>
      </c>
      <c r="F156" s="3">
        <f>N16</f>
        <v>3565</v>
      </c>
      <c r="G156" s="290">
        <v>2045</v>
      </c>
      <c r="H156" t="s">
        <v>188</v>
      </c>
      <c r="I156" t="s">
        <v>179</v>
      </c>
      <c r="J156">
        <f>$O$164</f>
        <v>28.9</v>
      </c>
      <c r="K156">
        <f>$P$164</f>
        <v>66.8</v>
      </c>
      <c r="M156">
        <f t="shared" si="55"/>
        <v>37.9</v>
      </c>
      <c r="N156">
        <f t="shared" si="56"/>
        <v>1.4666666666666666</v>
      </c>
      <c r="O156" s="314">
        <f t="shared" si="57"/>
        <v>42.386666666666663</v>
      </c>
      <c r="P156" s="314">
        <f t="shared" si="58"/>
        <v>97.973333333333329</v>
      </c>
      <c r="R156" s="139">
        <f t="shared" si="59"/>
        <v>224.22145328719725</v>
      </c>
      <c r="S156" s="139">
        <f t="shared" si="60"/>
        <v>97.005988023952099</v>
      </c>
      <c r="U156" s="361">
        <f t="shared" si="50"/>
        <v>222.0415224913495</v>
      </c>
      <c r="V156" s="361">
        <f t="shared" si="51"/>
        <v>96.062874251497007</v>
      </c>
      <c r="W156" s="361">
        <f t="shared" si="52"/>
        <v>57730.795847750866</v>
      </c>
      <c r="X156" s="361">
        <f t="shared" si="53"/>
        <v>24976.347305389223</v>
      </c>
      <c r="Z156" s="361">
        <f t="shared" si="54"/>
        <v>32754.448542361642</v>
      </c>
    </row>
    <row r="157" spans="3:26" x14ac:dyDescent="0.3">
      <c r="C157" t="s">
        <v>210</v>
      </c>
      <c r="F157" s="3">
        <f>N24</f>
        <v>1795</v>
      </c>
      <c r="G157" s="290">
        <v>2045</v>
      </c>
      <c r="H157" t="s">
        <v>196</v>
      </c>
      <c r="I157" t="s">
        <v>179</v>
      </c>
      <c r="J157">
        <f>$Q$164</f>
        <v>62.4</v>
      </c>
      <c r="K157">
        <f>$R$164</f>
        <v>68.8</v>
      </c>
      <c r="M157">
        <f t="shared" si="55"/>
        <v>6.3999999999999986</v>
      </c>
      <c r="N157">
        <f t="shared" si="56"/>
        <v>1.4666666666666666</v>
      </c>
      <c r="O157" s="314">
        <f t="shared" si="57"/>
        <v>91.52</v>
      </c>
      <c r="P157" s="314">
        <f t="shared" si="58"/>
        <v>100.90666666666665</v>
      </c>
      <c r="R157" s="139">
        <f t="shared" si="59"/>
        <v>103.84615384615385</v>
      </c>
      <c r="S157" s="139">
        <f t="shared" si="60"/>
        <v>94.186046511627922</v>
      </c>
      <c r="U157" s="361">
        <f t="shared" si="50"/>
        <v>51.778846153846153</v>
      </c>
      <c r="V157" s="361">
        <f t="shared" si="51"/>
        <v>46.96220930232559</v>
      </c>
      <c r="W157" s="361">
        <f t="shared" si="52"/>
        <v>13462.5</v>
      </c>
      <c r="X157" s="361">
        <f t="shared" si="53"/>
        <v>12210.174418604653</v>
      </c>
      <c r="Z157" s="361">
        <f t="shared" si="54"/>
        <v>1252.3255813953474</v>
      </c>
    </row>
    <row r="158" spans="3:26" x14ac:dyDescent="0.3">
      <c r="C158" t="s">
        <v>210</v>
      </c>
      <c r="F158" s="3">
        <f>N25</f>
        <v>2009.4480042325554</v>
      </c>
      <c r="G158" s="290">
        <v>2045</v>
      </c>
      <c r="H158" t="s">
        <v>197</v>
      </c>
      <c r="I158" t="s">
        <v>179</v>
      </c>
      <c r="J158">
        <f t="shared" ref="J158:J159" si="67">$Q$164</f>
        <v>62.4</v>
      </c>
      <c r="K158">
        <f>$R$164</f>
        <v>68.8</v>
      </c>
      <c r="M158">
        <f t="shared" si="55"/>
        <v>6.3999999999999986</v>
      </c>
      <c r="N158">
        <f t="shared" si="56"/>
        <v>1.4666666666666666</v>
      </c>
      <c r="O158" s="314">
        <f t="shared" si="57"/>
        <v>91.52</v>
      </c>
      <c r="P158" s="314">
        <f t="shared" si="58"/>
        <v>100.90666666666665</v>
      </c>
      <c r="R158" s="139">
        <f t="shared" si="59"/>
        <v>103.84615384615385</v>
      </c>
      <c r="S158" s="139">
        <f t="shared" si="60"/>
        <v>94.186046511627922</v>
      </c>
      <c r="U158" s="361">
        <f t="shared" si="50"/>
        <v>57.964846275939102</v>
      </c>
      <c r="V158" s="361">
        <f t="shared" si="51"/>
        <v>52.572767552595927</v>
      </c>
      <c r="W158" s="361">
        <f t="shared" si="52"/>
        <v>15070.860031744167</v>
      </c>
      <c r="X158" s="361">
        <f t="shared" si="53"/>
        <v>13668.919563674941</v>
      </c>
      <c r="Z158" s="361">
        <f t="shared" si="54"/>
        <v>1401.940468069226</v>
      </c>
    </row>
    <row r="159" spans="3:26" x14ac:dyDescent="0.3">
      <c r="C159" t="s">
        <v>210</v>
      </c>
      <c r="F159" s="3">
        <f>N26</f>
        <v>1585.7692081594259</v>
      </c>
      <c r="G159" s="290">
        <v>2045</v>
      </c>
      <c r="H159" t="s">
        <v>198</v>
      </c>
      <c r="I159" t="s">
        <v>179</v>
      </c>
      <c r="J159">
        <f t="shared" si="67"/>
        <v>62.4</v>
      </c>
      <c r="K159">
        <f>$R$164</f>
        <v>68.8</v>
      </c>
      <c r="M159">
        <f t="shared" si="55"/>
        <v>6.3999999999999986</v>
      </c>
      <c r="N159">
        <f t="shared" si="56"/>
        <v>1.4666666666666666</v>
      </c>
      <c r="O159" s="314">
        <f t="shared" si="57"/>
        <v>91.52</v>
      </c>
      <c r="P159" s="314">
        <f t="shared" si="58"/>
        <v>100.90666666666665</v>
      </c>
      <c r="R159" s="139">
        <f t="shared" si="59"/>
        <v>103.84615384615385</v>
      </c>
      <c r="S159" s="139">
        <f t="shared" si="60"/>
        <v>94.186046511627922</v>
      </c>
      <c r="U159" s="361">
        <f t="shared" si="50"/>
        <v>45.743342543060372</v>
      </c>
      <c r="V159" s="361">
        <f t="shared" si="51"/>
        <v>41.488147887891962</v>
      </c>
      <c r="W159" s="361">
        <f t="shared" si="52"/>
        <v>11893.269061195697</v>
      </c>
      <c r="X159" s="361">
        <f t="shared" si="53"/>
        <v>10786.91845085191</v>
      </c>
      <c r="Z159" s="361">
        <f t="shared" si="54"/>
        <v>1106.3506103437867</v>
      </c>
    </row>
    <row r="160" spans="3:26" x14ac:dyDescent="0.3">
      <c r="F160" s="3"/>
      <c r="G160" s="335"/>
      <c r="O160" s="314"/>
      <c r="P160" s="314"/>
      <c r="R160" s="139"/>
      <c r="S160" s="139"/>
      <c r="U160" s="361"/>
      <c r="V160" s="7" t="s">
        <v>480</v>
      </c>
      <c r="W160" s="363">
        <f>SUM(W150:W159)</f>
        <v>236689.00426817467</v>
      </c>
      <c r="X160" s="363">
        <f>SUM(X150:X159)</f>
        <v>168859.26970775239</v>
      </c>
      <c r="Z160" s="361"/>
    </row>
    <row r="161" spans="2:24" x14ac:dyDescent="0.3">
      <c r="V161" s="7" t="s">
        <v>229</v>
      </c>
      <c r="W161" s="364">
        <f>(W160/W148)^(1/(2045-2015))-1</f>
        <v>2.4185063067253543E-2</v>
      </c>
      <c r="X161" s="364">
        <f>(X160/X148)^(1/(2045-2015))-1</f>
        <v>1.4867853048863955E-2</v>
      </c>
    </row>
    <row r="162" spans="2:24" ht="15" thickBot="1" x14ac:dyDescent="0.35"/>
    <row r="163" spans="2:24" ht="43.8" thickBot="1" x14ac:dyDescent="0.35">
      <c r="B163" s="295"/>
      <c r="C163" s="296" t="s">
        <v>284</v>
      </c>
      <c r="D163" s="297" t="s">
        <v>285</v>
      </c>
      <c r="E163" s="298" t="s">
        <v>286</v>
      </c>
      <c r="F163" s="299" t="s">
        <v>287</v>
      </c>
      <c r="G163" s="296" t="s">
        <v>288</v>
      </c>
      <c r="H163" s="297" t="s">
        <v>289</v>
      </c>
      <c r="I163" s="298" t="s">
        <v>290</v>
      </c>
      <c r="J163" s="299" t="s">
        <v>291</v>
      </c>
      <c r="K163" s="296" t="s">
        <v>292</v>
      </c>
      <c r="L163" s="297" t="s">
        <v>293</v>
      </c>
      <c r="M163" s="298" t="s">
        <v>294</v>
      </c>
      <c r="N163" s="299" t="s">
        <v>295</v>
      </c>
      <c r="O163" s="296" t="s">
        <v>296</v>
      </c>
      <c r="P163" s="297" t="s">
        <v>297</v>
      </c>
      <c r="Q163" s="300" t="s">
        <v>298</v>
      </c>
      <c r="R163" s="299" t="s">
        <v>299</v>
      </c>
    </row>
    <row r="164" spans="2:24" ht="29.4" thickTop="1" x14ac:dyDescent="0.3">
      <c r="B164" s="301" t="s">
        <v>300</v>
      </c>
      <c r="C164" s="302">
        <v>64.5</v>
      </c>
      <c r="D164" s="303">
        <v>66.8</v>
      </c>
      <c r="E164" s="304">
        <v>63.2</v>
      </c>
      <c r="F164" s="305">
        <v>67.3</v>
      </c>
      <c r="G164" s="302">
        <v>63.8</v>
      </c>
      <c r="H164" s="303">
        <v>66.7</v>
      </c>
      <c r="I164" s="304">
        <v>59.5</v>
      </c>
      <c r="J164" s="305">
        <v>64.5</v>
      </c>
      <c r="K164" s="302">
        <v>64.3</v>
      </c>
      <c r="L164" s="303">
        <v>69.2</v>
      </c>
      <c r="M164" s="304">
        <v>64.400000000000006</v>
      </c>
      <c r="N164" s="305">
        <v>68.900000000000006</v>
      </c>
      <c r="O164" s="302">
        <v>28.9</v>
      </c>
      <c r="P164" s="303">
        <v>66.8</v>
      </c>
      <c r="Q164" s="306">
        <v>62.4</v>
      </c>
      <c r="R164" s="305">
        <v>68.8</v>
      </c>
    </row>
    <row r="165" spans="2:24" ht="29.4" thickBot="1" x14ac:dyDescent="0.35">
      <c r="B165" s="307" t="s">
        <v>301</v>
      </c>
      <c r="C165" s="308">
        <v>5.9</v>
      </c>
      <c r="D165" s="309">
        <v>5.7</v>
      </c>
      <c r="E165" s="310">
        <v>6</v>
      </c>
      <c r="F165" s="311">
        <v>5.6</v>
      </c>
      <c r="G165" s="308">
        <v>5.9</v>
      </c>
      <c r="H165" s="309">
        <v>5.7</v>
      </c>
      <c r="I165" s="310">
        <v>6.4</v>
      </c>
      <c r="J165" s="311">
        <v>5.9</v>
      </c>
      <c r="K165" s="308">
        <v>6.1</v>
      </c>
      <c r="L165" s="309">
        <v>5.6</v>
      </c>
      <c r="M165" s="310">
        <v>6.1</v>
      </c>
      <c r="N165" s="311">
        <v>5.7</v>
      </c>
      <c r="O165" s="308">
        <v>13.5</v>
      </c>
      <c r="P165" s="309">
        <v>5.8</v>
      </c>
      <c r="Q165" s="312">
        <v>6.3</v>
      </c>
      <c r="R165" s="311">
        <v>5.7</v>
      </c>
    </row>
    <row r="168" spans="2:24" ht="23.4" x14ac:dyDescent="0.45">
      <c r="B168" s="247" t="s">
        <v>337</v>
      </c>
    </row>
    <row r="170" spans="2:24" x14ac:dyDescent="0.3">
      <c r="G170" s="596" t="s">
        <v>226</v>
      </c>
      <c r="H170" s="596"/>
      <c r="K170" s="596" t="s">
        <v>226</v>
      </c>
      <c r="L170" s="596"/>
    </row>
    <row r="171" spans="2:24" x14ac:dyDescent="0.3">
      <c r="G171" s="596" t="s">
        <v>227</v>
      </c>
      <c r="H171" s="596"/>
      <c r="K171" s="596" t="s">
        <v>228</v>
      </c>
      <c r="L171" s="596"/>
    </row>
    <row r="172" spans="2:24" x14ac:dyDescent="0.3">
      <c r="G172" s="251" t="s">
        <v>218</v>
      </c>
      <c r="H172" s="251" t="s">
        <v>218</v>
      </c>
      <c r="K172" s="251" t="s">
        <v>218</v>
      </c>
      <c r="L172" s="251" t="s">
        <v>218</v>
      </c>
    </row>
    <row r="173" spans="2:24" x14ac:dyDescent="0.3">
      <c r="G173" s="313">
        <v>2015</v>
      </c>
      <c r="H173" s="313">
        <v>2045</v>
      </c>
      <c r="K173" s="313">
        <v>2015</v>
      </c>
      <c r="L173" s="313">
        <v>2045</v>
      </c>
    </row>
    <row r="174" spans="2:24" x14ac:dyDescent="0.3">
      <c r="C174" t="s">
        <v>308</v>
      </c>
      <c r="E174" t="s">
        <v>320</v>
      </c>
      <c r="G174" s="121">
        <f>C181*Annual_Number_Weekdays</f>
        <v>24778</v>
      </c>
      <c r="H174" s="121">
        <f>G181*Annual_Number_Weekdays</f>
        <v>297830</v>
      </c>
      <c r="K174" s="121">
        <f>D181*Annual_Number_Weekdays</f>
        <v>21788</v>
      </c>
      <c r="L174" s="121">
        <f>H181*Annual_Number_Weekdays</f>
        <v>238940</v>
      </c>
    </row>
    <row r="175" spans="2:24" x14ac:dyDescent="0.3">
      <c r="C175" t="s">
        <v>308</v>
      </c>
      <c r="E175" t="s">
        <v>321</v>
      </c>
      <c r="G175" s="121">
        <f>E181*Annual_Number_Weekdays</f>
        <v>41366</v>
      </c>
      <c r="H175" s="121">
        <f>I181*Annual_Number_Weekdays</f>
        <v>683878</v>
      </c>
      <c r="K175" s="121">
        <f>F181*Annual_Number_Weekdays</f>
        <v>32552</v>
      </c>
      <c r="L175" s="121">
        <f>J181*Annual_Number_Weekdays</f>
        <v>653484</v>
      </c>
    </row>
    <row r="176" spans="2:24" x14ac:dyDescent="0.3">
      <c r="F176" s="7" t="s">
        <v>13</v>
      </c>
      <c r="G176" s="370">
        <f>SUM(G174:G175)</f>
        <v>66144</v>
      </c>
      <c r="H176" s="370">
        <f>SUM(H174:H175)</f>
        <v>981708</v>
      </c>
      <c r="J176" s="7" t="s">
        <v>13</v>
      </c>
      <c r="K176" s="370">
        <f>SUM(K174:K175)</f>
        <v>54340</v>
      </c>
      <c r="L176" s="370">
        <f>SUM(L174:L175)</f>
        <v>892424</v>
      </c>
    </row>
    <row r="177" spans="2:12" x14ac:dyDescent="0.3">
      <c r="F177" s="7" t="s">
        <v>229</v>
      </c>
      <c r="G177" s="615">
        <f>(H176/G176)^(1/(2045-2015))-1</f>
        <v>9.4081637628593784E-2</v>
      </c>
      <c r="H177" s="615"/>
      <c r="J177" s="7" t="s">
        <v>229</v>
      </c>
      <c r="K177" s="615">
        <f>(L176/K176)^(1/(2045-2015))-1</f>
        <v>9.7779340987420582E-2</v>
      </c>
      <c r="L177" s="615"/>
    </row>
    <row r="179" spans="2:12" ht="15" thickBot="1" x14ac:dyDescent="0.35"/>
    <row r="180" spans="2:12" ht="29.4" thickBot="1" x14ac:dyDescent="0.35">
      <c r="B180" s="321"/>
      <c r="C180" s="296" t="s">
        <v>309</v>
      </c>
      <c r="D180" s="297" t="s">
        <v>310</v>
      </c>
      <c r="E180" s="298" t="s">
        <v>311</v>
      </c>
      <c r="F180" s="299" t="s">
        <v>312</v>
      </c>
      <c r="G180" s="296" t="s">
        <v>313</v>
      </c>
      <c r="H180" s="297" t="s">
        <v>314</v>
      </c>
      <c r="I180" s="300" t="s">
        <v>315</v>
      </c>
      <c r="J180" s="299" t="s">
        <v>316</v>
      </c>
    </row>
    <row r="181" spans="2:12" ht="15.6" thickTop="1" thickBot="1" x14ac:dyDescent="0.35">
      <c r="B181" s="322" t="s">
        <v>317</v>
      </c>
      <c r="C181" s="323">
        <v>95.3</v>
      </c>
      <c r="D181" s="324">
        <v>83.8</v>
      </c>
      <c r="E181" s="325">
        <v>159.1</v>
      </c>
      <c r="F181" s="326">
        <v>125.2</v>
      </c>
      <c r="G181" s="323">
        <v>1145.5</v>
      </c>
      <c r="H181" s="324">
        <v>919</v>
      </c>
      <c r="I181" s="327">
        <f>1337.1+1293.2</f>
        <v>2630.3</v>
      </c>
      <c r="J181" s="326">
        <v>2513.4</v>
      </c>
    </row>
    <row r="182" spans="2:12" ht="15" thickBot="1" x14ac:dyDescent="0.35">
      <c r="B182" s="322" t="s">
        <v>318</v>
      </c>
      <c r="C182" s="323">
        <f>0.7+57.3</f>
        <v>58</v>
      </c>
      <c r="D182" s="324">
        <f>1+49.9</f>
        <v>50.9</v>
      </c>
      <c r="E182" s="325">
        <f>1.2+78.8</f>
        <v>80</v>
      </c>
      <c r="F182" s="326">
        <f>1.1+61.7</f>
        <v>62.800000000000004</v>
      </c>
      <c r="G182" s="323">
        <f>174.1+283.4</f>
        <v>457.5</v>
      </c>
      <c r="H182" s="324">
        <f>55.7+301.4</f>
        <v>357.09999999999997</v>
      </c>
      <c r="I182" s="327">
        <f>418.3+528.3</f>
        <v>946.59999999999991</v>
      </c>
      <c r="J182" s="326">
        <f>252+586.8</f>
        <v>838.8</v>
      </c>
    </row>
    <row r="183" spans="2:12" x14ac:dyDescent="0.3">
      <c r="B183" s="290"/>
      <c r="C183" s="290">
        <f>C182*C184</f>
        <v>324800</v>
      </c>
      <c r="D183" s="290"/>
      <c r="E183" s="290"/>
      <c r="F183" s="290"/>
      <c r="G183" s="290"/>
      <c r="H183" s="290"/>
      <c r="I183" s="290"/>
      <c r="J183" s="290"/>
    </row>
    <row r="184" spans="2:12" x14ac:dyDescent="0.3">
      <c r="B184" s="290" t="s">
        <v>319</v>
      </c>
      <c r="C184" s="599">
        <v>5600</v>
      </c>
      <c r="D184" s="599"/>
      <c r="E184" s="599">
        <v>6800</v>
      </c>
      <c r="F184" s="599"/>
      <c r="G184" s="599">
        <v>9300</v>
      </c>
      <c r="H184" s="599"/>
      <c r="I184" s="599">
        <v>11300</v>
      </c>
      <c r="J184" s="599"/>
    </row>
  </sheetData>
  <mergeCells count="33">
    <mergeCell ref="U84:V84"/>
    <mergeCell ref="W84:X84"/>
    <mergeCell ref="C184:D184"/>
    <mergeCell ref="E184:F184"/>
    <mergeCell ref="G184:H184"/>
    <mergeCell ref="I184:J184"/>
    <mergeCell ref="G171:H171"/>
    <mergeCell ref="K171:L171"/>
    <mergeCell ref="G177:H177"/>
    <mergeCell ref="K177:L177"/>
    <mergeCell ref="M6:N6"/>
    <mergeCell ref="B3:N3"/>
    <mergeCell ref="B5:B7"/>
    <mergeCell ref="C5:F5"/>
    <mergeCell ref="G5:J5"/>
    <mergeCell ref="K5:N5"/>
    <mergeCell ref="C6:D6"/>
    <mergeCell ref="E6:F6"/>
    <mergeCell ref="G6:H6"/>
    <mergeCell ref="I6:J6"/>
    <mergeCell ref="K6:L6"/>
    <mergeCell ref="H35:I35"/>
    <mergeCell ref="H36:I36"/>
    <mergeCell ref="L35:M35"/>
    <mergeCell ref="L36:M36"/>
    <mergeCell ref="H50:I50"/>
    <mergeCell ref="L50:M50"/>
    <mergeCell ref="H63:I63"/>
    <mergeCell ref="L63:M63"/>
    <mergeCell ref="H76:I76"/>
    <mergeCell ref="L76:M76"/>
    <mergeCell ref="G170:H170"/>
    <mergeCell ref="K170:L170"/>
  </mergeCells>
  <pageMargins left="0.7" right="0.7" top="0.75" bottom="0.75" header="0.3" footer="0.3"/>
  <pageSetup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134"/>
  <sheetViews>
    <sheetView workbookViewId="0">
      <selection sqref="A1:K1"/>
    </sheetView>
  </sheetViews>
  <sheetFormatPr defaultRowHeight="14.4" outlineLevelRow="1" x14ac:dyDescent="0.3"/>
  <cols>
    <col min="1" max="1" width="20.33203125" customWidth="1"/>
    <col min="2" max="5" width="10.44140625" customWidth="1"/>
    <col min="6" max="6" width="11.44140625" customWidth="1"/>
    <col min="7" max="10" width="10.44140625" customWidth="1"/>
    <col min="11" max="12" width="10.77734375" customWidth="1"/>
    <col min="13" max="15" width="10.44140625" customWidth="1"/>
    <col min="16" max="16" width="11.44140625" customWidth="1"/>
    <col min="17" max="17" width="17.5546875" customWidth="1"/>
  </cols>
  <sheetData>
    <row r="1" spans="1:16" ht="19.95" customHeight="1" x14ac:dyDescent="0.3">
      <c r="A1" s="617" t="s">
        <v>350</v>
      </c>
      <c r="B1" s="617"/>
      <c r="C1" s="617"/>
      <c r="D1" s="617"/>
      <c r="E1" s="617"/>
      <c r="F1" s="617"/>
      <c r="G1" s="617"/>
      <c r="H1" s="617"/>
      <c r="I1" s="617"/>
      <c r="J1" s="617"/>
      <c r="K1" s="617"/>
    </row>
    <row r="2" spans="1:16" ht="14.1" customHeight="1" x14ac:dyDescent="0.3">
      <c r="A2" s="618" t="s">
        <v>351</v>
      </c>
      <c r="B2" s="618"/>
      <c r="C2" s="618"/>
      <c r="D2" s="618"/>
      <c r="E2" s="618"/>
      <c r="F2" s="618"/>
      <c r="G2" s="618"/>
      <c r="H2" s="618"/>
      <c r="I2" s="618"/>
      <c r="J2" s="618"/>
      <c r="K2" s="618"/>
    </row>
    <row r="3" spans="1:16" ht="14.1" customHeight="1" x14ac:dyDescent="0.3">
      <c r="A3" s="619" t="s">
        <v>352</v>
      </c>
      <c r="B3" s="619" t="s">
        <v>353</v>
      </c>
      <c r="C3" s="619" t="s">
        <v>354</v>
      </c>
      <c r="D3" s="620" t="s">
        <v>355</v>
      </c>
      <c r="E3" s="620"/>
      <c r="F3" s="620"/>
      <c r="G3" s="620"/>
      <c r="H3" s="620"/>
      <c r="I3" s="620"/>
      <c r="J3" s="620"/>
      <c r="K3" s="620"/>
      <c r="L3" s="620"/>
      <c r="M3" s="620"/>
      <c r="N3" s="620"/>
      <c r="O3" s="620"/>
      <c r="P3" s="620"/>
    </row>
    <row r="4" spans="1:16" ht="34.049999999999997" customHeight="1" x14ac:dyDescent="0.3">
      <c r="A4" s="619"/>
      <c r="B4" s="619"/>
      <c r="C4" s="619"/>
      <c r="D4" s="621" t="s">
        <v>13</v>
      </c>
      <c r="E4" s="621" t="s">
        <v>356</v>
      </c>
      <c r="F4" s="621" t="s">
        <v>357</v>
      </c>
      <c r="G4" s="621" t="s">
        <v>358</v>
      </c>
      <c r="H4" s="621"/>
      <c r="I4" s="621"/>
      <c r="J4" s="622" t="s">
        <v>359</v>
      </c>
      <c r="K4" s="623" t="s">
        <v>360</v>
      </c>
      <c r="L4" s="623" t="s">
        <v>361</v>
      </c>
      <c r="M4" s="623" t="s">
        <v>362</v>
      </c>
      <c r="N4" s="623" t="s">
        <v>363</v>
      </c>
      <c r="O4" s="623"/>
      <c r="P4" s="623"/>
    </row>
    <row r="5" spans="1:16" ht="36" customHeight="1" x14ac:dyDescent="0.3">
      <c r="A5" s="619"/>
      <c r="B5" s="619"/>
      <c r="C5" s="619"/>
      <c r="D5" s="621"/>
      <c r="E5" s="621"/>
      <c r="F5" s="621"/>
      <c r="G5" s="338" t="s">
        <v>13</v>
      </c>
      <c r="H5" s="339" t="s">
        <v>364</v>
      </c>
      <c r="I5" s="340" t="s">
        <v>365</v>
      </c>
      <c r="J5" s="622"/>
      <c r="K5" s="623"/>
      <c r="L5" s="623"/>
      <c r="M5" s="623"/>
      <c r="N5" s="341" t="s">
        <v>13</v>
      </c>
      <c r="O5" s="341" t="s">
        <v>366</v>
      </c>
      <c r="P5" s="341" t="s">
        <v>367</v>
      </c>
    </row>
    <row r="6" spans="1:16" ht="15" hidden="1" customHeight="1" outlineLevel="1" x14ac:dyDescent="0.3">
      <c r="A6" s="342" t="s">
        <v>368</v>
      </c>
      <c r="B6" s="343">
        <v>98.2</v>
      </c>
      <c r="C6" s="344">
        <v>7.7100000000000002E-2</v>
      </c>
      <c r="D6" s="344">
        <v>6.5299999999999997E-2</v>
      </c>
      <c r="E6" s="344">
        <v>6.1400000000000003E-2</v>
      </c>
      <c r="F6" s="344">
        <v>6.6199999999999995E-2</v>
      </c>
      <c r="G6" s="344">
        <v>7.4099999999999999E-2</v>
      </c>
      <c r="H6" s="344">
        <v>7.4099999999999999E-2</v>
      </c>
      <c r="I6" s="344">
        <v>7.4099999999999999E-2</v>
      </c>
      <c r="J6" s="345">
        <v>4.6300000000000001E-2</v>
      </c>
      <c r="K6" s="346">
        <v>7.7100000000000002E-2</v>
      </c>
      <c r="L6" s="346">
        <v>4.4200000000000003E-2</v>
      </c>
      <c r="M6" s="346">
        <v>6.2700000000000006E-2</v>
      </c>
      <c r="N6" s="346">
        <v>0.13780000000000001</v>
      </c>
      <c r="O6" s="346">
        <v>0.14299999999999999</v>
      </c>
      <c r="P6" s="346">
        <v>0.13569999999999999</v>
      </c>
    </row>
    <row r="7" spans="1:16" ht="15" hidden="1" customHeight="1" outlineLevel="1" x14ac:dyDescent="0.3">
      <c r="A7" s="342" t="s">
        <v>369</v>
      </c>
      <c r="B7" s="343">
        <v>116.2</v>
      </c>
      <c r="C7" s="344">
        <v>0.08</v>
      </c>
      <c r="D7" s="344">
        <v>7.2400000000000006E-2</v>
      </c>
      <c r="E7" s="344">
        <v>7.5600000000000001E-2</v>
      </c>
      <c r="F7" s="344">
        <v>6.9699999999999998E-2</v>
      </c>
      <c r="G7" s="344">
        <v>7.6700000000000004E-2</v>
      </c>
      <c r="H7" s="344">
        <v>7.6700000000000004E-2</v>
      </c>
      <c r="I7" s="344">
        <v>7.6700000000000004E-2</v>
      </c>
      <c r="J7" s="345">
        <v>4.19E-2</v>
      </c>
      <c r="K7" s="346">
        <v>0.08</v>
      </c>
      <c r="L7" s="346">
        <v>4.3900000000000002E-2</v>
      </c>
      <c r="M7" s="346">
        <v>6.4100000000000004E-2</v>
      </c>
      <c r="N7" s="346">
        <v>0.1487</v>
      </c>
      <c r="O7" s="346">
        <v>0.15160000000000001</v>
      </c>
      <c r="P7" s="346">
        <v>0.1421</v>
      </c>
    </row>
    <row r="8" spans="1:16" ht="15" hidden="1" customHeight="1" outlineLevel="1" x14ac:dyDescent="0.3">
      <c r="A8" s="342" t="s">
        <v>370</v>
      </c>
      <c r="B8" s="343">
        <v>147.69999999999999</v>
      </c>
      <c r="C8" s="344">
        <v>8.5999999999999993E-2</v>
      </c>
      <c r="D8" s="344">
        <v>8.2299999999999998E-2</v>
      </c>
      <c r="E8" s="344">
        <v>9.2499999999999999E-2</v>
      </c>
      <c r="F8" s="344">
        <v>6.3299999999999995E-2</v>
      </c>
      <c r="G8" s="344">
        <v>8.3900000000000002E-2</v>
      </c>
      <c r="H8" s="344">
        <v>8.3900000000000002E-2</v>
      </c>
      <c r="I8" s="344">
        <v>8.3900000000000002E-2</v>
      </c>
      <c r="J8" s="345">
        <v>4.1099999999999998E-2</v>
      </c>
      <c r="K8" s="346">
        <v>8.5999999999999993E-2</v>
      </c>
      <c r="L8" s="346">
        <v>4.7100000000000003E-2</v>
      </c>
      <c r="M8" s="346">
        <v>5.5300000000000002E-2</v>
      </c>
      <c r="N8" s="346">
        <v>0.1555</v>
      </c>
      <c r="O8" s="346">
        <v>0.15570000000000001</v>
      </c>
      <c r="P8" s="346">
        <v>0.15329999999999999</v>
      </c>
    </row>
    <row r="9" spans="1:16" ht="15" hidden="1" customHeight="1" outlineLevel="1" x14ac:dyDescent="0.3">
      <c r="A9" s="342" t="s">
        <v>371</v>
      </c>
      <c r="B9" s="343">
        <v>184.6</v>
      </c>
      <c r="C9" s="344">
        <v>9.1499999999999998E-2</v>
      </c>
      <c r="D9" s="344">
        <v>9.1200000000000003E-2</v>
      </c>
      <c r="E9" s="344">
        <v>9.9299999999999999E-2</v>
      </c>
      <c r="F9" s="344">
        <v>6.25E-2</v>
      </c>
      <c r="G9" s="344">
        <v>9.2899999999999996E-2</v>
      </c>
      <c r="H9" s="344">
        <v>9.2899999999999996E-2</v>
      </c>
      <c r="I9" s="344">
        <v>9.2899999999999996E-2</v>
      </c>
      <c r="J9" s="345">
        <v>4.3799999999999999E-2</v>
      </c>
      <c r="K9" s="346">
        <v>9.1499999999999998E-2</v>
      </c>
      <c r="L9" s="346">
        <v>5.16E-2</v>
      </c>
      <c r="M9" s="346">
        <v>5.4199999999999998E-2</v>
      </c>
      <c r="N9" s="346">
        <v>0.1525</v>
      </c>
      <c r="O9" s="346">
        <v>0.1525</v>
      </c>
      <c r="P9" s="346">
        <v>0.15620000000000001</v>
      </c>
    </row>
    <row r="10" spans="1:16" ht="15" hidden="1" customHeight="1" outlineLevel="1" x14ac:dyDescent="0.3">
      <c r="A10" s="342" t="s">
        <v>372</v>
      </c>
      <c r="B10" s="343">
        <v>213.8</v>
      </c>
      <c r="C10" s="344">
        <v>9.4799999999999995E-2</v>
      </c>
      <c r="D10" s="344">
        <v>8.3699999999999997E-2</v>
      </c>
      <c r="E10" s="344">
        <v>8.6900000000000005E-2</v>
      </c>
      <c r="F10" s="344">
        <v>6.7599999999999993E-2</v>
      </c>
      <c r="G10" s="344">
        <v>9.98E-2</v>
      </c>
      <c r="H10" s="344">
        <v>9.98E-2</v>
      </c>
      <c r="I10" s="344">
        <v>9.98E-2</v>
      </c>
      <c r="J10" s="345">
        <v>4.6100000000000002E-2</v>
      </c>
      <c r="K10" s="346">
        <v>9.4799999999999995E-2</v>
      </c>
      <c r="L10" s="346">
        <v>5.6800000000000003E-2</v>
      </c>
      <c r="M10" s="346">
        <v>5.7799999999999997E-2</v>
      </c>
      <c r="N10" s="346">
        <v>0.14810000000000001</v>
      </c>
      <c r="O10" s="346">
        <v>0.14799999999999999</v>
      </c>
      <c r="P10" s="346">
        <v>0.1633</v>
      </c>
    </row>
    <row r="11" spans="1:16" ht="15" hidden="1" customHeight="1" outlineLevel="1" x14ac:dyDescent="0.3">
      <c r="A11" s="342" t="s">
        <v>373</v>
      </c>
      <c r="B11" s="343">
        <v>226.4</v>
      </c>
      <c r="C11" s="344">
        <v>9.7100000000000006E-2</v>
      </c>
      <c r="D11" s="344">
        <v>7.8899999999999998E-2</v>
      </c>
      <c r="E11" s="344">
        <v>7.9000000000000001E-2</v>
      </c>
      <c r="F11" s="344">
        <v>7.7799999999999994E-2</v>
      </c>
      <c r="G11" s="344">
        <v>0.105</v>
      </c>
      <c r="H11" s="344">
        <v>0.105</v>
      </c>
      <c r="I11" s="344">
        <v>0.1047</v>
      </c>
      <c r="J11" s="345">
        <v>4.6600000000000003E-2</v>
      </c>
      <c r="K11" s="346">
        <v>9.7100000000000006E-2</v>
      </c>
      <c r="L11" s="346">
        <v>5.9900000000000002E-2</v>
      </c>
      <c r="M11" s="346">
        <v>6.1400000000000003E-2</v>
      </c>
      <c r="N11" s="346">
        <v>0.1381</v>
      </c>
      <c r="O11" s="346">
        <v>0.13800000000000001</v>
      </c>
      <c r="P11" s="346">
        <v>0.16900000000000001</v>
      </c>
    </row>
    <row r="12" spans="1:16" ht="15" hidden="1" customHeight="1" outlineLevel="1" x14ac:dyDescent="0.3">
      <c r="A12" s="342" t="s">
        <v>374</v>
      </c>
      <c r="B12" s="343">
        <v>228</v>
      </c>
      <c r="C12" s="344">
        <v>0.1045</v>
      </c>
      <c r="D12" s="344">
        <v>7.9299999999999995E-2</v>
      </c>
      <c r="E12" s="344">
        <v>7.5399999999999995E-2</v>
      </c>
      <c r="F12" s="344">
        <v>9.5799999999999996E-2</v>
      </c>
      <c r="G12" s="344">
        <v>0.1106</v>
      </c>
      <c r="H12" s="344">
        <v>0.1106</v>
      </c>
      <c r="I12" s="344">
        <v>0.1104</v>
      </c>
      <c r="J12" s="345">
        <v>5.1400000000000001E-2</v>
      </c>
      <c r="K12" s="346">
        <v>0.1045</v>
      </c>
      <c r="L12" s="346">
        <v>6.2300000000000001E-2</v>
      </c>
      <c r="M12" s="346">
        <v>6.6699999999999995E-2</v>
      </c>
      <c r="N12" s="346">
        <v>0.14019999999999999</v>
      </c>
      <c r="O12" s="346">
        <v>0.13980000000000001</v>
      </c>
      <c r="P12" s="346">
        <v>0.15959999999999999</v>
      </c>
    </row>
    <row r="13" spans="1:16" ht="15" hidden="1" customHeight="1" outlineLevel="1" x14ac:dyDescent="0.3">
      <c r="A13" s="342" t="s">
        <v>375</v>
      </c>
      <c r="B13" s="343">
        <v>238.9</v>
      </c>
      <c r="C13" s="344">
        <v>0.1159</v>
      </c>
      <c r="D13" s="344">
        <v>8.9700000000000002E-2</v>
      </c>
      <c r="E13" s="344">
        <v>8.1299999999999997E-2</v>
      </c>
      <c r="F13" s="344">
        <v>9.5500000000000002E-2</v>
      </c>
      <c r="G13" s="344">
        <v>0.11890000000000001</v>
      </c>
      <c r="H13" s="344">
        <v>0.11890000000000001</v>
      </c>
      <c r="I13" s="344">
        <v>0.1188</v>
      </c>
      <c r="J13" s="345">
        <v>0.1246</v>
      </c>
      <c r="K13" s="346">
        <v>0.1159</v>
      </c>
      <c r="L13" s="346">
        <v>6.6100000000000006E-2</v>
      </c>
      <c r="M13" s="346">
        <v>6.88E-2</v>
      </c>
      <c r="N13" s="346">
        <v>0.15609999999999999</v>
      </c>
      <c r="O13" s="346">
        <v>0.15570000000000001</v>
      </c>
      <c r="P13" s="346">
        <v>0.15809999999999999</v>
      </c>
    </row>
    <row r="14" spans="1:16" ht="15" hidden="1" customHeight="1" outlineLevel="1" x14ac:dyDescent="0.3">
      <c r="A14" s="342" t="s">
        <v>376</v>
      </c>
      <c r="B14" s="343">
        <v>261.89999999999998</v>
      </c>
      <c r="C14" s="344">
        <v>0.12690000000000001</v>
      </c>
      <c r="D14" s="344">
        <v>9.3200000000000005E-2</v>
      </c>
      <c r="E14" s="344">
        <v>7.6300000000000007E-2</v>
      </c>
      <c r="F14" s="344">
        <v>0.10340000000000001</v>
      </c>
      <c r="G14" s="344">
        <v>0.12989999999999999</v>
      </c>
      <c r="H14" s="344">
        <v>0.12989999999999999</v>
      </c>
      <c r="I14" s="344">
        <v>0.1298</v>
      </c>
      <c r="J14" s="345">
        <v>7.0000000000000007E-2</v>
      </c>
      <c r="K14" s="346">
        <v>0.12690000000000001</v>
      </c>
      <c r="L14" s="346">
        <v>7.1400000000000005E-2</v>
      </c>
      <c r="M14" s="346">
        <v>7.5700000000000003E-2</v>
      </c>
      <c r="N14" s="346">
        <v>0.1736</v>
      </c>
      <c r="O14" s="346">
        <v>0.17080000000000001</v>
      </c>
      <c r="P14" s="346">
        <v>0.184</v>
      </c>
    </row>
    <row r="15" spans="1:16" ht="15" hidden="1" customHeight="1" outlineLevel="1" x14ac:dyDescent="0.3">
      <c r="A15" s="342" t="s">
        <v>377</v>
      </c>
      <c r="B15" s="343">
        <v>276.5</v>
      </c>
      <c r="C15" s="344">
        <v>0.13120000000000001</v>
      </c>
      <c r="D15" s="344">
        <v>8.9599999999999999E-2</v>
      </c>
      <c r="E15" s="344">
        <v>7.5899999999999995E-2</v>
      </c>
      <c r="F15" s="344">
        <v>9.8799999999999999E-2</v>
      </c>
      <c r="G15" s="344">
        <v>0.1333</v>
      </c>
      <c r="H15" s="344">
        <v>0.1333</v>
      </c>
      <c r="I15" s="344">
        <v>0.13320000000000001</v>
      </c>
      <c r="J15" s="345">
        <v>7.3700000000000002E-2</v>
      </c>
      <c r="K15" s="346">
        <v>0.13120000000000001</v>
      </c>
      <c r="L15" s="346">
        <v>6.9400000000000003E-2</v>
      </c>
      <c r="M15" s="346">
        <v>7.3700000000000002E-2</v>
      </c>
      <c r="N15" s="346">
        <v>0.18229999999999999</v>
      </c>
      <c r="O15" s="346">
        <v>0.18</v>
      </c>
      <c r="P15" s="346">
        <v>0.18770000000000001</v>
      </c>
    </row>
    <row r="16" spans="1:16" ht="15" hidden="1" customHeight="1" outlineLevel="1" x14ac:dyDescent="0.3">
      <c r="A16" s="342" t="s">
        <v>378</v>
      </c>
      <c r="B16" s="343">
        <v>278.67500000000001</v>
      </c>
      <c r="C16" s="344">
        <v>0.12939999999999999</v>
      </c>
      <c r="D16" s="344">
        <v>9.4200000000000006E-2</v>
      </c>
      <c r="E16" s="344">
        <v>7.6700000000000004E-2</v>
      </c>
      <c r="F16" s="344">
        <v>0.1056</v>
      </c>
      <c r="G16" s="344">
        <v>0.13159999999999999</v>
      </c>
      <c r="H16" s="344">
        <v>0.13170000000000001</v>
      </c>
      <c r="I16" s="344">
        <v>0.13120000000000001</v>
      </c>
      <c r="J16" s="345">
        <v>6.9900000000000004E-2</v>
      </c>
      <c r="K16" s="346">
        <v>0.12939999999999999</v>
      </c>
      <c r="L16" s="346">
        <v>7.3099999999999998E-2</v>
      </c>
      <c r="M16" s="346">
        <v>7.8799999999999995E-2</v>
      </c>
      <c r="N16" s="346">
        <v>0.1804</v>
      </c>
      <c r="O16" s="346">
        <v>0.17929999999999999</v>
      </c>
      <c r="P16" s="346">
        <v>0.18210000000000001</v>
      </c>
    </row>
    <row r="17" spans="1:16" ht="15" hidden="1" customHeight="1" outlineLevel="1" x14ac:dyDescent="0.3">
      <c r="A17" s="342" t="s">
        <v>379</v>
      </c>
      <c r="B17" s="343">
        <v>327.05</v>
      </c>
      <c r="C17" s="344">
        <v>0.1363</v>
      </c>
      <c r="D17" s="344">
        <v>9.4700000000000006E-2</v>
      </c>
      <c r="E17" s="344">
        <v>8.1299999999999997E-2</v>
      </c>
      <c r="F17" s="344">
        <v>0.11509999999999999</v>
      </c>
      <c r="G17" s="344">
        <v>0.13900000000000001</v>
      </c>
      <c r="H17" s="344">
        <v>0.1391</v>
      </c>
      <c r="I17" s="344">
        <v>0.13850000000000001</v>
      </c>
      <c r="J17" s="345">
        <v>8.3599999999999994E-2</v>
      </c>
      <c r="K17" s="346">
        <v>0.1363</v>
      </c>
      <c r="L17" s="346">
        <v>7.2099999999999997E-2</v>
      </c>
      <c r="M17" s="346">
        <v>8.0500000000000002E-2</v>
      </c>
      <c r="N17" s="346">
        <v>0.19239999999999999</v>
      </c>
      <c r="O17" s="346">
        <v>0.193</v>
      </c>
      <c r="P17" s="346">
        <v>0.1898</v>
      </c>
    </row>
    <row r="18" spans="1:16" ht="15" hidden="1" customHeight="1" outlineLevel="1" x14ac:dyDescent="0.3">
      <c r="A18" s="342" t="s">
        <v>380</v>
      </c>
      <c r="B18" s="343">
        <v>357.1</v>
      </c>
      <c r="C18" s="344">
        <v>0.14180000000000001</v>
      </c>
      <c r="D18" s="344">
        <v>9.4399999999999998E-2</v>
      </c>
      <c r="E18" s="344">
        <v>8.4500000000000006E-2</v>
      </c>
      <c r="F18" s="344">
        <v>0.12590000000000001</v>
      </c>
      <c r="G18" s="344">
        <v>0.14460000000000001</v>
      </c>
      <c r="H18" s="344">
        <v>0.14460000000000001</v>
      </c>
      <c r="I18" s="344">
        <v>0.14410000000000001</v>
      </c>
      <c r="J18" s="345">
        <v>8.3900000000000002E-2</v>
      </c>
      <c r="K18" s="346">
        <v>0.14180000000000001</v>
      </c>
      <c r="L18" s="346">
        <v>7.7600000000000002E-2</v>
      </c>
      <c r="M18" s="346">
        <v>8.77E-2</v>
      </c>
      <c r="N18" s="346">
        <v>0.2019</v>
      </c>
      <c r="O18" s="346">
        <v>0.20180000000000001</v>
      </c>
      <c r="P18" s="346">
        <v>0.20250000000000001</v>
      </c>
    </row>
    <row r="19" spans="1:16" ht="15" hidden="1" customHeight="1" outlineLevel="1" x14ac:dyDescent="0.3">
      <c r="A19" s="342" t="s">
        <v>381</v>
      </c>
      <c r="B19" s="343">
        <v>382.05</v>
      </c>
      <c r="C19" s="344">
        <v>0.1444</v>
      </c>
      <c r="D19" s="344">
        <v>0.10150000000000001</v>
      </c>
      <c r="E19" s="344">
        <v>9.3299999999999994E-2</v>
      </c>
      <c r="F19" s="344">
        <v>0.1268</v>
      </c>
      <c r="G19" s="344">
        <v>0.1467</v>
      </c>
      <c r="H19" s="344">
        <v>0.14680000000000001</v>
      </c>
      <c r="I19" s="344">
        <v>0.14630000000000001</v>
      </c>
      <c r="J19" s="345">
        <v>8.7900000000000006E-2</v>
      </c>
      <c r="K19" s="346">
        <v>0.1444</v>
      </c>
      <c r="L19" s="346">
        <v>8.2100000000000006E-2</v>
      </c>
      <c r="M19" s="346">
        <v>9.2200000000000004E-2</v>
      </c>
      <c r="N19" s="346">
        <v>0.20449999999999999</v>
      </c>
      <c r="O19" s="346">
        <v>0.20419999999999999</v>
      </c>
      <c r="P19" s="346">
        <v>0.2089</v>
      </c>
    </row>
    <row r="20" spans="1:16" ht="15" hidden="1" customHeight="1" outlineLevel="1" x14ac:dyDescent="0.3">
      <c r="A20" s="342" t="s">
        <v>382</v>
      </c>
      <c r="B20" s="343">
        <v>387.15</v>
      </c>
      <c r="C20" s="344">
        <v>0.14610000000000001</v>
      </c>
      <c r="D20" s="344">
        <v>0.1047</v>
      </c>
      <c r="E20" s="344">
        <v>9.4899999999999998E-2</v>
      </c>
      <c r="F20" s="344">
        <v>0.1366</v>
      </c>
      <c r="G20" s="344">
        <v>0.14860000000000001</v>
      </c>
      <c r="H20" s="344">
        <v>0.14860000000000001</v>
      </c>
      <c r="I20" s="344">
        <v>0.1484</v>
      </c>
      <c r="J20" s="345">
        <v>8.4199999999999997E-2</v>
      </c>
      <c r="K20" s="346">
        <v>0.14610000000000001</v>
      </c>
      <c r="L20" s="346">
        <v>8.5000000000000006E-2</v>
      </c>
      <c r="M20" s="346">
        <v>9.8699999999999996E-2</v>
      </c>
      <c r="N20" s="346">
        <v>0.2026</v>
      </c>
      <c r="O20" s="346">
        <v>0.20230000000000001</v>
      </c>
      <c r="P20" s="346">
        <v>0.20730000000000001</v>
      </c>
    </row>
    <row r="21" spans="1:16" ht="15" hidden="1" customHeight="1" outlineLevel="1" x14ac:dyDescent="0.3">
      <c r="A21" s="342" t="s">
        <v>383</v>
      </c>
      <c r="B21" s="343">
        <v>406.32499999999999</v>
      </c>
      <c r="C21" s="344">
        <v>0.1472</v>
      </c>
      <c r="D21" s="344">
        <v>0.1081</v>
      </c>
      <c r="E21" s="344">
        <v>9.8000000000000004E-2</v>
      </c>
      <c r="F21" s="344">
        <v>0.13059999999999999</v>
      </c>
      <c r="G21" s="344">
        <v>0.14849999999999999</v>
      </c>
      <c r="H21" s="344">
        <v>0.14849999999999999</v>
      </c>
      <c r="I21" s="344">
        <v>0.1484</v>
      </c>
      <c r="J21" s="345">
        <v>8.5800000000000001E-2</v>
      </c>
      <c r="K21" s="346">
        <v>0.1472</v>
      </c>
      <c r="L21" s="346">
        <v>8.7300000000000003E-2</v>
      </c>
      <c r="M21" s="346">
        <v>9.5399999999999999E-2</v>
      </c>
      <c r="N21" s="346">
        <v>0.20830000000000001</v>
      </c>
      <c r="O21" s="346">
        <v>0.20860000000000001</v>
      </c>
      <c r="P21" s="346">
        <v>0.20330000000000001</v>
      </c>
    </row>
    <row r="22" spans="1:16" ht="15" hidden="1" customHeight="1" outlineLevel="1" x14ac:dyDescent="0.3">
      <c r="A22" s="342" t="s">
        <v>384</v>
      </c>
      <c r="B22" s="343">
        <v>438.25</v>
      </c>
      <c r="C22" s="344">
        <v>0.151</v>
      </c>
      <c r="D22" s="344">
        <v>0.113</v>
      </c>
      <c r="E22" s="344">
        <v>0.10390000000000001</v>
      </c>
      <c r="F22" s="344">
        <v>0.13020000000000001</v>
      </c>
      <c r="G22" s="344">
        <v>0.15029999999999999</v>
      </c>
      <c r="H22" s="344">
        <v>0.15029999999999999</v>
      </c>
      <c r="I22" s="344">
        <v>0.1502</v>
      </c>
      <c r="J22" s="345">
        <v>8.7099999999999997E-2</v>
      </c>
      <c r="K22" s="346">
        <v>0.151</v>
      </c>
      <c r="L22" s="346">
        <v>8.8300000000000003E-2</v>
      </c>
      <c r="M22" s="346">
        <v>9.5100000000000004E-2</v>
      </c>
      <c r="N22" s="346">
        <v>0.21929999999999999</v>
      </c>
      <c r="O22" s="346">
        <v>0.2198</v>
      </c>
      <c r="P22" s="346">
        <v>0.2107</v>
      </c>
    </row>
    <row r="23" spans="1:16" ht="15" hidden="1" customHeight="1" outlineLevel="1" x14ac:dyDescent="0.3">
      <c r="A23" s="342" t="s">
        <v>385</v>
      </c>
      <c r="B23" s="343">
        <v>463.375</v>
      </c>
      <c r="C23" s="344">
        <v>0.15659999999999999</v>
      </c>
      <c r="D23" s="344">
        <v>0.1186</v>
      </c>
      <c r="E23" s="344">
        <v>0.10929999999999999</v>
      </c>
      <c r="F23" s="344">
        <v>0.1353</v>
      </c>
      <c r="G23" s="344">
        <v>0.1545</v>
      </c>
      <c r="H23" s="344">
        <v>0.1545</v>
      </c>
      <c r="I23" s="344">
        <v>0.15440000000000001</v>
      </c>
      <c r="J23" s="345">
        <v>9.5000000000000001E-2</v>
      </c>
      <c r="K23" s="346">
        <v>0.15659999999999999</v>
      </c>
      <c r="L23" s="346">
        <v>9.0399999999999994E-2</v>
      </c>
      <c r="M23" s="346">
        <v>9.8400000000000001E-2</v>
      </c>
      <c r="N23" s="346">
        <v>0.23150000000000001</v>
      </c>
      <c r="O23" s="346">
        <v>0.23219999999999999</v>
      </c>
      <c r="P23" s="346">
        <v>0.22120000000000001</v>
      </c>
    </row>
    <row r="24" spans="1:16" ht="15" hidden="1" customHeight="1" outlineLevel="1" x14ac:dyDescent="0.3">
      <c r="A24" s="342" t="s">
        <v>386</v>
      </c>
      <c r="B24" s="343">
        <v>473.47500000000002</v>
      </c>
      <c r="C24" s="344">
        <v>0.1613</v>
      </c>
      <c r="D24" s="344">
        <v>0.12559999999999999</v>
      </c>
      <c r="E24" s="344">
        <v>0.1144</v>
      </c>
      <c r="F24" s="344">
        <v>0.14410000000000001</v>
      </c>
      <c r="G24" s="344">
        <v>0.15909999999999999</v>
      </c>
      <c r="H24" s="344">
        <v>0.15909999999999999</v>
      </c>
      <c r="I24" s="344">
        <v>0.159</v>
      </c>
      <c r="J24" s="345">
        <v>0.1053</v>
      </c>
      <c r="K24" s="346">
        <v>0.1613</v>
      </c>
      <c r="L24" s="346">
        <v>9.6699999999999994E-2</v>
      </c>
      <c r="M24" s="346">
        <v>0.1069</v>
      </c>
      <c r="N24" s="346">
        <v>0.23880000000000001</v>
      </c>
      <c r="O24" s="346">
        <v>0.2397</v>
      </c>
      <c r="P24" s="346">
        <v>0.22800000000000001</v>
      </c>
    </row>
    <row r="25" spans="1:16" ht="15" hidden="1" customHeight="1" outlineLevel="1" x14ac:dyDescent="0.3">
      <c r="A25" s="342" t="s">
        <v>387</v>
      </c>
      <c r="B25" s="343">
        <v>504.6</v>
      </c>
      <c r="C25" s="344">
        <v>0.1638</v>
      </c>
      <c r="D25" s="344">
        <v>0.1308</v>
      </c>
      <c r="E25" s="344">
        <v>0.12230000000000001</v>
      </c>
      <c r="F25" s="344">
        <v>0.14199999999999999</v>
      </c>
      <c r="G25" s="344">
        <v>0.1613</v>
      </c>
      <c r="H25" s="344">
        <v>0.1613</v>
      </c>
      <c r="I25" s="344">
        <v>0.16120000000000001</v>
      </c>
      <c r="J25" s="345">
        <v>0.11260000000000001</v>
      </c>
      <c r="K25" s="346">
        <v>0.1638</v>
      </c>
      <c r="L25" s="346">
        <v>0.10150000000000001</v>
      </c>
      <c r="M25" s="346">
        <v>0.1106</v>
      </c>
      <c r="N25" s="346">
        <v>0.24299999999999999</v>
      </c>
      <c r="O25" s="346">
        <v>0.24399999999999999</v>
      </c>
      <c r="P25" s="346">
        <v>0.23169999999999999</v>
      </c>
    </row>
    <row r="26" spans="1:16" ht="15" hidden="1" customHeight="1" outlineLevel="1" x14ac:dyDescent="0.3">
      <c r="A26" s="342" t="s">
        <v>388</v>
      </c>
      <c r="B26" s="343">
        <v>534.32500000000005</v>
      </c>
      <c r="C26" s="344">
        <v>0.1661</v>
      </c>
      <c r="D26" s="344">
        <v>0.1328</v>
      </c>
      <c r="E26" s="344">
        <v>0.121</v>
      </c>
      <c r="F26" s="344">
        <v>0.14860000000000001</v>
      </c>
      <c r="G26" s="344">
        <v>0.1643</v>
      </c>
      <c r="H26" s="344">
        <v>0.16439999999999999</v>
      </c>
      <c r="I26" s="344">
        <v>0.16420000000000001</v>
      </c>
      <c r="J26" s="345">
        <v>0.1132</v>
      </c>
      <c r="K26" s="346">
        <v>0.1661</v>
      </c>
      <c r="L26" s="346">
        <v>0.1007</v>
      </c>
      <c r="M26" s="346">
        <v>0.1143</v>
      </c>
      <c r="N26" s="346">
        <v>0.2447</v>
      </c>
      <c r="O26" s="346">
        <v>0.24590000000000001</v>
      </c>
      <c r="P26" s="346">
        <v>0.23480000000000001</v>
      </c>
    </row>
    <row r="27" spans="1:16" ht="15" hidden="1" customHeight="1" outlineLevel="1" x14ac:dyDescent="0.3">
      <c r="A27" s="342" t="s">
        <v>389</v>
      </c>
      <c r="B27" s="343">
        <v>546.57500000000005</v>
      </c>
      <c r="C27" s="344">
        <v>0.16830000000000001</v>
      </c>
      <c r="D27" s="344">
        <v>0.1358</v>
      </c>
      <c r="E27" s="344">
        <v>0.12330000000000001</v>
      </c>
      <c r="F27" s="344">
        <v>0.15160000000000001</v>
      </c>
      <c r="G27" s="344">
        <v>0.1666</v>
      </c>
      <c r="H27" s="344">
        <v>0.1666</v>
      </c>
      <c r="I27" s="344">
        <v>0.16650000000000001</v>
      </c>
      <c r="J27" s="345">
        <v>0.1111</v>
      </c>
      <c r="K27" s="346">
        <v>0.16830000000000001</v>
      </c>
      <c r="L27" s="346">
        <v>0.1057</v>
      </c>
      <c r="M27" s="346">
        <v>0.1205</v>
      </c>
      <c r="N27" s="346">
        <v>0.24610000000000001</v>
      </c>
      <c r="O27" s="346">
        <v>0.24729999999999999</v>
      </c>
      <c r="P27" s="346">
        <v>0.2366</v>
      </c>
    </row>
    <row r="28" spans="1:16" ht="15" hidden="1" customHeight="1" outlineLevel="1" x14ac:dyDescent="0.3">
      <c r="A28" s="342" t="s">
        <v>390</v>
      </c>
      <c r="B28" s="343">
        <v>585.67499999999995</v>
      </c>
      <c r="C28" s="344">
        <v>0.17</v>
      </c>
      <c r="D28" s="344">
        <v>0.13589999999999999</v>
      </c>
      <c r="E28" s="344">
        <v>0.1234</v>
      </c>
      <c r="F28" s="344">
        <v>0.15049999999999999</v>
      </c>
      <c r="G28" s="344">
        <v>0.16819999999999999</v>
      </c>
      <c r="H28" s="344">
        <v>0.16819999999999999</v>
      </c>
      <c r="I28" s="344">
        <v>0.1681</v>
      </c>
      <c r="J28" s="345">
        <v>0.1115</v>
      </c>
      <c r="K28" s="346">
        <v>0.17</v>
      </c>
      <c r="L28" s="346">
        <v>0.10780000000000001</v>
      </c>
      <c r="M28" s="346">
        <v>0.12239999999999999</v>
      </c>
      <c r="N28" s="346">
        <v>0.24809999999999999</v>
      </c>
      <c r="O28" s="346">
        <v>0.24940000000000001</v>
      </c>
      <c r="P28" s="346">
        <v>0.2387</v>
      </c>
    </row>
    <row r="29" spans="1:16" ht="15" hidden="1" customHeight="1" outlineLevel="1" x14ac:dyDescent="0.3">
      <c r="A29" s="342" t="s">
        <v>391</v>
      </c>
      <c r="B29" s="343">
        <v>618.20000000000005</v>
      </c>
      <c r="C29" s="344">
        <v>0.17199999999999999</v>
      </c>
      <c r="D29" s="344">
        <v>0.14180000000000001</v>
      </c>
      <c r="E29" s="344">
        <v>0.129</v>
      </c>
      <c r="F29" s="344">
        <v>0.15620000000000001</v>
      </c>
      <c r="G29" s="344">
        <v>0.17019999999999999</v>
      </c>
      <c r="H29" s="344">
        <v>0.17019999999999999</v>
      </c>
      <c r="I29" s="344">
        <v>0.1701</v>
      </c>
      <c r="J29" s="345">
        <v>0.11550000000000001</v>
      </c>
      <c r="K29" s="346">
        <v>0.17199999999999999</v>
      </c>
      <c r="L29" s="346">
        <v>0.1113</v>
      </c>
      <c r="M29" s="346">
        <v>0.13020000000000001</v>
      </c>
      <c r="N29" s="346">
        <v>0.25209999999999999</v>
      </c>
      <c r="O29" s="346">
        <v>0.25359999999999999</v>
      </c>
      <c r="P29" s="346">
        <v>0.24099999999999999</v>
      </c>
    </row>
    <row r="30" spans="1:16" ht="15" hidden="1" customHeight="1" outlineLevel="1" x14ac:dyDescent="0.3">
      <c r="A30" s="342" t="s">
        <v>392</v>
      </c>
      <c r="B30" s="343">
        <v>661.7</v>
      </c>
      <c r="C30" s="344">
        <v>0.17419999999999999</v>
      </c>
      <c r="D30" s="344">
        <v>0.14410000000000001</v>
      </c>
      <c r="E30" s="344">
        <v>0.13070000000000001</v>
      </c>
      <c r="F30" s="344">
        <v>0.158</v>
      </c>
      <c r="G30" s="344">
        <v>0.1726</v>
      </c>
      <c r="H30" s="344">
        <v>0.1726</v>
      </c>
      <c r="I30" s="344">
        <v>0.17249999999999999</v>
      </c>
      <c r="J30" s="345">
        <v>0.11749999999999999</v>
      </c>
      <c r="K30" s="346">
        <v>0.17419999999999999</v>
      </c>
      <c r="L30" s="346">
        <v>0.1149</v>
      </c>
      <c r="M30" s="346">
        <v>0.1366</v>
      </c>
      <c r="N30" s="346">
        <v>0.2525</v>
      </c>
      <c r="O30" s="346">
        <v>0.25380000000000003</v>
      </c>
      <c r="P30" s="346">
        <v>0.24460000000000001</v>
      </c>
    </row>
    <row r="31" spans="1:16" ht="15" hidden="1" customHeight="1" outlineLevel="1" x14ac:dyDescent="0.3">
      <c r="A31" s="342" t="s">
        <v>393</v>
      </c>
      <c r="B31" s="343">
        <v>709.32500000000005</v>
      </c>
      <c r="C31" s="344">
        <v>0.1772</v>
      </c>
      <c r="D31" s="344">
        <v>0.14610000000000001</v>
      </c>
      <c r="E31" s="344">
        <v>0.1303</v>
      </c>
      <c r="F31" s="344">
        <v>0.16059999999999999</v>
      </c>
      <c r="G31" s="344">
        <v>0.1749</v>
      </c>
      <c r="H31" s="344">
        <v>0.17499999999999999</v>
      </c>
      <c r="I31" s="344">
        <v>0.17480000000000001</v>
      </c>
      <c r="J31" s="345">
        <v>0.1207</v>
      </c>
      <c r="K31" s="346">
        <v>0.1772</v>
      </c>
      <c r="L31" s="346">
        <v>0.12139999999999999</v>
      </c>
      <c r="M31" s="346">
        <v>0.14230000000000001</v>
      </c>
      <c r="N31" s="346">
        <v>0.25309999999999999</v>
      </c>
      <c r="O31" s="346">
        <v>0.2545</v>
      </c>
      <c r="P31" s="346">
        <v>0.24679999999999999</v>
      </c>
    </row>
    <row r="32" spans="1:16" ht="15" hidden="1" customHeight="1" outlineLevel="1" x14ac:dyDescent="0.3">
      <c r="A32" s="342" t="s">
        <v>394</v>
      </c>
      <c r="B32" s="343">
        <v>780.47500000000002</v>
      </c>
      <c r="C32" s="344">
        <v>0.18099999999999999</v>
      </c>
      <c r="D32" s="344">
        <v>0.15010000000000001</v>
      </c>
      <c r="E32" s="344">
        <v>0.13650000000000001</v>
      </c>
      <c r="F32" s="344">
        <v>0.16239999999999999</v>
      </c>
      <c r="G32" s="344">
        <v>0.17810000000000001</v>
      </c>
      <c r="H32" s="344">
        <v>0.17810000000000001</v>
      </c>
      <c r="I32" s="344">
        <v>0.17799999999999999</v>
      </c>
      <c r="J32" s="345">
        <v>0.1174</v>
      </c>
      <c r="K32" s="346">
        <v>0.18099999999999999</v>
      </c>
      <c r="L32" s="346">
        <v>0.1255</v>
      </c>
      <c r="M32" s="346">
        <v>0.1464</v>
      </c>
      <c r="N32" s="346">
        <v>0.25519999999999998</v>
      </c>
      <c r="O32" s="346">
        <v>0.25659999999999999</v>
      </c>
      <c r="P32" s="346">
        <v>0.2482</v>
      </c>
    </row>
    <row r="33" spans="1:16" ht="15" hidden="1" customHeight="1" outlineLevel="1" x14ac:dyDescent="0.3">
      <c r="A33" s="342" t="s">
        <v>395</v>
      </c>
      <c r="B33" s="343">
        <v>836.52499999999998</v>
      </c>
      <c r="C33" s="344">
        <v>0.1865</v>
      </c>
      <c r="D33" s="344">
        <v>0.15340000000000001</v>
      </c>
      <c r="E33" s="344">
        <v>0.1409</v>
      </c>
      <c r="F33" s="344">
        <v>0.1656</v>
      </c>
      <c r="G33" s="344">
        <v>0.18290000000000001</v>
      </c>
      <c r="H33" s="344">
        <v>0.18290000000000001</v>
      </c>
      <c r="I33" s="344">
        <v>0.18279999999999999</v>
      </c>
      <c r="J33" s="345">
        <v>0.11890000000000001</v>
      </c>
      <c r="K33" s="346">
        <v>0.1865</v>
      </c>
      <c r="L33" s="346">
        <v>0.12870000000000001</v>
      </c>
      <c r="M33" s="346">
        <v>0.1484</v>
      </c>
      <c r="N33" s="346">
        <v>0.25900000000000001</v>
      </c>
      <c r="O33" s="346">
        <v>0.26</v>
      </c>
      <c r="P33" s="346">
        <v>0.252</v>
      </c>
    </row>
    <row r="34" spans="1:16" ht="15" hidden="1" customHeight="1" outlineLevel="1" x14ac:dyDescent="0.3">
      <c r="A34" s="342" t="s">
        <v>396</v>
      </c>
      <c r="B34" s="343">
        <v>897.57500000000005</v>
      </c>
      <c r="C34" s="344">
        <v>0.193</v>
      </c>
      <c r="D34" s="344">
        <v>0.159</v>
      </c>
      <c r="E34" s="344">
        <v>0.14760000000000001</v>
      </c>
      <c r="F34" s="344">
        <v>0.17030000000000001</v>
      </c>
      <c r="G34" s="344">
        <v>0.18859999999999999</v>
      </c>
      <c r="H34" s="344">
        <v>0.18859999999999999</v>
      </c>
      <c r="I34" s="344">
        <v>0.1885</v>
      </c>
      <c r="J34" s="345">
        <v>0.1231</v>
      </c>
      <c r="K34" s="346">
        <v>0.193</v>
      </c>
      <c r="L34" s="346">
        <v>0.13339999999999999</v>
      </c>
      <c r="M34" s="346">
        <v>0.15160000000000001</v>
      </c>
      <c r="N34" s="346">
        <v>0.26469999999999999</v>
      </c>
      <c r="O34" s="346">
        <v>0.26550000000000001</v>
      </c>
      <c r="P34" s="346">
        <v>0.25769999999999998</v>
      </c>
    </row>
    <row r="35" spans="1:16" ht="15" hidden="1" customHeight="1" outlineLevel="1" x14ac:dyDescent="0.3">
      <c r="A35" s="342" t="s">
        <v>397</v>
      </c>
      <c r="B35" s="343">
        <v>980.27499999999998</v>
      </c>
      <c r="C35" s="344">
        <v>0.20180000000000001</v>
      </c>
      <c r="D35" s="344">
        <v>0.1691</v>
      </c>
      <c r="E35" s="344">
        <v>0.156</v>
      </c>
      <c r="F35" s="344">
        <v>0.18160000000000001</v>
      </c>
      <c r="G35" s="344">
        <v>0.1966</v>
      </c>
      <c r="H35" s="344">
        <v>0.1966</v>
      </c>
      <c r="I35" s="344">
        <v>0.19650000000000001</v>
      </c>
      <c r="J35" s="345">
        <v>0.1305</v>
      </c>
      <c r="K35" s="346">
        <v>0.20180000000000001</v>
      </c>
      <c r="L35" s="346">
        <v>0.14269999999999999</v>
      </c>
      <c r="M35" s="346">
        <v>0.16320000000000001</v>
      </c>
      <c r="N35" s="346">
        <v>0.27479999999999999</v>
      </c>
      <c r="O35" s="346">
        <v>0.27550000000000002</v>
      </c>
      <c r="P35" s="346">
        <v>0.26769999999999999</v>
      </c>
    </row>
    <row r="36" spans="1:16" ht="15" hidden="1" customHeight="1" outlineLevel="1" x14ac:dyDescent="0.3">
      <c r="A36" s="342" t="s">
        <v>398</v>
      </c>
      <c r="B36" s="343">
        <v>1046.675</v>
      </c>
      <c r="C36" s="344">
        <v>0.21260000000000001</v>
      </c>
      <c r="D36" s="344">
        <v>0.17849999999999999</v>
      </c>
      <c r="E36" s="344">
        <v>0.16400000000000001</v>
      </c>
      <c r="F36" s="344">
        <v>0.19070000000000001</v>
      </c>
      <c r="G36" s="344">
        <v>0.2059</v>
      </c>
      <c r="H36" s="344">
        <v>0.2059</v>
      </c>
      <c r="I36" s="344">
        <v>0.20580000000000001</v>
      </c>
      <c r="J36" s="345">
        <v>0.13930000000000001</v>
      </c>
      <c r="K36" s="346">
        <v>0.21260000000000001</v>
      </c>
      <c r="L36" s="346">
        <v>0.1545</v>
      </c>
      <c r="M36" s="346">
        <v>0.17330000000000001</v>
      </c>
      <c r="N36" s="346">
        <v>0.28899999999999998</v>
      </c>
      <c r="O36" s="346">
        <v>0.28970000000000001</v>
      </c>
      <c r="P36" s="346">
        <v>0.28260000000000002</v>
      </c>
    </row>
    <row r="37" spans="1:16" ht="15" hidden="1" customHeight="1" outlineLevel="1" x14ac:dyDescent="0.3">
      <c r="A37" s="342" t="s">
        <v>399</v>
      </c>
      <c r="B37" s="343">
        <v>1116.55</v>
      </c>
      <c r="C37" s="344">
        <v>0.22339999999999999</v>
      </c>
      <c r="D37" s="344">
        <v>0.19089999999999999</v>
      </c>
      <c r="E37" s="344">
        <v>0.17419999999999999</v>
      </c>
      <c r="F37" s="344">
        <v>0.20250000000000001</v>
      </c>
      <c r="G37" s="344">
        <v>0.21510000000000001</v>
      </c>
      <c r="H37" s="344">
        <v>0.21510000000000001</v>
      </c>
      <c r="I37" s="344">
        <v>0.215</v>
      </c>
      <c r="J37" s="345">
        <v>0.14910000000000001</v>
      </c>
      <c r="K37" s="346">
        <v>0.22339999999999999</v>
      </c>
      <c r="L37" s="346">
        <v>0.1701</v>
      </c>
      <c r="M37" s="346">
        <v>0.18970000000000001</v>
      </c>
      <c r="N37" s="346">
        <v>0.30690000000000001</v>
      </c>
      <c r="O37" s="346">
        <v>0.30790000000000001</v>
      </c>
      <c r="P37" s="346">
        <v>0.30020000000000002</v>
      </c>
    </row>
    <row r="38" spans="1:16" ht="15" hidden="1" customHeight="1" outlineLevel="1" x14ac:dyDescent="0.3">
      <c r="A38" s="342" t="s">
        <v>400</v>
      </c>
      <c r="B38" s="343">
        <v>1216.25</v>
      </c>
      <c r="C38" s="344">
        <v>0.23400000000000001</v>
      </c>
      <c r="D38" s="344">
        <v>0.20330000000000001</v>
      </c>
      <c r="E38" s="344">
        <v>0.1908</v>
      </c>
      <c r="F38" s="344">
        <v>0.21049999999999999</v>
      </c>
      <c r="G38" s="344">
        <v>0.2233</v>
      </c>
      <c r="H38" s="344">
        <v>0.2233</v>
      </c>
      <c r="I38" s="344">
        <v>0.22320000000000001</v>
      </c>
      <c r="J38" s="345">
        <v>0.15609999999999999</v>
      </c>
      <c r="K38" s="346">
        <v>0.23400000000000001</v>
      </c>
      <c r="L38" s="346">
        <v>0.1832</v>
      </c>
      <c r="M38" s="346">
        <v>0.2021</v>
      </c>
      <c r="N38" s="346">
        <v>0.33019999999999999</v>
      </c>
      <c r="O38" s="346">
        <v>0.33329999999999999</v>
      </c>
      <c r="P38" s="346">
        <v>0.31469999999999998</v>
      </c>
    </row>
    <row r="39" spans="1:16" ht="15" hidden="1" customHeight="1" outlineLevel="1" x14ac:dyDescent="0.3">
      <c r="A39" s="342" t="s">
        <v>401</v>
      </c>
      <c r="B39" s="343">
        <v>1352.7249999999999</v>
      </c>
      <c r="C39" s="344">
        <v>0.2442</v>
      </c>
      <c r="D39" s="344">
        <v>0.21260000000000001</v>
      </c>
      <c r="E39" s="344">
        <v>0.20419999999999999</v>
      </c>
      <c r="F39" s="344">
        <v>0.21659999999999999</v>
      </c>
      <c r="G39" s="344">
        <v>0.23169999999999999</v>
      </c>
      <c r="H39" s="344">
        <v>0.23169999999999999</v>
      </c>
      <c r="I39" s="344">
        <v>0.2316</v>
      </c>
      <c r="J39" s="345">
        <v>0.15939999999999999</v>
      </c>
      <c r="K39" s="346">
        <v>0.2442</v>
      </c>
      <c r="L39" s="346">
        <v>0.1938</v>
      </c>
      <c r="M39" s="346">
        <v>0.21379999999999999</v>
      </c>
      <c r="N39" s="346">
        <v>0.35149999999999998</v>
      </c>
      <c r="O39" s="346">
        <v>0.3569</v>
      </c>
      <c r="P39" s="346">
        <v>0.32800000000000001</v>
      </c>
    </row>
    <row r="40" spans="1:16" ht="15" hidden="1" customHeight="1" outlineLevel="1" x14ac:dyDescent="0.3">
      <c r="A40" s="342" t="s">
        <v>402</v>
      </c>
      <c r="B40" s="343">
        <v>1482.85</v>
      </c>
      <c r="C40" s="344">
        <v>0.2616</v>
      </c>
      <c r="D40" s="344">
        <v>0.23039999999999999</v>
      </c>
      <c r="E40" s="344">
        <v>0.21809999999999999</v>
      </c>
      <c r="F40" s="344">
        <v>0.23599999999999999</v>
      </c>
      <c r="G40" s="344">
        <v>0.25040000000000001</v>
      </c>
      <c r="H40" s="344">
        <v>0.25040000000000001</v>
      </c>
      <c r="I40" s="344">
        <v>0.25030000000000002</v>
      </c>
      <c r="J40" s="345">
        <v>0.1744</v>
      </c>
      <c r="K40" s="346">
        <v>0.2616</v>
      </c>
      <c r="L40" s="346">
        <v>0.20569999999999999</v>
      </c>
      <c r="M40" s="346">
        <v>0.2261</v>
      </c>
      <c r="N40" s="346">
        <v>0.3725</v>
      </c>
      <c r="O40" s="346">
        <v>0.37709999999999999</v>
      </c>
      <c r="P40" s="346">
        <v>0.3533</v>
      </c>
    </row>
    <row r="41" spans="1:16" ht="15" hidden="1" customHeight="1" outlineLevel="1" x14ac:dyDescent="0.3">
      <c r="A41" s="342" t="s">
        <v>403</v>
      </c>
      <c r="B41" s="343">
        <v>1606.925</v>
      </c>
      <c r="C41" s="344">
        <v>0.28860000000000002</v>
      </c>
      <c r="D41" s="344">
        <v>0.25280000000000002</v>
      </c>
      <c r="E41" s="344">
        <v>0.23760000000000001</v>
      </c>
      <c r="F41" s="344">
        <v>0.2586</v>
      </c>
      <c r="G41" s="344">
        <v>0.2762</v>
      </c>
      <c r="H41" s="344">
        <v>0.2762</v>
      </c>
      <c r="I41" s="344">
        <v>0.27610000000000001</v>
      </c>
      <c r="J41" s="345">
        <v>0.19339999999999999</v>
      </c>
      <c r="K41" s="346">
        <v>0.28860000000000002</v>
      </c>
      <c r="L41" s="346">
        <v>0.22109999999999999</v>
      </c>
      <c r="M41" s="346">
        <v>0.24099999999999999</v>
      </c>
      <c r="N41" s="346">
        <v>0.40489999999999998</v>
      </c>
      <c r="O41" s="346">
        <v>0.4083</v>
      </c>
      <c r="P41" s="346">
        <v>0.39240000000000003</v>
      </c>
    </row>
    <row r="42" spans="1:16" ht="15" hidden="1" customHeight="1" outlineLevel="1" x14ac:dyDescent="0.3">
      <c r="A42" s="342" t="s">
        <v>404</v>
      </c>
      <c r="B42" s="343">
        <v>1786.1</v>
      </c>
      <c r="C42" s="344">
        <v>0.30869999999999997</v>
      </c>
      <c r="D42" s="344">
        <v>0.27089999999999997</v>
      </c>
      <c r="E42" s="344">
        <v>0.2525</v>
      </c>
      <c r="F42" s="344">
        <v>0.27729999999999999</v>
      </c>
      <c r="G42" s="344">
        <v>0.29420000000000002</v>
      </c>
      <c r="H42" s="344">
        <v>0.29420000000000002</v>
      </c>
      <c r="I42" s="344">
        <v>0.29409999999999997</v>
      </c>
      <c r="J42" s="345">
        <v>0.20860000000000001</v>
      </c>
      <c r="K42" s="346">
        <v>0.30869999999999997</v>
      </c>
      <c r="L42" s="346">
        <v>0.23949999999999999</v>
      </c>
      <c r="M42" s="346">
        <v>0.26240000000000002</v>
      </c>
      <c r="N42" s="346">
        <v>0.43020000000000003</v>
      </c>
      <c r="O42" s="346">
        <v>0.43419999999999997</v>
      </c>
      <c r="P42" s="346">
        <v>0.41620000000000001</v>
      </c>
    </row>
    <row r="43" spans="1:16" ht="15" hidden="1" customHeight="1" outlineLevel="1" x14ac:dyDescent="0.3">
      <c r="A43" s="342" t="s">
        <v>405</v>
      </c>
      <c r="B43" s="343">
        <v>471.65</v>
      </c>
      <c r="C43" s="344">
        <v>0.318</v>
      </c>
      <c r="D43" s="344">
        <v>0.27760000000000001</v>
      </c>
      <c r="E43" s="344">
        <v>0.25740000000000002</v>
      </c>
      <c r="F43" s="344">
        <v>0.28439999999999999</v>
      </c>
      <c r="G43" s="344">
        <v>0.3034</v>
      </c>
      <c r="H43" s="344">
        <v>0.3034</v>
      </c>
      <c r="I43" s="344">
        <v>0.30330000000000001</v>
      </c>
      <c r="J43" s="345">
        <v>0.21629999999999999</v>
      </c>
      <c r="K43" s="346">
        <v>0.318</v>
      </c>
      <c r="L43" s="346">
        <v>0.2467</v>
      </c>
      <c r="M43" s="346">
        <v>0.2681</v>
      </c>
      <c r="N43" s="346">
        <v>0.44419999999999998</v>
      </c>
      <c r="O43" s="346">
        <v>0.44969999999999999</v>
      </c>
      <c r="P43" s="346">
        <v>0.4274</v>
      </c>
    </row>
    <row r="44" spans="1:16" ht="15" hidden="1" customHeight="1" outlineLevel="1" x14ac:dyDescent="0.3">
      <c r="A44" s="342" t="s">
        <v>406</v>
      </c>
      <c r="B44" s="343">
        <v>2024.325</v>
      </c>
      <c r="C44" s="344">
        <v>0.33100000000000002</v>
      </c>
      <c r="D44" s="344">
        <v>0.29060000000000002</v>
      </c>
      <c r="E44" s="344">
        <v>0.27250000000000002</v>
      </c>
      <c r="F44" s="344">
        <v>0.29680000000000001</v>
      </c>
      <c r="G44" s="344">
        <v>0.31630000000000003</v>
      </c>
      <c r="H44" s="344">
        <v>0.31640000000000001</v>
      </c>
      <c r="I44" s="344">
        <v>0.31619999999999998</v>
      </c>
      <c r="J44" s="345">
        <v>0.22370000000000001</v>
      </c>
      <c r="K44" s="346">
        <v>0.33100000000000002</v>
      </c>
      <c r="L44" s="346">
        <v>0.25819999999999999</v>
      </c>
      <c r="M44" s="346">
        <v>0.28179999999999999</v>
      </c>
      <c r="N44" s="346">
        <v>0.4632</v>
      </c>
      <c r="O44" s="346">
        <v>0.46960000000000002</v>
      </c>
      <c r="P44" s="346">
        <v>0.44090000000000001</v>
      </c>
    </row>
    <row r="45" spans="1:16" ht="15" hidden="1" customHeight="1" outlineLevel="1" x14ac:dyDescent="0.3">
      <c r="A45" s="342" t="s">
        <v>407</v>
      </c>
      <c r="B45" s="343">
        <v>2273.4499999999998</v>
      </c>
      <c r="C45" s="344">
        <v>0.3533</v>
      </c>
      <c r="D45" s="344">
        <v>0.30880000000000002</v>
      </c>
      <c r="E45" s="344">
        <v>0.29110000000000003</v>
      </c>
      <c r="F45" s="344">
        <v>0.31440000000000001</v>
      </c>
      <c r="G45" s="344">
        <v>0.33750000000000002</v>
      </c>
      <c r="H45" s="344">
        <v>0.33760000000000001</v>
      </c>
      <c r="I45" s="344">
        <v>0.33739999999999998</v>
      </c>
      <c r="J45" s="345">
        <v>0.2379</v>
      </c>
      <c r="K45" s="346">
        <v>0.3533</v>
      </c>
      <c r="L45" s="346">
        <v>0.27460000000000001</v>
      </c>
      <c r="M45" s="346">
        <v>0.29759999999999998</v>
      </c>
      <c r="N45" s="346">
        <v>0.49180000000000001</v>
      </c>
      <c r="O45" s="346">
        <v>0.50070000000000003</v>
      </c>
      <c r="P45" s="346">
        <v>0.46339999999999998</v>
      </c>
    </row>
    <row r="46" spans="1:16" ht="15" hidden="1" customHeight="1" outlineLevel="1" x14ac:dyDescent="0.3">
      <c r="A46" s="342" t="s">
        <v>408</v>
      </c>
      <c r="B46" s="343">
        <v>2565.5749999999998</v>
      </c>
      <c r="C46" s="344">
        <v>0.38179999999999997</v>
      </c>
      <c r="D46" s="344">
        <v>0.33560000000000001</v>
      </c>
      <c r="E46" s="344">
        <v>0.31490000000000001</v>
      </c>
      <c r="F46" s="344">
        <v>0.34239999999999998</v>
      </c>
      <c r="G46" s="344">
        <v>0.36549999999999999</v>
      </c>
      <c r="H46" s="344">
        <v>0.36559999999999998</v>
      </c>
      <c r="I46" s="344">
        <v>0.3654</v>
      </c>
      <c r="J46" s="345">
        <v>0.25969999999999999</v>
      </c>
      <c r="K46" s="346">
        <v>0.38179999999999997</v>
      </c>
      <c r="L46" s="346">
        <v>0.29220000000000002</v>
      </c>
      <c r="M46" s="346">
        <v>0.32090000000000002</v>
      </c>
      <c r="N46" s="346">
        <v>0.52569999999999995</v>
      </c>
      <c r="O46" s="346">
        <v>0.53500000000000003</v>
      </c>
      <c r="P46" s="346">
        <v>0.49440000000000001</v>
      </c>
    </row>
    <row r="47" spans="1:16" ht="15" hidden="1" customHeight="1" outlineLevel="1" x14ac:dyDescent="0.3">
      <c r="A47" s="342" t="s">
        <v>409</v>
      </c>
      <c r="B47" s="343">
        <v>2791.9</v>
      </c>
      <c r="C47" s="344">
        <v>0.41510000000000002</v>
      </c>
      <c r="D47" s="344">
        <v>0.37109999999999999</v>
      </c>
      <c r="E47" s="344">
        <v>0.34849999999999998</v>
      </c>
      <c r="F47" s="344">
        <v>0.37830000000000003</v>
      </c>
      <c r="G47" s="344">
        <v>0.4042</v>
      </c>
      <c r="H47" s="344">
        <v>0.40429999999999999</v>
      </c>
      <c r="I47" s="344">
        <v>0.40410000000000001</v>
      </c>
      <c r="J47" s="345">
        <v>0.28889999999999999</v>
      </c>
      <c r="K47" s="346">
        <v>0.41510000000000002</v>
      </c>
      <c r="L47" s="346">
        <v>0.31719999999999998</v>
      </c>
      <c r="M47" s="346">
        <v>0.34429999999999999</v>
      </c>
      <c r="N47" s="346">
        <v>0.56520000000000004</v>
      </c>
      <c r="O47" s="346">
        <v>0.57210000000000005</v>
      </c>
      <c r="P47" s="346">
        <v>0.53920000000000001</v>
      </c>
    </row>
    <row r="48" spans="1:16" ht="15" hidden="1" customHeight="1" outlineLevel="1" x14ac:dyDescent="0.3">
      <c r="A48" s="342" t="s">
        <v>410</v>
      </c>
      <c r="B48" s="343">
        <v>3133.2249999999999</v>
      </c>
      <c r="C48" s="344">
        <v>0.45590000000000003</v>
      </c>
      <c r="D48" s="344">
        <v>0.41220000000000001</v>
      </c>
      <c r="E48" s="344">
        <v>0.38650000000000001</v>
      </c>
      <c r="F48" s="344">
        <v>0.42059999999999997</v>
      </c>
      <c r="G48" s="344">
        <v>0.44359999999999999</v>
      </c>
      <c r="H48" s="344">
        <v>0.44359999999999999</v>
      </c>
      <c r="I48" s="344">
        <v>0.44340000000000002</v>
      </c>
      <c r="J48" s="345">
        <v>0.32300000000000001</v>
      </c>
      <c r="K48" s="346">
        <v>0.45590000000000003</v>
      </c>
      <c r="L48" s="346">
        <v>0.34599999999999997</v>
      </c>
      <c r="M48" s="346">
        <v>0.37530000000000002</v>
      </c>
      <c r="N48" s="346">
        <v>0.61550000000000005</v>
      </c>
      <c r="O48" s="346">
        <v>0.62229999999999996</v>
      </c>
      <c r="P48" s="346">
        <v>0.58709999999999996</v>
      </c>
    </row>
    <row r="49" spans="1:16" ht="15" hidden="1" customHeight="1" outlineLevel="1" x14ac:dyDescent="0.3">
      <c r="A49" s="342" t="s">
        <v>411</v>
      </c>
      <c r="B49" s="343">
        <v>3313.35</v>
      </c>
      <c r="C49" s="344">
        <v>0.48759999999999998</v>
      </c>
      <c r="D49" s="344">
        <v>0.44390000000000002</v>
      </c>
      <c r="E49" s="344">
        <v>0.42099999999999999</v>
      </c>
      <c r="F49" s="344">
        <v>0.45200000000000001</v>
      </c>
      <c r="G49" s="344">
        <v>0.47110000000000002</v>
      </c>
      <c r="H49" s="344">
        <v>0.47110000000000002</v>
      </c>
      <c r="I49" s="344">
        <v>0.47089999999999999</v>
      </c>
      <c r="J49" s="345">
        <v>0.35199999999999998</v>
      </c>
      <c r="K49" s="346">
        <v>0.48759999999999998</v>
      </c>
      <c r="L49" s="346">
        <v>0.36370000000000002</v>
      </c>
      <c r="M49" s="346">
        <v>0.39419999999999999</v>
      </c>
      <c r="N49" s="346">
        <v>0.66369999999999996</v>
      </c>
      <c r="O49" s="346">
        <v>0.67030000000000001</v>
      </c>
      <c r="P49" s="346">
        <v>0.62919999999999998</v>
      </c>
    </row>
    <row r="50" spans="1:16" ht="15" hidden="1" customHeight="1" outlineLevel="1" x14ac:dyDescent="0.3">
      <c r="A50" s="342" t="s">
        <v>412</v>
      </c>
      <c r="B50" s="343">
        <v>3536</v>
      </c>
      <c r="C50" s="344">
        <v>0.50890000000000002</v>
      </c>
      <c r="D50" s="344">
        <v>0.4657</v>
      </c>
      <c r="E50" s="344">
        <v>0.44169999999999998</v>
      </c>
      <c r="F50" s="344">
        <v>0.47470000000000001</v>
      </c>
      <c r="G50" s="344">
        <v>0.49259999999999998</v>
      </c>
      <c r="H50" s="344">
        <v>0.49259999999999998</v>
      </c>
      <c r="I50" s="344">
        <v>0.4924</v>
      </c>
      <c r="J50" s="345">
        <v>0.37019999999999997</v>
      </c>
      <c r="K50" s="346">
        <v>0.50890000000000002</v>
      </c>
      <c r="L50" s="346">
        <v>0.37569999999999998</v>
      </c>
      <c r="M50" s="346">
        <v>0.40539999999999998</v>
      </c>
      <c r="N50" s="346">
        <v>0.70279999999999998</v>
      </c>
      <c r="O50" s="346">
        <v>0.71060000000000001</v>
      </c>
      <c r="P50" s="346">
        <v>0.65100000000000002</v>
      </c>
    </row>
    <row r="51" spans="1:16" ht="15" hidden="1" customHeight="1" outlineLevel="1" x14ac:dyDescent="0.3">
      <c r="A51" s="342" t="s">
        <v>413</v>
      </c>
      <c r="B51" s="343">
        <v>3949.1750000000002</v>
      </c>
      <c r="C51" s="344">
        <v>0.52710000000000001</v>
      </c>
      <c r="D51" s="344">
        <v>0.48799999999999999</v>
      </c>
      <c r="E51" s="344">
        <v>0.46460000000000001</v>
      </c>
      <c r="F51" s="344">
        <v>0.49709999999999999</v>
      </c>
      <c r="G51" s="344">
        <v>0.51149999999999995</v>
      </c>
      <c r="H51" s="344">
        <v>0.51149999999999995</v>
      </c>
      <c r="I51" s="344">
        <v>0.51129999999999998</v>
      </c>
      <c r="J51" s="345">
        <v>0.38950000000000001</v>
      </c>
      <c r="K51" s="346">
        <v>0.52710000000000001</v>
      </c>
      <c r="L51" s="346">
        <v>0.38579999999999998</v>
      </c>
      <c r="M51" s="346">
        <v>0.42820000000000003</v>
      </c>
      <c r="N51" s="346">
        <v>0.73140000000000005</v>
      </c>
      <c r="O51" s="346">
        <v>0.74150000000000005</v>
      </c>
      <c r="P51" s="346">
        <v>0.66890000000000005</v>
      </c>
    </row>
    <row r="52" spans="1:16" ht="15" hidden="1" customHeight="1" outlineLevel="1" x14ac:dyDescent="0.3">
      <c r="A52" s="342" t="s">
        <v>414</v>
      </c>
      <c r="B52" s="343">
        <v>4265.125</v>
      </c>
      <c r="C52" s="344">
        <v>0.54469999999999996</v>
      </c>
      <c r="D52" s="344">
        <v>0.50590000000000002</v>
      </c>
      <c r="E52" s="344">
        <v>0.48270000000000002</v>
      </c>
      <c r="F52" s="344">
        <v>0.51500000000000001</v>
      </c>
      <c r="G52" s="344">
        <v>0.52939999999999998</v>
      </c>
      <c r="H52" s="344">
        <v>0.52939999999999998</v>
      </c>
      <c r="I52" s="344">
        <v>0.52910000000000001</v>
      </c>
      <c r="J52" s="345">
        <v>0.40600000000000003</v>
      </c>
      <c r="K52" s="346">
        <v>0.54469999999999996</v>
      </c>
      <c r="L52" s="346">
        <v>0.40229999999999999</v>
      </c>
      <c r="M52" s="346">
        <v>0.44650000000000001</v>
      </c>
      <c r="N52" s="346">
        <v>0.73819999999999997</v>
      </c>
      <c r="O52" s="346">
        <v>0.74739999999999995</v>
      </c>
      <c r="P52" s="346">
        <v>0.68379999999999996</v>
      </c>
    </row>
    <row r="53" spans="1:16" ht="15" hidden="1" customHeight="1" outlineLevel="1" x14ac:dyDescent="0.3">
      <c r="A53" s="342" t="s">
        <v>415</v>
      </c>
      <c r="B53" s="343">
        <v>4526.25</v>
      </c>
      <c r="C53" s="344">
        <v>0.55689999999999995</v>
      </c>
      <c r="D53" s="344">
        <v>0.51649999999999996</v>
      </c>
      <c r="E53" s="344">
        <v>0.49349999999999999</v>
      </c>
      <c r="F53" s="344">
        <v>0.52580000000000005</v>
      </c>
      <c r="G53" s="344">
        <v>0.54320000000000002</v>
      </c>
      <c r="H53" s="344">
        <v>0.54320000000000002</v>
      </c>
      <c r="I53" s="344">
        <v>0.54290000000000005</v>
      </c>
      <c r="J53" s="345">
        <v>0.42059999999999997</v>
      </c>
      <c r="K53" s="346">
        <v>0.55689999999999995</v>
      </c>
      <c r="L53" s="346">
        <v>0.40720000000000001</v>
      </c>
      <c r="M53" s="346">
        <v>0.44640000000000002</v>
      </c>
      <c r="N53" s="346">
        <v>0.73299999999999998</v>
      </c>
      <c r="O53" s="346">
        <v>0.7389</v>
      </c>
      <c r="P53" s="346">
        <v>0.69210000000000005</v>
      </c>
    </row>
    <row r="54" spans="1:16" ht="15" hidden="1" customHeight="1" outlineLevel="1" x14ac:dyDescent="0.3">
      <c r="A54" s="342" t="s">
        <v>416</v>
      </c>
      <c r="B54" s="343">
        <v>4767.6499999999996</v>
      </c>
      <c r="C54" s="344">
        <v>0.56940000000000002</v>
      </c>
      <c r="D54" s="344">
        <v>0.53139999999999998</v>
      </c>
      <c r="E54" s="344">
        <v>0.50080000000000002</v>
      </c>
      <c r="F54" s="344">
        <v>0.5444</v>
      </c>
      <c r="G54" s="344">
        <v>0.55710000000000004</v>
      </c>
      <c r="H54" s="344">
        <v>0.55720000000000003</v>
      </c>
      <c r="I54" s="344">
        <v>0.55689999999999995</v>
      </c>
      <c r="J54" s="345">
        <v>0.44209999999999999</v>
      </c>
      <c r="K54" s="346">
        <v>0.56940000000000002</v>
      </c>
      <c r="L54" s="346">
        <v>0.4088</v>
      </c>
      <c r="M54" s="346">
        <v>0.45600000000000002</v>
      </c>
      <c r="N54" s="346">
        <v>0.7258</v>
      </c>
      <c r="O54" s="346">
        <v>0.72950000000000004</v>
      </c>
      <c r="P54" s="346">
        <v>0.7016</v>
      </c>
    </row>
    <row r="55" spans="1:16" ht="15" hidden="1" customHeight="1" outlineLevel="1" x14ac:dyDescent="0.3">
      <c r="A55" s="342" t="s">
        <v>417</v>
      </c>
      <c r="B55" s="343">
        <v>5138.55</v>
      </c>
      <c r="C55" s="344">
        <v>0.58779999999999999</v>
      </c>
      <c r="D55" s="344">
        <v>0.54969999999999997</v>
      </c>
      <c r="E55" s="344">
        <v>0.51339999999999997</v>
      </c>
      <c r="F55" s="344">
        <v>0.56459999999999999</v>
      </c>
      <c r="G55" s="344">
        <v>0.57830000000000004</v>
      </c>
      <c r="H55" s="344">
        <v>0.57840000000000003</v>
      </c>
      <c r="I55" s="344">
        <v>0.57789999999999997</v>
      </c>
      <c r="J55" s="345">
        <v>0.45900000000000002</v>
      </c>
      <c r="K55" s="346">
        <v>0.58779999999999999</v>
      </c>
      <c r="L55" s="346">
        <v>0.42170000000000002</v>
      </c>
      <c r="M55" s="346">
        <v>0.47370000000000001</v>
      </c>
      <c r="N55" s="346">
        <v>0.72719999999999996</v>
      </c>
      <c r="O55" s="346">
        <v>0.72819999999999996</v>
      </c>
      <c r="P55" s="346">
        <v>0.72160000000000002</v>
      </c>
    </row>
    <row r="56" spans="1:16" ht="15" hidden="1" customHeight="1" outlineLevel="1" x14ac:dyDescent="0.3">
      <c r="A56" s="342" t="s">
        <v>418</v>
      </c>
      <c r="B56" s="343">
        <v>5554.6750000000002</v>
      </c>
      <c r="C56" s="344">
        <v>0.61160000000000003</v>
      </c>
      <c r="D56" s="344">
        <v>0.57140000000000002</v>
      </c>
      <c r="E56" s="344">
        <v>0.53320000000000001</v>
      </c>
      <c r="F56" s="344">
        <v>0.58660000000000001</v>
      </c>
      <c r="G56" s="344">
        <v>0.60399999999999998</v>
      </c>
      <c r="H56" s="344">
        <v>0.60409999999999997</v>
      </c>
      <c r="I56" s="344">
        <v>0.60309999999999997</v>
      </c>
      <c r="J56" s="345">
        <v>0.47820000000000001</v>
      </c>
      <c r="K56" s="346">
        <v>0.61160000000000003</v>
      </c>
      <c r="L56" s="346">
        <v>0.43240000000000001</v>
      </c>
      <c r="M56" s="346">
        <v>0.48180000000000001</v>
      </c>
      <c r="N56" s="346">
        <v>0.74370000000000003</v>
      </c>
      <c r="O56" s="346">
        <v>0.74339999999999995</v>
      </c>
      <c r="P56" s="346">
        <v>0.74550000000000005</v>
      </c>
    </row>
    <row r="57" spans="1:16" ht="15" hidden="1" customHeight="1" outlineLevel="1" x14ac:dyDescent="0.3">
      <c r="A57" s="342" t="s">
        <v>419</v>
      </c>
      <c r="B57" s="343">
        <v>5898.75</v>
      </c>
      <c r="C57" s="344">
        <v>0.63400000000000001</v>
      </c>
      <c r="D57" s="344">
        <v>0.58799999999999997</v>
      </c>
      <c r="E57" s="344">
        <v>0.55149999999999999</v>
      </c>
      <c r="F57" s="344">
        <v>0.60040000000000004</v>
      </c>
      <c r="G57" s="344">
        <v>0.62860000000000005</v>
      </c>
      <c r="H57" s="344">
        <v>0.62880000000000003</v>
      </c>
      <c r="I57" s="344">
        <v>0.62729999999999997</v>
      </c>
      <c r="J57" s="345">
        <v>0.50139999999999996</v>
      </c>
      <c r="K57" s="346">
        <v>0.63400000000000001</v>
      </c>
      <c r="L57" s="346">
        <v>0.44419999999999998</v>
      </c>
      <c r="M57" s="346">
        <v>0.4834</v>
      </c>
      <c r="N57" s="346">
        <v>0.75700000000000001</v>
      </c>
      <c r="O57" s="346">
        <v>0.75570000000000004</v>
      </c>
      <c r="P57" s="346">
        <v>0.76459999999999995</v>
      </c>
    </row>
    <row r="58" spans="1:16" ht="15" hidden="1" customHeight="1" outlineLevel="1" x14ac:dyDescent="0.3">
      <c r="A58" s="342" t="s">
        <v>420</v>
      </c>
      <c r="B58" s="343">
        <v>6093.1750000000002</v>
      </c>
      <c r="C58" s="344">
        <v>0.65659999999999996</v>
      </c>
      <c r="D58" s="344">
        <v>0.61429999999999996</v>
      </c>
      <c r="E58" s="344">
        <v>0.57879999999999998</v>
      </c>
      <c r="F58" s="344">
        <v>0.62429999999999997</v>
      </c>
      <c r="G58" s="344">
        <v>0.65359999999999996</v>
      </c>
      <c r="H58" s="344">
        <v>0.65380000000000005</v>
      </c>
      <c r="I58" s="344">
        <v>0.65200000000000002</v>
      </c>
      <c r="J58" s="345">
        <v>0.52239999999999998</v>
      </c>
      <c r="K58" s="346">
        <v>0.65659999999999996</v>
      </c>
      <c r="L58" s="346">
        <v>0.47089999999999999</v>
      </c>
      <c r="M58" s="346">
        <v>0.50839999999999996</v>
      </c>
      <c r="N58" s="346">
        <v>0.77490000000000003</v>
      </c>
      <c r="O58" s="346">
        <v>0.7732</v>
      </c>
      <c r="P58" s="346">
        <v>0.78420000000000001</v>
      </c>
    </row>
    <row r="59" spans="1:16" ht="15" hidden="1" customHeight="1" outlineLevel="1" x14ac:dyDescent="0.3">
      <c r="A59" s="342" t="s">
        <v>421</v>
      </c>
      <c r="B59" s="343">
        <v>6416.25</v>
      </c>
      <c r="C59" s="344">
        <v>0.67300000000000004</v>
      </c>
      <c r="D59" s="344">
        <v>0.63929999999999998</v>
      </c>
      <c r="E59" s="344">
        <v>0.58799999999999997</v>
      </c>
      <c r="F59" s="344">
        <v>0.65500000000000003</v>
      </c>
      <c r="G59" s="344">
        <v>0.67069999999999996</v>
      </c>
      <c r="H59" s="344">
        <v>0.67100000000000004</v>
      </c>
      <c r="I59" s="344">
        <v>0.66890000000000005</v>
      </c>
      <c r="J59" s="345">
        <v>0.53779999999999994</v>
      </c>
      <c r="K59" s="346">
        <v>0.67300000000000004</v>
      </c>
      <c r="L59" s="346">
        <v>0.48759999999999998</v>
      </c>
      <c r="M59" s="346">
        <v>0.55320000000000003</v>
      </c>
      <c r="N59" s="346">
        <v>0.78680000000000005</v>
      </c>
      <c r="O59" s="346">
        <v>0.78590000000000004</v>
      </c>
      <c r="P59" s="346">
        <v>0.79069999999999996</v>
      </c>
    </row>
    <row r="60" spans="1:16" ht="15" hidden="1" customHeight="1" outlineLevel="1" x14ac:dyDescent="0.3">
      <c r="A60" s="342" t="s">
        <v>422</v>
      </c>
      <c r="B60" s="343">
        <v>6775.3249999999998</v>
      </c>
      <c r="C60" s="344">
        <v>0.68879999999999997</v>
      </c>
      <c r="D60" s="344">
        <v>0.65820000000000001</v>
      </c>
      <c r="E60" s="344">
        <v>0.59389999999999998</v>
      </c>
      <c r="F60" s="344">
        <v>0.67730000000000001</v>
      </c>
      <c r="G60" s="344">
        <v>0.68789999999999996</v>
      </c>
      <c r="H60" s="344">
        <v>0.68840000000000001</v>
      </c>
      <c r="I60" s="344">
        <v>0.68559999999999999</v>
      </c>
      <c r="J60" s="345">
        <v>0.55459999999999998</v>
      </c>
      <c r="K60" s="346">
        <v>0.68879999999999997</v>
      </c>
      <c r="L60" s="346">
        <v>0.51300000000000001</v>
      </c>
      <c r="M60" s="346">
        <v>0.59599999999999997</v>
      </c>
      <c r="N60" s="346">
        <v>0.80569999999999997</v>
      </c>
      <c r="O60" s="346">
        <v>0.80630000000000002</v>
      </c>
      <c r="P60" s="346">
        <v>0.80349999999999999</v>
      </c>
    </row>
    <row r="61" spans="1:16" ht="15" hidden="1" customHeight="1" outlineLevel="1" x14ac:dyDescent="0.3">
      <c r="A61" s="342" t="s">
        <v>423</v>
      </c>
      <c r="B61" s="343">
        <v>7176.85</v>
      </c>
      <c r="C61" s="344">
        <v>0.70379999999999998</v>
      </c>
      <c r="D61" s="344">
        <v>0.66979999999999995</v>
      </c>
      <c r="E61" s="344">
        <v>0.59950000000000003</v>
      </c>
      <c r="F61" s="344">
        <v>0.68910000000000005</v>
      </c>
      <c r="G61" s="344">
        <v>0.70230000000000004</v>
      </c>
      <c r="H61" s="344">
        <v>0.70289999999999997</v>
      </c>
      <c r="I61" s="344">
        <v>0.69920000000000004</v>
      </c>
      <c r="J61" s="345">
        <v>0.56889999999999996</v>
      </c>
      <c r="K61" s="346">
        <v>0.70379999999999998</v>
      </c>
      <c r="L61" s="346">
        <v>0.53610000000000002</v>
      </c>
      <c r="M61" s="346">
        <v>0.60240000000000005</v>
      </c>
      <c r="N61" s="346">
        <v>0.82499999999999996</v>
      </c>
      <c r="O61" s="346">
        <v>0.82699999999999996</v>
      </c>
      <c r="P61" s="346">
        <v>0.81740000000000002</v>
      </c>
    </row>
    <row r="62" spans="1:16" ht="15" hidden="1" customHeight="1" outlineLevel="1" x14ac:dyDescent="0.3">
      <c r="A62" s="342" t="s">
        <v>424</v>
      </c>
      <c r="B62" s="343">
        <v>7560.4250000000002</v>
      </c>
      <c r="C62" s="344">
        <v>0.71879999999999999</v>
      </c>
      <c r="D62" s="344">
        <v>0.68969999999999998</v>
      </c>
      <c r="E62" s="344">
        <v>0.61109999999999998</v>
      </c>
      <c r="F62" s="344">
        <v>0.7097</v>
      </c>
      <c r="G62" s="344">
        <v>0.71740000000000004</v>
      </c>
      <c r="H62" s="344">
        <v>0.71809999999999996</v>
      </c>
      <c r="I62" s="344">
        <v>0.71430000000000005</v>
      </c>
      <c r="J62" s="345">
        <v>0.58840000000000003</v>
      </c>
      <c r="K62" s="346">
        <v>0.71879999999999999</v>
      </c>
      <c r="L62" s="346">
        <v>0.55310000000000004</v>
      </c>
      <c r="M62" s="346">
        <v>0.64290000000000003</v>
      </c>
      <c r="N62" s="346">
        <v>0.84599999999999997</v>
      </c>
      <c r="O62" s="346">
        <v>0.84789999999999999</v>
      </c>
      <c r="P62" s="346">
        <v>0.84040000000000004</v>
      </c>
    </row>
    <row r="63" spans="1:16" ht="15" hidden="1" customHeight="1" outlineLevel="1" x14ac:dyDescent="0.3">
      <c r="A63" s="342" t="s">
        <v>425</v>
      </c>
      <c r="B63" s="343">
        <v>7951.3249999999998</v>
      </c>
      <c r="C63" s="344">
        <v>0.73229999999999995</v>
      </c>
      <c r="D63" s="344">
        <v>0.70420000000000005</v>
      </c>
      <c r="E63" s="344">
        <v>0.62429999999999997</v>
      </c>
      <c r="F63" s="344">
        <v>0.72319999999999995</v>
      </c>
      <c r="G63" s="344">
        <v>0.73199999999999998</v>
      </c>
      <c r="H63" s="344">
        <v>0.73260000000000003</v>
      </c>
      <c r="I63" s="344">
        <v>0.7288</v>
      </c>
      <c r="J63" s="345">
        <v>0.60560000000000003</v>
      </c>
      <c r="K63" s="346">
        <v>0.73229999999999995</v>
      </c>
      <c r="L63" s="346">
        <v>0.57940000000000003</v>
      </c>
      <c r="M63" s="346">
        <v>0.66220000000000001</v>
      </c>
      <c r="N63" s="346">
        <v>0.85670000000000002</v>
      </c>
      <c r="O63" s="346">
        <v>0.86029999999999995</v>
      </c>
      <c r="P63" s="346">
        <v>0.84719999999999995</v>
      </c>
    </row>
    <row r="64" spans="1:16" ht="15" hidden="1" customHeight="1" outlineLevel="1" x14ac:dyDescent="0.3">
      <c r="A64" s="342" t="s">
        <v>426</v>
      </c>
      <c r="B64" s="343">
        <v>8451.0249999999996</v>
      </c>
      <c r="C64" s="344">
        <v>0.74529999999999996</v>
      </c>
      <c r="D64" s="344">
        <v>0.71899999999999997</v>
      </c>
      <c r="E64" s="344">
        <v>0.63400000000000001</v>
      </c>
      <c r="F64" s="344">
        <v>0.73919999999999997</v>
      </c>
      <c r="G64" s="344">
        <v>0.74680000000000002</v>
      </c>
      <c r="H64" s="344">
        <v>0.74739999999999995</v>
      </c>
      <c r="I64" s="344">
        <v>0.74350000000000005</v>
      </c>
      <c r="J64" s="345">
        <v>0.61729999999999996</v>
      </c>
      <c r="K64" s="346">
        <v>0.74529999999999996</v>
      </c>
      <c r="L64" s="346">
        <v>0.59370000000000001</v>
      </c>
      <c r="M64" s="346">
        <v>0.67710000000000004</v>
      </c>
      <c r="N64" s="346">
        <v>0.85499999999999998</v>
      </c>
      <c r="O64" s="346">
        <v>0.85719999999999996</v>
      </c>
      <c r="P64" s="346">
        <v>0.84919999999999995</v>
      </c>
    </row>
    <row r="65" spans="1:16" ht="15" hidden="1" customHeight="1" outlineLevel="1" x14ac:dyDescent="0.3">
      <c r="A65" s="342" t="s">
        <v>427</v>
      </c>
      <c r="B65" s="343">
        <v>8930.7999999999993</v>
      </c>
      <c r="C65" s="344">
        <v>0.75460000000000005</v>
      </c>
      <c r="D65" s="344">
        <v>0.72499999999999998</v>
      </c>
      <c r="E65" s="344">
        <v>0.64600000000000002</v>
      </c>
      <c r="F65" s="344">
        <v>0.74260000000000004</v>
      </c>
      <c r="G65" s="344">
        <v>0.75380000000000003</v>
      </c>
      <c r="H65" s="344">
        <v>0.75429999999999997</v>
      </c>
      <c r="I65" s="344">
        <v>0.75149999999999995</v>
      </c>
      <c r="J65" s="345">
        <v>0.62509999999999999</v>
      </c>
      <c r="K65" s="346">
        <v>0.75460000000000005</v>
      </c>
      <c r="L65" s="346">
        <v>0.60599999999999998</v>
      </c>
      <c r="M65" s="346">
        <v>0.66290000000000004</v>
      </c>
      <c r="N65" s="346">
        <v>0.85570000000000002</v>
      </c>
      <c r="O65" s="346">
        <v>0.85719999999999996</v>
      </c>
      <c r="P65" s="346">
        <v>0.85050000000000003</v>
      </c>
    </row>
    <row r="66" spans="1:16" ht="15" hidden="1" customHeight="1" outlineLevel="1" x14ac:dyDescent="0.3">
      <c r="A66" s="342" t="s">
        <v>428</v>
      </c>
      <c r="B66" s="343">
        <v>9479.35</v>
      </c>
      <c r="C66" s="344">
        <v>0.76429999999999998</v>
      </c>
      <c r="D66" s="344">
        <v>0.7339</v>
      </c>
      <c r="E66" s="344">
        <v>0.65890000000000004</v>
      </c>
      <c r="F66" s="344">
        <v>0.75039999999999996</v>
      </c>
      <c r="G66" s="344">
        <v>0.76280000000000003</v>
      </c>
      <c r="H66" s="344">
        <v>0.76319999999999999</v>
      </c>
      <c r="I66" s="344">
        <v>0.76080000000000003</v>
      </c>
      <c r="J66" s="345">
        <v>0.64029999999999998</v>
      </c>
      <c r="K66" s="346">
        <v>0.76429999999999998</v>
      </c>
      <c r="L66" s="346">
        <v>0.62450000000000006</v>
      </c>
      <c r="M66" s="346">
        <v>0.68179999999999996</v>
      </c>
      <c r="N66" s="346">
        <v>0.86429999999999996</v>
      </c>
      <c r="O66" s="346">
        <v>0.86750000000000005</v>
      </c>
      <c r="P66" s="346">
        <v>0.85619999999999996</v>
      </c>
    </row>
    <row r="67" spans="1:16" ht="15" hidden="1" customHeight="1" outlineLevel="1" x14ac:dyDescent="0.3">
      <c r="A67" s="342" t="s">
        <v>429</v>
      </c>
      <c r="B67" s="343">
        <v>10117.450000000001</v>
      </c>
      <c r="C67" s="344">
        <v>0.78</v>
      </c>
      <c r="D67" s="344">
        <v>0.75249999999999995</v>
      </c>
      <c r="E67" s="344">
        <v>0.68210000000000004</v>
      </c>
      <c r="F67" s="344">
        <v>0.7681</v>
      </c>
      <c r="G67" s="344">
        <v>0.78069999999999995</v>
      </c>
      <c r="H67" s="344">
        <v>0.78120000000000001</v>
      </c>
      <c r="I67" s="344">
        <v>0.77839999999999998</v>
      </c>
      <c r="J67" s="345">
        <v>0.66459999999999997</v>
      </c>
      <c r="K67" s="346">
        <v>0.78</v>
      </c>
      <c r="L67" s="346">
        <v>0.65680000000000005</v>
      </c>
      <c r="M67" s="346">
        <v>0.7077</v>
      </c>
      <c r="N67" s="346">
        <v>0.87649999999999995</v>
      </c>
      <c r="O67" s="346">
        <v>0.87819999999999998</v>
      </c>
      <c r="P67" s="346">
        <v>0.87280000000000002</v>
      </c>
    </row>
    <row r="68" spans="1:16" ht="15" customHeight="1" collapsed="1" x14ac:dyDescent="0.3">
      <c r="A68" s="342" t="s">
        <v>430</v>
      </c>
      <c r="B68" s="343">
        <v>10526.5</v>
      </c>
      <c r="C68" s="344">
        <v>0.7984</v>
      </c>
      <c r="D68" s="344">
        <v>0.7722</v>
      </c>
      <c r="E68" s="344">
        <v>0.70540000000000003</v>
      </c>
      <c r="F68" s="344">
        <v>0.78669999999999995</v>
      </c>
      <c r="G68" s="344">
        <v>0.79810000000000003</v>
      </c>
      <c r="H68" s="344">
        <v>0.79849999999999999</v>
      </c>
      <c r="I68" s="344">
        <v>0.79600000000000004</v>
      </c>
      <c r="J68" s="345">
        <v>0.68589999999999995</v>
      </c>
      <c r="K68" s="346">
        <v>0.7984</v>
      </c>
      <c r="L68" s="346">
        <v>0.6714</v>
      </c>
      <c r="M68" s="346">
        <v>0.73019999999999996</v>
      </c>
      <c r="N68" s="346">
        <v>0.88070000000000004</v>
      </c>
      <c r="O68" s="346">
        <v>0.88</v>
      </c>
      <c r="P68" s="346">
        <v>0.8821</v>
      </c>
    </row>
    <row r="69" spans="1:16" ht="15" customHeight="1" x14ac:dyDescent="0.3">
      <c r="A69" s="342" t="s">
        <v>431</v>
      </c>
      <c r="B69" s="343">
        <v>10833.65</v>
      </c>
      <c r="C69" s="344">
        <v>0.81120000000000003</v>
      </c>
      <c r="D69" s="344">
        <v>0.78410000000000002</v>
      </c>
      <c r="E69" s="344">
        <v>0.72840000000000005</v>
      </c>
      <c r="F69" s="344">
        <v>0.79690000000000005</v>
      </c>
      <c r="G69" s="344">
        <v>0.80730000000000002</v>
      </c>
      <c r="H69" s="344">
        <v>0.80779999999999996</v>
      </c>
      <c r="I69" s="344">
        <v>0.8054</v>
      </c>
      <c r="J69" s="345">
        <v>0.6996</v>
      </c>
      <c r="K69" s="346">
        <v>0.81120000000000003</v>
      </c>
      <c r="L69" s="346">
        <v>0.70920000000000005</v>
      </c>
      <c r="M69" s="346">
        <v>0.75619999999999998</v>
      </c>
      <c r="N69" s="346">
        <v>0.87619999999999998</v>
      </c>
      <c r="O69" s="346">
        <v>0.87390000000000001</v>
      </c>
      <c r="P69" s="346">
        <v>0.88139999999999996</v>
      </c>
    </row>
    <row r="70" spans="1:16" ht="15" customHeight="1" x14ac:dyDescent="0.3">
      <c r="A70" s="342" t="s">
        <v>432</v>
      </c>
      <c r="B70" s="343">
        <v>11283.8</v>
      </c>
      <c r="C70" s="344">
        <v>0.82599999999999996</v>
      </c>
      <c r="D70" s="344">
        <v>0.80640000000000001</v>
      </c>
      <c r="E70" s="344">
        <v>0.77549999999999997</v>
      </c>
      <c r="F70" s="344">
        <v>0.81389999999999996</v>
      </c>
      <c r="G70" s="344">
        <v>0.82320000000000004</v>
      </c>
      <c r="H70" s="344">
        <v>0.82369999999999999</v>
      </c>
      <c r="I70" s="344">
        <v>0.82130000000000003</v>
      </c>
      <c r="J70" s="345">
        <v>0.71950000000000003</v>
      </c>
      <c r="K70" s="346">
        <v>0.82599999999999996</v>
      </c>
      <c r="L70" s="346">
        <v>0.74760000000000004</v>
      </c>
      <c r="M70" s="346">
        <v>0.78849999999999998</v>
      </c>
      <c r="N70" s="346">
        <v>0.8831</v>
      </c>
      <c r="O70" s="346">
        <v>0.88219999999999998</v>
      </c>
      <c r="P70" s="346">
        <v>0.88539999999999996</v>
      </c>
    </row>
    <row r="71" spans="1:16" ht="15" customHeight="1" x14ac:dyDescent="0.3">
      <c r="A71" s="342" t="s">
        <v>433</v>
      </c>
      <c r="B71" s="343">
        <v>12025.45</v>
      </c>
      <c r="C71" s="344">
        <v>0.8458</v>
      </c>
      <c r="D71" s="344">
        <v>0.82740000000000002</v>
      </c>
      <c r="E71" s="344">
        <v>0.80469999999999997</v>
      </c>
      <c r="F71" s="344">
        <v>0.83320000000000005</v>
      </c>
      <c r="G71" s="344">
        <v>0.84150000000000003</v>
      </c>
      <c r="H71" s="344">
        <v>0.84189999999999998</v>
      </c>
      <c r="I71" s="344">
        <v>0.83989999999999998</v>
      </c>
      <c r="J71" s="345">
        <v>0.74629999999999996</v>
      </c>
      <c r="K71" s="346">
        <v>0.8458</v>
      </c>
      <c r="L71" s="346">
        <v>0.78369999999999995</v>
      </c>
      <c r="M71" s="346">
        <v>0.81459999999999999</v>
      </c>
      <c r="N71" s="346">
        <v>0.89500000000000002</v>
      </c>
      <c r="O71" s="346">
        <v>0.89429999999999998</v>
      </c>
      <c r="P71" s="346">
        <v>0.89710000000000001</v>
      </c>
    </row>
    <row r="72" spans="1:16" ht="15" customHeight="1" x14ac:dyDescent="0.3">
      <c r="A72" s="342" t="s">
        <v>434</v>
      </c>
      <c r="B72" s="343">
        <v>12834.15</v>
      </c>
      <c r="C72" s="344">
        <v>0.87160000000000004</v>
      </c>
      <c r="D72" s="344">
        <v>0.85580000000000001</v>
      </c>
      <c r="E72" s="344">
        <v>0.84309999999999996</v>
      </c>
      <c r="F72" s="344">
        <v>0.85909999999999997</v>
      </c>
      <c r="G72" s="344">
        <v>0.86519999999999997</v>
      </c>
      <c r="H72" s="344">
        <v>0.86539999999999995</v>
      </c>
      <c r="I72" s="344">
        <v>0.86399999999999999</v>
      </c>
      <c r="J72" s="345">
        <v>0.79</v>
      </c>
      <c r="K72" s="346">
        <v>0.87160000000000004</v>
      </c>
      <c r="L72" s="346">
        <v>0.82030000000000003</v>
      </c>
      <c r="M72" s="346">
        <v>0.84370000000000001</v>
      </c>
      <c r="N72" s="346">
        <v>0.91169999999999995</v>
      </c>
      <c r="O72" s="346">
        <v>0.91080000000000005</v>
      </c>
      <c r="P72" s="346">
        <v>0.91469999999999996</v>
      </c>
    </row>
    <row r="73" spans="1:16" ht="15" customHeight="1" x14ac:dyDescent="0.3">
      <c r="A73" s="342" t="s">
        <v>435</v>
      </c>
      <c r="B73" s="343">
        <v>13638.375</v>
      </c>
      <c r="C73" s="344">
        <v>0.89949999999999997</v>
      </c>
      <c r="D73" s="344">
        <v>0.88539999999999996</v>
      </c>
      <c r="E73" s="344">
        <v>0.87919999999999998</v>
      </c>
      <c r="F73" s="344">
        <v>0.88700000000000001</v>
      </c>
      <c r="G73" s="344">
        <v>0.89149999999999996</v>
      </c>
      <c r="H73" s="344">
        <v>0.89159999999999995</v>
      </c>
      <c r="I73" s="344">
        <v>0.89059999999999995</v>
      </c>
      <c r="J73" s="345">
        <v>0.8306</v>
      </c>
      <c r="K73" s="346">
        <v>0.89949999999999997</v>
      </c>
      <c r="L73" s="346">
        <v>0.85040000000000004</v>
      </c>
      <c r="M73" s="346">
        <v>0.87109999999999999</v>
      </c>
      <c r="N73" s="346">
        <v>0.92659999999999998</v>
      </c>
      <c r="O73" s="346">
        <v>0.9264</v>
      </c>
      <c r="P73" s="346">
        <v>0.9274</v>
      </c>
    </row>
    <row r="74" spans="1:16" ht="15" customHeight="1" x14ac:dyDescent="0.3">
      <c r="A74" s="342" t="s">
        <v>436</v>
      </c>
      <c r="B74" s="343">
        <v>14290.8</v>
      </c>
      <c r="C74" s="344">
        <v>0.92400000000000004</v>
      </c>
      <c r="D74" s="344">
        <v>0.90990000000000004</v>
      </c>
      <c r="E74" s="344">
        <v>0.90810000000000002</v>
      </c>
      <c r="F74" s="344">
        <v>0.9103</v>
      </c>
      <c r="G74" s="344">
        <v>0.91090000000000004</v>
      </c>
      <c r="H74" s="344">
        <v>0.91090000000000004</v>
      </c>
      <c r="I74" s="344">
        <v>0.91049999999999998</v>
      </c>
      <c r="J74" s="345">
        <v>0.87549999999999994</v>
      </c>
      <c r="K74" s="346">
        <v>0.92400000000000004</v>
      </c>
      <c r="L74" s="346">
        <v>0.88119999999999998</v>
      </c>
      <c r="M74" s="346">
        <v>0.90329999999999999</v>
      </c>
      <c r="N74" s="346">
        <v>0.93959999999999999</v>
      </c>
      <c r="O74" s="346">
        <v>0.94010000000000005</v>
      </c>
      <c r="P74" s="346">
        <v>0.93810000000000004</v>
      </c>
    </row>
    <row r="75" spans="1:16" ht="15" customHeight="1" x14ac:dyDescent="0.3">
      <c r="A75" s="342" t="s">
        <v>437</v>
      </c>
      <c r="B75" s="343">
        <v>14743.325000000001</v>
      </c>
      <c r="C75" s="344">
        <v>0.94310000000000005</v>
      </c>
      <c r="D75" s="344">
        <v>0.94140000000000001</v>
      </c>
      <c r="E75" s="344">
        <v>0.94310000000000005</v>
      </c>
      <c r="F75" s="344">
        <v>0.94089999999999996</v>
      </c>
      <c r="G75" s="344">
        <v>0.94279999999999997</v>
      </c>
      <c r="H75" s="344">
        <v>0.94279999999999997</v>
      </c>
      <c r="I75" s="344">
        <v>0.94259999999999999</v>
      </c>
      <c r="J75" s="345">
        <v>0.91879999999999995</v>
      </c>
      <c r="K75" s="346">
        <v>0.94310000000000005</v>
      </c>
      <c r="L75" s="346">
        <v>0.90969999999999995</v>
      </c>
      <c r="M75" s="346">
        <v>0.92549999999999999</v>
      </c>
      <c r="N75" s="346">
        <v>0.95689999999999997</v>
      </c>
      <c r="O75" s="346">
        <v>0.95709999999999995</v>
      </c>
      <c r="P75" s="346">
        <v>0.95599999999999996</v>
      </c>
    </row>
    <row r="76" spans="1:16" ht="15" customHeight="1" x14ac:dyDescent="0.3">
      <c r="A76" s="342" t="s">
        <v>438</v>
      </c>
      <c r="B76" s="343">
        <v>14431.8</v>
      </c>
      <c r="C76" s="344">
        <v>0.95399999999999996</v>
      </c>
      <c r="D76" s="344">
        <v>0.94130000000000003</v>
      </c>
      <c r="E76" s="344">
        <v>0.94120000000000004</v>
      </c>
      <c r="F76" s="344">
        <v>0.94140000000000001</v>
      </c>
      <c r="G76" s="344">
        <v>0.94199999999999995</v>
      </c>
      <c r="H76" s="344">
        <v>0.94199999999999995</v>
      </c>
      <c r="I76" s="344">
        <v>0.94210000000000005</v>
      </c>
      <c r="J76" s="345">
        <v>0.93230000000000002</v>
      </c>
      <c r="K76" s="346">
        <v>0.95399999999999996</v>
      </c>
      <c r="L76" s="346">
        <v>0.9284</v>
      </c>
      <c r="M76" s="346">
        <v>0.93430000000000002</v>
      </c>
      <c r="N76" s="346">
        <v>0.96430000000000005</v>
      </c>
      <c r="O76" s="346">
        <v>0.96550000000000002</v>
      </c>
      <c r="P76" s="346">
        <v>0.96079999999999999</v>
      </c>
    </row>
    <row r="77" spans="1:16" ht="15" customHeight="1" x14ac:dyDescent="0.3">
      <c r="A77" s="342" t="s">
        <v>439</v>
      </c>
      <c r="B77" s="343">
        <v>14838.85</v>
      </c>
      <c r="C77" s="344">
        <v>0.96220000000000006</v>
      </c>
      <c r="D77" s="344">
        <v>0.95809999999999995</v>
      </c>
      <c r="E77" s="344">
        <v>0.95830000000000004</v>
      </c>
      <c r="F77" s="344">
        <v>0.95809999999999995</v>
      </c>
      <c r="G77" s="344">
        <v>0.95830000000000004</v>
      </c>
      <c r="H77" s="344">
        <v>0.95830000000000004</v>
      </c>
      <c r="I77" s="344">
        <v>0.95809999999999995</v>
      </c>
      <c r="J77" s="345">
        <v>0.94730000000000003</v>
      </c>
      <c r="K77" s="346">
        <v>0.96220000000000006</v>
      </c>
      <c r="L77" s="346">
        <v>0.95509999999999995</v>
      </c>
      <c r="M77" s="346">
        <v>0.96330000000000005</v>
      </c>
      <c r="N77" s="346">
        <v>0.9698</v>
      </c>
      <c r="O77" s="346">
        <v>0.96970000000000001</v>
      </c>
      <c r="P77" s="346">
        <v>0.97030000000000005</v>
      </c>
    </row>
    <row r="78" spans="1:16" ht="15" customHeight="1" x14ac:dyDescent="0.3">
      <c r="A78" s="342" t="s">
        <v>440</v>
      </c>
      <c r="B78" s="343">
        <v>15403.674999999999</v>
      </c>
      <c r="C78" s="344">
        <v>0.98140000000000005</v>
      </c>
      <c r="D78" s="344">
        <v>0.98050000000000004</v>
      </c>
      <c r="E78" s="344">
        <v>0.98640000000000005</v>
      </c>
      <c r="F78" s="344">
        <v>0.97909999999999997</v>
      </c>
      <c r="G78" s="344">
        <v>0.97909999999999997</v>
      </c>
      <c r="H78" s="344">
        <v>0.97909999999999997</v>
      </c>
      <c r="I78" s="344">
        <v>0.97889999999999999</v>
      </c>
      <c r="J78" s="345">
        <v>0.97399999999999998</v>
      </c>
      <c r="K78" s="346">
        <v>0.98140000000000005</v>
      </c>
      <c r="L78" s="346">
        <v>0.98880000000000001</v>
      </c>
      <c r="M78" s="346">
        <v>0.9869</v>
      </c>
      <c r="N78" s="346">
        <v>0.98950000000000005</v>
      </c>
      <c r="O78" s="346">
        <v>0.98870000000000002</v>
      </c>
      <c r="P78" s="346">
        <v>0.99170000000000003</v>
      </c>
    </row>
    <row r="79" spans="1:16" ht="15" customHeight="1" x14ac:dyDescent="0.3">
      <c r="A79" s="342" t="s">
        <v>441</v>
      </c>
      <c r="B79" s="343">
        <v>16056.45</v>
      </c>
      <c r="C79" s="344">
        <v>1</v>
      </c>
      <c r="D79" s="344">
        <v>1</v>
      </c>
      <c r="E79" s="344">
        <v>1</v>
      </c>
      <c r="F79" s="344">
        <v>1</v>
      </c>
      <c r="G79" s="344">
        <v>1</v>
      </c>
      <c r="H79" s="344">
        <v>1</v>
      </c>
      <c r="I79" s="344">
        <v>1</v>
      </c>
      <c r="J79" s="345">
        <v>1</v>
      </c>
      <c r="K79" s="346">
        <v>1</v>
      </c>
      <c r="L79" s="346">
        <v>1</v>
      </c>
      <c r="M79" s="346">
        <v>1</v>
      </c>
      <c r="N79" s="346">
        <v>1</v>
      </c>
      <c r="O79" s="346">
        <v>1</v>
      </c>
      <c r="P79" s="346">
        <v>1</v>
      </c>
    </row>
    <row r="80" spans="1:16" ht="15" customHeight="1" x14ac:dyDescent="0.3">
      <c r="A80" s="342" t="s">
        <v>442</v>
      </c>
      <c r="B80" s="343">
        <v>16603.775000000001</v>
      </c>
      <c r="C80" s="344">
        <v>1.0184</v>
      </c>
      <c r="D80" s="344">
        <v>1.0142</v>
      </c>
      <c r="E80" s="344">
        <v>1.0069999999999999</v>
      </c>
      <c r="F80" s="344">
        <v>1.0159</v>
      </c>
      <c r="G80" s="344">
        <v>1.0147999999999999</v>
      </c>
      <c r="H80" s="344">
        <v>1.0147999999999999</v>
      </c>
      <c r="I80" s="344">
        <v>1.0147999999999999</v>
      </c>
      <c r="J80" s="345">
        <v>1.0264</v>
      </c>
      <c r="K80" s="346">
        <v>1.0184</v>
      </c>
      <c r="L80" s="346">
        <v>1.0082</v>
      </c>
      <c r="M80" s="346">
        <v>1.0125999999999999</v>
      </c>
      <c r="N80" s="346">
        <v>1.004</v>
      </c>
      <c r="O80" s="346">
        <v>1.0031000000000001</v>
      </c>
      <c r="P80" s="346">
        <v>1.0065</v>
      </c>
    </row>
    <row r="81" spans="1:16" ht="15" customHeight="1" x14ac:dyDescent="0.3">
      <c r="A81" s="342" t="s">
        <v>443</v>
      </c>
      <c r="B81" s="343">
        <v>17335.575000000001</v>
      </c>
      <c r="C81" s="344">
        <v>1.038</v>
      </c>
      <c r="D81" s="344">
        <v>1.0302</v>
      </c>
      <c r="E81" s="344">
        <v>1.0234000000000001</v>
      </c>
      <c r="F81" s="344">
        <v>1.0316000000000001</v>
      </c>
      <c r="G81" s="344">
        <v>1.0301</v>
      </c>
      <c r="H81" s="344">
        <v>1.0301</v>
      </c>
      <c r="I81" s="344">
        <v>1.0302</v>
      </c>
      <c r="J81" s="345">
        <v>1.0509999999999999</v>
      </c>
      <c r="K81" s="346">
        <v>1.038</v>
      </c>
      <c r="L81" s="346">
        <v>1.0426</v>
      </c>
      <c r="M81" s="346">
        <v>1.0329999999999999</v>
      </c>
      <c r="N81" s="346">
        <v>1.018</v>
      </c>
      <c r="O81" s="346">
        <v>1.0162</v>
      </c>
      <c r="P81" s="346">
        <v>1.0235000000000001</v>
      </c>
    </row>
    <row r="82" spans="1:16" ht="15" customHeight="1" x14ac:dyDescent="0.3">
      <c r="A82" s="342" t="s">
        <v>444</v>
      </c>
      <c r="B82" s="343">
        <v>18099.55</v>
      </c>
      <c r="C82" s="344">
        <v>1.05</v>
      </c>
      <c r="D82" s="344">
        <v>1.0355000000000001</v>
      </c>
      <c r="E82" s="344">
        <v>1.0285</v>
      </c>
      <c r="F82" s="344">
        <v>1.0368999999999999</v>
      </c>
      <c r="G82" s="344">
        <v>1.0344</v>
      </c>
      <c r="H82" s="344">
        <v>1.0344</v>
      </c>
      <c r="I82" s="344">
        <v>1.0346</v>
      </c>
      <c r="J82" s="345">
        <v>1.0609</v>
      </c>
      <c r="K82" s="346">
        <v>1.05</v>
      </c>
      <c r="L82" s="346">
        <v>1.0579000000000001</v>
      </c>
      <c r="M82" s="346">
        <v>1.0499000000000001</v>
      </c>
      <c r="N82" s="346">
        <v>1.0225</v>
      </c>
      <c r="O82" s="346">
        <v>1.0196000000000001</v>
      </c>
      <c r="P82" s="346">
        <v>1.0303</v>
      </c>
    </row>
    <row r="83" spans="1:16" ht="15" customHeight="1" x14ac:dyDescent="0.3">
      <c r="A83" s="342" t="s">
        <v>445</v>
      </c>
      <c r="B83" s="343">
        <v>18554.775000000001</v>
      </c>
      <c r="C83" s="344">
        <v>1.0592999999999999</v>
      </c>
      <c r="D83" s="344">
        <v>1.0424</v>
      </c>
      <c r="E83" s="344">
        <v>1.0327999999999999</v>
      </c>
      <c r="F83" s="344">
        <v>1.0441</v>
      </c>
      <c r="G83" s="344">
        <v>1.0416000000000001</v>
      </c>
      <c r="H83" s="344">
        <v>1.0416000000000001</v>
      </c>
      <c r="I83" s="344">
        <v>1.0417000000000001</v>
      </c>
      <c r="J83" s="345">
        <v>1.0650999999999999</v>
      </c>
      <c r="K83" s="346">
        <v>1.0592999999999999</v>
      </c>
      <c r="L83" s="346">
        <v>1.0720000000000001</v>
      </c>
      <c r="M83" s="346">
        <v>1.0595000000000001</v>
      </c>
      <c r="N83" s="346">
        <v>1.0209999999999999</v>
      </c>
      <c r="O83" s="346">
        <v>1.018</v>
      </c>
      <c r="P83" s="346">
        <v>1.0297000000000001</v>
      </c>
    </row>
    <row r="84" spans="1:16" ht="15" customHeight="1" x14ac:dyDescent="0.3">
      <c r="A84" s="342" t="s">
        <v>446</v>
      </c>
      <c r="B84" s="343">
        <v>19287.650000000001</v>
      </c>
      <c r="C84" s="344">
        <v>1.0781000000000001</v>
      </c>
      <c r="D84" s="344">
        <v>1.0597000000000001</v>
      </c>
      <c r="E84" s="344">
        <v>1.0470999999999999</v>
      </c>
      <c r="F84" s="344">
        <v>1.0620000000000001</v>
      </c>
      <c r="G84" s="344">
        <v>1.0591999999999999</v>
      </c>
      <c r="H84" s="344">
        <v>1.0591999999999999</v>
      </c>
      <c r="I84" s="344">
        <v>1.0592999999999999</v>
      </c>
      <c r="J84" s="345">
        <v>1.0858000000000001</v>
      </c>
      <c r="K84" s="346">
        <v>1.0781000000000001</v>
      </c>
      <c r="L84" s="346">
        <v>1.1005</v>
      </c>
      <c r="M84" s="346">
        <v>1.0810999999999999</v>
      </c>
      <c r="N84" s="346">
        <v>1.0290999999999999</v>
      </c>
      <c r="O84" s="346">
        <v>1.0246999999999999</v>
      </c>
      <c r="P84" s="346">
        <v>1.0448</v>
      </c>
    </row>
    <row r="85" spans="1:16" ht="15" customHeight="1" x14ac:dyDescent="0.3">
      <c r="A85" s="342" t="s">
        <v>447</v>
      </c>
      <c r="B85" s="343">
        <v>20335.525000000001</v>
      </c>
      <c r="C85" s="344">
        <v>1.1032</v>
      </c>
      <c r="D85" s="344">
        <v>1.0839000000000001</v>
      </c>
      <c r="E85" s="344">
        <v>1.0762</v>
      </c>
      <c r="F85" s="344">
        <v>1.0852999999999999</v>
      </c>
      <c r="G85" s="344">
        <v>1.0810999999999999</v>
      </c>
      <c r="H85" s="344">
        <v>1.0810999999999999</v>
      </c>
      <c r="I85" s="344">
        <v>1.0812999999999999</v>
      </c>
      <c r="J85" s="345">
        <v>1.1208</v>
      </c>
      <c r="K85" s="346">
        <v>1.1032</v>
      </c>
      <c r="L85" s="346">
        <v>1.1428</v>
      </c>
      <c r="M85" s="346">
        <v>1.1171</v>
      </c>
      <c r="N85" s="346">
        <v>1.0429999999999999</v>
      </c>
      <c r="O85" s="346">
        <v>1.0373000000000001</v>
      </c>
      <c r="P85" s="346">
        <v>1.0677000000000001</v>
      </c>
    </row>
    <row r="86" spans="1:16" ht="15" customHeight="1" x14ac:dyDescent="0.3">
      <c r="A86" s="342" t="s">
        <v>448</v>
      </c>
      <c r="B86" s="343">
        <v>21215.7</v>
      </c>
      <c r="C86" s="344">
        <v>1.1246</v>
      </c>
      <c r="D86" s="344">
        <v>1.1029</v>
      </c>
      <c r="E86" s="344">
        <v>1.0968</v>
      </c>
      <c r="F86" s="344">
        <v>1.1040000000000001</v>
      </c>
      <c r="G86" s="344">
        <v>1.0988</v>
      </c>
      <c r="H86" s="344">
        <v>1.0988</v>
      </c>
      <c r="I86" s="344">
        <v>1.0991</v>
      </c>
      <c r="J86" s="345">
        <v>1.1495</v>
      </c>
      <c r="K86" s="346">
        <v>1.1246</v>
      </c>
      <c r="L86" s="346">
        <v>1.1649</v>
      </c>
      <c r="M86" s="346">
        <v>1.1393</v>
      </c>
      <c r="N86" s="346">
        <v>1.0629</v>
      </c>
      <c r="O86" s="346">
        <v>1.0573999999999999</v>
      </c>
      <c r="P86" s="346">
        <v>1.0884</v>
      </c>
    </row>
    <row r="87" spans="1:16" ht="15" customHeight="1" x14ac:dyDescent="0.3">
      <c r="A87" s="342" t="s">
        <v>449</v>
      </c>
      <c r="B87" s="343">
        <v>22210.9</v>
      </c>
      <c r="C87" s="344">
        <v>1.1468</v>
      </c>
      <c r="D87" s="344">
        <v>1.127</v>
      </c>
      <c r="E87" s="344">
        <v>1.1182000000000001</v>
      </c>
      <c r="F87" s="344">
        <v>1.1285000000000001</v>
      </c>
      <c r="G87" s="344">
        <v>1.1233</v>
      </c>
      <c r="H87" s="344">
        <v>1.1233</v>
      </c>
      <c r="I87" s="344">
        <v>1.1235999999999999</v>
      </c>
      <c r="J87" s="345">
        <v>1.1794</v>
      </c>
      <c r="K87" s="346">
        <v>1.1468</v>
      </c>
      <c r="L87" s="346">
        <v>1.1879</v>
      </c>
      <c r="M87" s="346">
        <v>1.1615</v>
      </c>
      <c r="N87" s="346">
        <v>1.0846</v>
      </c>
      <c r="O87" s="346">
        <v>1.0782</v>
      </c>
      <c r="P87" s="346">
        <v>1.1099000000000001</v>
      </c>
    </row>
    <row r="88" spans="1:16" ht="15" customHeight="1" x14ac:dyDescent="0.3">
      <c r="A88" s="342" t="s">
        <v>450</v>
      </c>
      <c r="B88" s="343">
        <v>23353.1</v>
      </c>
      <c r="C88" s="344">
        <v>1.1697</v>
      </c>
      <c r="D88" s="344">
        <v>1.1516</v>
      </c>
      <c r="E88" s="344">
        <v>1.1402000000000001</v>
      </c>
      <c r="F88" s="344">
        <v>1.1537999999999999</v>
      </c>
      <c r="G88" s="344">
        <v>1.1487000000000001</v>
      </c>
      <c r="H88" s="344">
        <v>1.1487000000000001</v>
      </c>
      <c r="I88" s="344">
        <v>1.1491</v>
      </c>
      <c r="J88" s="345">
        <v>1.2156</v>
      </c>
      <c r="K88" s="346">
        <v>1.1697</v>
      </c>
      <c r="L88" s="346">
        <v>1.2116</v>
      </c>
      <c r="M88" s="346">
        <v>1.1823999999999999</v>
      </c>
      <c r="N88" s="346">
        <v>1.1057999999999999</v>
      </c>
      <c r="O88" s="346">
        <v>1.0998000000000001</v>
      </c>
      <c r="P88" s="346">
        <v>1.1319999999999999</v>
      </c>
    </row>
    <row r="89" spans="1:16" ht="15" customHeight="1" x14ac:dyDescent="0.3">
      <c r="A89" s="342" t="s">
        <v>451</v>
      </c>
      <c r="B89" s="343">
        <v>24542.7</v>
      </c>
      <c r="C89" s="344">
        <v>1.1932</v>
      </c>
      <c r="D89" s="344">
        <v>1.1775</v>
      </c>
      <c r="E89" s="344">
        <v>1.1631</v>
      </c>
      <c r="F89" s="344">
        <v>1.1801999999999999</v>
      </c>
      <c r="G89" s="344">
        <v>1.1748000000000001</v>
      </c>
      <c r="H89" s="344">
        <v>1.1748000000000001</v>
      </c>
      <c r="I89" s="344">
        <v>1.1752</v>
      </c>
      <c r="J89" s="345">
        <v>1.252</v>
      </c>
      <c r="K89" s="346">
        <v>1.1932</v>
      </c>
      <c r="L89" s="346">
        <v>1.236</v>
      </c>
      <c r="M89" s="346">
        <v>1.2060999999999999</v>
      </c>
      <c r="N89" s="346">
        <v>1.1262000000000001</v>
      </c>
      <c r="O89" s="346">
        <v>1.1218999999999999</v>
      </c>
      <c r="P89" s="346">
        <v>1.1548</v>
      </c>
    </row>
    <row r="90" spans="1:16" ht="15" customHeight="1" x14ac:dyDescent="0.3">
      <c r="A90" s="342" t="s">
        <v>452</v>
      </c>
      <c r="B90" s="343">
        <v>25790.7</v>
      </c>
      <c r="C90" s="344">
        <v>1.2171000000000001</v>
      </c>
      <c r="D90" s="344">
        <v>1.2037</v>
      </c>
      <c r="E90" s="344">
        <v>1.1863999999999999</v>
      </c>
      <c r="F90" s="344">
        <v>1.2069000000000001</v>
      </c>
      <c r="G90" s="344">
        <v>1.2014</v>
      </c>
      <c r="H90" s="344">
        <v>1.2014</v>
      </c>
      <c r="I90" s="344">
        <v>1.2017</v>
      </c>
      <c r="J90" s="345">
        <v>1.2892999999999999</v>
      </c>
      <c r="K90" s="346">
        <v>1.2171000000000001</v>
      </c>
      <c r="L90" s="346">
        <v>1.2607999999999999</v>
      </c>
      <c r="M90" s="346">
        <v>1.2302999999999999</v>
      </c>
      <c r="N90" s="346">
        <v>1.1480999999999999</v>
      </c>
      <c r="O90" s="346">
        <v>1.1444000000000001</v>
      </c>
      <c r="P90" s="346">
        <v>1.1779999999999999</v>
      </c>
    </row>
    <row r="91" spans="1:16" ht="15" customHeight="1" x14ac:dyDescent="0.3">
      <c r="A91" s="342" t="s">
        <v>453</v>
      </c>
      <c r="B91" s="343">
        <v>27104.1</v>
      </c>
      <c r="C91" s="344">
        <v>1.2416</v>
      </c>
      <c r="D91" s="344">
        <v>1.2306999999999999</v>
      </c>
      <c r="E91" s="344">
        <v>1.2102999999999999</v>
      </c>
      <c r="F91" s="344">
        <v>1.2343999999999999</v>
      </c>
      <c r="G91" s="344">
        <v>1.2286999999999999</v>
      </c>
      <c r="H91" s="344">
        <v>1.2285999999999999</v>
      </c>
      <c r="I91" s="344">
        <v>1.2289000000000001</v>
      </c>
      <c r="J91" s="345">
        <v>1.3285</v>
      </c>
      <c r="K91" s="346">
        <v>1.2416</v>
      </c>
      <c r="L91" s="346">
        <v>1.2862</v>
      </c>
      <c r="M91" s="346">
        <v>1.2551000000000001</v>
      </c>
      <c r="N91" s="346">
        <v>1.1702999999999999</v>
      </c>
      <c r="O91" s="346">
        <v>1.1674</v>
      </c>
      <c r="P91" s="346">
        <v>1.2017</v>
      </c>
    </row>
    <row r="92" spans="1:16" ht="15" customHeight="1" x14ac:dyDescent="0.3">
      <c r="A92" s="342" t="s">
        <v>454</v>
      </c>
      <c r="B92" s="343">
        <v>28472.7</v>
      </c>
      <c r="C92" s="344">
        <v>1.2665</v>
      </c>
      <c r="D92" s="344">
        <v>1.2579</v>
      </c>
      <c r="E92" s="344">
        <v>1.2345999999999999</v>
      </c>
      <c r="F92" s="344">
        <v>1.262</v>
      </c>
      <c r="G92" s="344">
        <v>1.2565999999999999</v>
      </c>
      <c r="H92" s="344">
        <v>1.2565</v>
      </c>
      <c r="I92" s="344">
        <v>1.2567999999999999</v>
      </c>
      <c r="J92" s="345">
        <v>1.3693</v>
      </c>
      <c r="K92" s="346">
        <v>1.2665</v>
      </c>
      <c r="L92" s="346">
        <v>1.3120000000000001</v>
      </c>
      <c r="M92" s="346">
        <v>1.2803</v>
      </c>
      <c r="N92" s="346">
        <v>1.1930000000000001</v>
      </c>
      <c r="O92" s="346">
        <v>1.1909000000000001</v>
      </c>
      <c r="P92" s="346">
        <v>1.2258</v>
      </c>
    </row>
    <row r="93" spans="1:16" ht="14.1" customHeight="1" x14ac:dyDescent="0.3">
      <c r="A93" s="616" t="s">
        <v>455</v>
      </c>
      <c r="B93" s="616"/>
      <c r="C93" s="616"/>
      <c r="D93" s="616"/>
      <c r="E93" s="616"/>
      <c r="F93" s="616"/>
      <c r="G93" s="616"/>
      <c r="H93" s="616"/>
      <c r="I93" s="616"/>
      <c r="J93" s="616"/>
      <c r="K93" s="616"/>
      <c r="L93" s="616"/>
      <c r="M93" s="616"/>
      <c r="N93" s="616"/>
      <c r="O93" s="616"/>
      <c r="P93" s="616"/>
    </row>
    <row r="95" spans="1:16" ht="26.4" x14ac:dyDescent="0.3">
      <c r="A95" s="347" t="s">
        <v>456</v>
      </c>
      <c r="C95">
        <f>C87/C85</f>
        <v>1.0395213923132705</v>
      </c>
    </row>
    <row r="132" spans="1:2" x14ac:dyDescent="0.3">
      <c r="A132" t="s">
        <v>489</v>
      </c>
      <c r="B132">
        <v>1.0545</v>
      </c>
    </row>
    <row r="133" spans="1:2" x14ac:dyDescent="0.3">
      <c r="A133" t="s">
        <v>462</v>
      </c>
      <c r="B133">
        <v>1.0437000000000001</v>
      </c>
    </row>
    <row r="134" spans="1:2" x14ac:dyDescent="0.3">
      <c r="A134" t="s">
        <v>463</v>
      </c>
      <c r="B134">
        <v>1.0244</v>
      </c>
    </row>
  </sheetData>
  <mergeCells count="16">
    <mergeCell ref="A93:P93"/>
    <mergeCell ref="A1:K1"/>
    <mergeCell ref="A2:K2"/>
    <mergeCell ref="A3:A5"/>
    <mergeCell ref="B3:B5"/>
    <mergeCell ref="C3:C5"/>
    <mergeCell ref="D3:P3"/>
    <mergeCell ref="D4:D5"/>
    <mergeCell ref="E4:E5"/>
    <mergeCell ref="F4:F5"/>
    <mergeCell ref="G4:I4"/>
    <mergeCell ref="J4:J5"/>
    <mergeCell ref="K4:K5"/>
    <mergeCell ref="L4:L5"/>
    <mergeCell ref="M4:M5"/>
    <mergeCell ref="N4:P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rgb="FF92D050"/>
  </sheetPr>
  <dimension ref="A1:AE68"/>
  <sheetViews>
    <sheetView showGridLines="0" tabSelected="1" zoomScaleNormal="100" workbookViewId="0">
      <selection activeCell="G11" sqref="G11"/>
    </sheetView>
  </sheetViews>
  <sheetFormatPr defaultColWidth="9.33203125" defaultRowHeight="14.4" x14ac:dyDescent="0.3"/>
  <cols>
    <col min="1" max="1" width="2.6640625" style="24" customWidth="1"/>
    <col min="2" max="2" width="36.44140625" style="22" customWidth="1"/>
    <col min="3" max="3" width="11.33203125" style="23" customWidth="1"/>
    <col min="4" max="4" width="14.33203125" style="22" customWidth="1"/>
    <col min="5" max="5" width="16.77734375" style="22" customWidth="1"/>
    <col min="6" max="6" width="19.21875" style="22" customWidth="1"/>
    <col min="7" max="10" width="12.77734375" style="22" customWidth="1"/>
    <col min="11" max="11" width="14.5546875" style="22" customWidth="1"/>
    <col min="12" max="27" width="13.77734375" style="22" customWidth="1"/>
    <col min="28" max="31" width="13.21875" style="22" customWidth="1"/>
    <col min="32" max="16384" width="9.33203125" style="22"/>
  </cols>
  <sheetData>
    <row r="1" spans="2:20" ht="15.6" x14ac:dyDescent="0.3">
      <c r="C1" s="61"/>
      <c r="D1" s="62"/>
      <c r="E1" s="62"/>
      <c r="F1" s="62"/>
      <c r="G1" s="61"/>
      <c r="H1" s="61"/>
    </row>
    <row r="2" spans="2:20" ht="23.4" x14ac:dyDescent="0.3">
      <c r="B2" s="60" t="s">
        <v>58</v>
      </c>
      <c r="C2" s="43"/>
      <c r="D2" s="178"/>
      <c r="E2" s="178"/>
      <c r="F2" s="178"/>
    </row>
    <row r="3" spans="2:20" x14ac:dyDescent="0.3">
      <c r="D3" s="179"/>
      <c r="E3" s="179"/>
      <c r="F3" s="179"/>
      <c r="J3" s="48"/>
      <c r="K3" s="48"/>
      <c r="L3" s="48"/>
    </row>
    <row r="4" spans="2:20" x14ac:dyDescent="0.3">
      <c r="B4" s="41" t="s">
        <v>235</v>
      </c>
      <c r="F4" s="503"/>
      <c r="M4" s="55"/>
      <c r="N4" s="55"/>
      <c r="O4" s="55"/>
      <c r="P4" s="55"/>
      <c r="Q4" s="55"/>
    </row>
    <row r="5" spans="2:20" x14ac:dyDescent="0.3">
      <c r="B5" s="532" t="s">
        <v>57</v>
      </c>
      <c r="C5" s="534" t="s">
        <v>56</v>
      </c>
      <c r="D5" s="534" t="s">
        <v>594</v>
      </c>
      <c r="E5" s="534"/>
      <c r="F5" s="540"/>
      <c r="G5" s="527" t="s">
        <v>592</v>
      </c>
      <c r="M5" s="55"/>
      <c r="N5" s="55"/>
      <c r="O5" s="55"/>
      <c r="P5" s="55"/>
      <c r="Q5" s="55"/>
    </row>
    <row r="6" spans="2:20" x14ac:dyDescent="0.3">
      <c r="B6" s="533"/>
      <c r="C6" s="535"/>
      <c r="D6" s="59" t="s">
        <v>7</v>
      </c>
      <c r="E6" s="58">
        <v>7.0000000000000007E-2</v>
      </c>
      <c r="F6" s="57">
        <v>0.03</v>
      </c>
      <c r="G6" s="527"/>
      <c r="M6" s="55"/>
      <c r="N6" s="55"/>
      <c r="O6" s="56"/>
      <c r="P6" s="56"/>
      <c r="Q6" s="55"/>
    </row>
    <row r="7" spans="2:20" x14ac:dyDescent="0.3">
      <c r="B7" s="38" t="s">
        <v>12</v>
      </c>
      <c r="C7" s="53">
        <v>1</v>
      </c>
      <c r="D7" s="169">
        <f t="shared" ref="D7:D11" si="0">(SUM(D30:AE30))/10^6</f>
        <v>154.56180014065956</v>
      </c>
      <c r="E7" s="169">
        <f t="shared" ref="E7:E12" si="1">(SUM(D44:AE44))/10^6</f>
        <v>49.499393561464089</v>
      </c>
      <c r="F7" s="170">
        <f t="shared" ref="F7:F13" si="2">(SUM(D58:AE58))/10^6</f>
        <v>92.261462468119234</v>
      </c>
      <c r="G7" s="429">
        <f>(SUM('Accident Cost Saving'!D106:AO106)/10^6)</f>
        <v>60.082698384134943</v>
      </c>
      <c r="M7" s="50"/>
      <c r="N7" s="50"/>
      <c r="O7" s="50"/>
      <c r="P7" s="49"/>
      <c r="Q7" s="49"/>
    </row>
    <row r="8" spans="2:20" x14ac:dyDescent="0.3">
      <c r="B8" s="38" t="s">
        <v>334</v>
      </c>
      <c r="C8" s="53">
        <v>2</v>
      </c>
      <c r="D8" s="169">
        <f t="shared" si="0"/>
        <v>95.274052599927856</v>
      </c>
      <c r="E8" s="169">
        <f t="shared" si="1"/>
        <v>27.76330928225687</v>
      </c>
      <c r="F8" s="170">
        <f t="shared" si="2"/>
        <v>54.59397660058189</v>
      </c>
      <c r="G8" s="430">
        <f>(SUM('Travel Time Savings'!D70:AO70)/10^6)</f>
        <v>38.366578552675961</v>
      </c>
      <c r="M8" s="50"/>
      <c r="N8" s="50"/>
      <c r="O8" s="50"/>
      <c r="P8" s="49"/>
      <c r="Q8" s="49"/>
    </row>
    <row r="9" spans="2:20" x14ac:dyDescent="0.3">
      <c r="B9" s="38" t="s">
        <v>333</v>
      </c>
      <c r="C9" s="53">
        <v>3</v>
      </c>
      <c r="D9" s="169">
        <f t="shared" si="0"/>
        <v>28.375572125493456</v>
      </c>
      <c r="E9" s="169">
        <f t="shared" si="1"/>
        <v>8.1278945021947901</v>
      </c>
      <c r="F9" s="170">
        <f t="shared" si="2"/>
        <v>16.138640853205136</v>
      </c>
      <c r="G9" s="431">
        <f>(SUM('Travel Time Saving-Interchanges'!D38:AO38))/10^6</f>
        <v>11.59080372381773</v>
      </c>
      <c r="M9" s="50"/>
      <c r="N9" s="50"/>
      <c r="O9" s="50"/>
      <c r="P9" s="49"/>
      <c r="Q9" s="49"/>
      <c r="T9" s="54"/>
    </row>
    <row r="10" spans="2:20" x14ac:dyDescent="0.3">
      <c r="B10" s="38" t="s">
        <v>239</v>
      </c>
      <c r="C10" s="53">
        <v>4</v>
      </c>
      <c r="D10" s="169">
        <f t="shared" si="0"/>
        <v>68.690224040925472</v>
      </c>
      <c r="E10" s="169">
        <f t="shared" si="1"/>
        <v>11.0543429848536</v>
      </c>
      <c r="F10" s="170">
        <f t="shared" si="2"/>
        <v>30.923587101307522</v>
      </c>
      <c r="G10" s="431">
        <f>('Residual Value'!AO21*'Residual Value'!AO6)/10^6</f>
        <v>4.2146005735235335</v>
      </c>
      <c r="M10" s="50"/>
      <c r="N10" s="50"/>
      <c r="O10" s="50"/>
      <c r="P10" s="49"/>
      <c r="Q10" s="49"/>
    </row>
    <row r="11" spans="2:20" x14ac:dyDescent="0.3">
      <c r="B11" s="38" t="s">
        <v>272</v>
      </c>
      <c r="C11" s="53">
        <v>5</v>
      </c>
      <c r="D11" s="169">
        <f t="shared" si="0"/>
        <v>30.783397279386119</v>
      </c>
      <c r="E11" s="169">
        <f t="shared" si="1"/>
        <v>11.948697716472026</v>
      </c>
      <c r="F11" s="170">
        <f t="shared" si="2"/>
        <v>19.881595782621602</v>
      </c>
      <c r="G11" s="432">
        <f>(SUM('Project Data'!J25:AU25))/10^6</f>
        <v>13.791140708479952</v>
      </c>
      <c r="M11" s="50"/>
      <c r="N11" s="50"/>
      <c r="O11" s="50"/>
      <c r="P11" s="49"/>
      <c r="Q11" s="49"/>
    </row>
    <row r="12" spans="2:20" x14ac:dyDescent="0.3">
      <c r="B12" s="38" t="s">
        <v>46</v>
      </c>
      <c r="C12" s="53">
        <v>6</v>
      </c>
      <c r="D12" s="169">
        <f>(SUM(D35:AE35))/10^6</f>
        <v>6.2528775723753052</v>
      </c>
      <c r="E12" s="169">
        <f t="shared" si="1"/>
        <v>1.5101420375333863</v>
      </c>
      <c r="F12" s="170">
        <f t="shared" si="2"/>
        <v>3.2355394868502421</v>
      </c>
      <c r="G12" s="430">
        <f>(SUM('Project Data'!J20:AU20))/10^6</f>
        <v>2.1597212975361808</v>
      </c>
      <c r="M12" s="50"/>
      <c r="N12" s="50"/>
      <c r="O12" s="50"/>
      <c r="P12" s="49"/>
      <c r="Q12" s="49"/>
    </row>
    <row r="13" spans="2:20" x14ac:dyDescent="0.3">
      <c r="B13" s="38" t="s">
        <v>48</v>
      </c>
      <c r="C13" s="53" t="s">
        <v>55</v>
      </c>
      <c r="D13" s="169">
        <f>((SUM(D36:AE36))/10^6)</f>
        <v>-108.3308248729882</v>
      </c>
      <c r="E13" s="169">
        <f>(((SUM(D50:AE50))/10^6))</f>
        <v>-77.178416111609181</v>
      </c>
      <c r="F13" s="421">
        <f t="shared" si="2"/>
        <v>-93.272639967800018</v>
      </c>
      <c r="G13" s="433">
        <f>-(SUM('Project Data'!J15:AU15))/10^6</f>
        <v>-77.178416111609181</v>
      </c>
      <c r="M13" s="50"/>
      <c r="N13" s="50"/>
      <c r="O13" s="50"/>
      <c r="P13" s="49"/>
      <c r="Q13" s="49"/>
    </row>
    <row r="14" spans="2:20" ht="15" customHeight="1" x14ac:dyDescent="0.3">
      <c r="B14" s="368" t="s">
        <v>8</v>
      </c>
      <c r="C14" s="367"/>
      <c r="D14" s="369">
        <f>SUM(D7:D11)</f>
        <v>377.68504618639247</v>
      </c>
      <c r="E14" s="420">
        <f>SUM(E7:E11)</f>
        <v>108.39363804724138</v>
      </c>
      <c r="F14" s="424">
        <f t="shared" ref="F14" si="3">SUM(F7:F11)</f>
        <v>213.79926280583538</v>
      </c>
      <c r="G14" s="498">
        <f>SUM(G7:G11)</f>
        <v>128.04582194263213</v>
      </c>
      <c r="M14" s="50"/>
      <c r="N14" s="50"/>
      <c r="O14" s="50"/>
      <c r="P14" s="49"/>
      <c r="Q14" s="49"/>
    </row>
    <row r="15" spans="2:20" x14ac:dyDescent="0.3">
      <c r="B15" s="52" t="s">
        <v>53</v>
      </c>
      <c r="C15" s="51"/>
      <c r="D15" s="168">
        <f>SUM(D7:D13)-D12</f>
        <v>269.35422131340425</v>
      </c>
      <c r="E15" s="168">
        <f>SUM(E7:E13)-E12</f>
        <v>31.215221935632201</v>
      </c>
      <c r="F15" s="425">
        <f t="shared" ref="F15" si="4">SUM(F7:F13)-F12</f>
        <v>120.52662283803535</v>
      </c>
      <c r="G15" s="434">
        <f>SUM(G7:G13)-G12</f>
        <v>50.86740583102295</v>
      </c>
      <c r="M15" s="50"/>
      <c r="N15" s="50"/>
      <c r="O15" s="50"/>
      <c r="P15" s="49"/>
      <c r="Q15" s="49"/>
    </row>
    <row r="16" spans="2:20" x14ac:dyDescent="0.3">
      <c r="D16" s="179"/>
      <c r="E16" s="179"/>
      <c r="F16" s="179"/>
    </row>
    <row r="17" spans="1:31" ht="14.4" customHeight="1" x14ac:dyDescent="0.3">
      <c r="B17" s="41" t="s">
        <v>235</v>
      </c>
      <c r="C17" s="22"/>
      <c r="D17" s="534" t="s">
        <v>594</v>
      </c>
      <c r="E17" s="534"/>
      <c r="F17" s="540"/>
      <c r="G17" s="426" t="s">
        <v>593</v>
      </c>
    </row>
    <row r="18" spans="1:31" x14ac:dyDescent="0.3">
      <c r="B18" s="532" t="s">
        <v>54</v>
      </c>
      <c r="C18" s="534"/>
      <c r="D18" s="47" t="s">
        <v>7</v>
      </c>
      <c r="E18" s="46">
        <v>7.0000000000000007E-2</v>
      </c>
      <c r="F18" s="45">
        <v>0.03</v>
      </c>
      <c r="G18" s="435">
        <v>7.0000000000000007E-2</v>
      </c>
    </row>
    <row r="19" spans="1:31" x14ac:dyDescent="0.3">
      <c r="B19" s="536" t="s">
        <v>8</v>
      </c>
      <c r="C19" s="537"/>
      <c r="D19" s="171">
        <f>(SUM(D37:AE37))/10^6</f>
        <v>377.68504618639247</v>
      </c>
      <c r="E19" s="171">
        <f>(SUM(D51:AE51))/10^6</f>
        <v>108.39363804724138</v>
      </c>
      <c r="F19" s="172">
        <f>(SUM(D65:AE65))/10^6</f>
        <v>213.79926280583538</v>
      </c>
      <c r="G19" s="493">
        <f>G14</f>
        <v>128.04582194263213</v>
      </c>
    </row>
    <row r="20" spans="1:31" x14ac:dyDescent="0.3">
      <c r="B20" s="538" t="s">
        <v>79</v>
      </c>
      <c r="C20" s="539"/>
      <c r="D20" s="171">
        <f>(SUM(D35:AE35)/10^6)</f>
        <v>6.2528775723753052</v>
      </c>
      <c r="E20" s="171">
        <f>(SUM(D49:AE49)/10^6)</f>
        <v>1.5101420375333863</v>
      </c>
      <c r="F20" s="172">
        <f>(SUM(D63:AE63)/10^6)</f>
        <v>3.2355394868502421</v>
      </c>
      <c r="G20" s="492">
        <f>(SUM('Project Data'!J20:AU20))/10^6</f>
        <v>2.1597212975361808</v>
      </c>
    </row>
    <row r="21" spans="1:31" x14ac:dyDescent="0.3">
      <c r="B21" s="536" t="s">
        <v>9</v>
      </c>
      <c r="C21" s="537"/>
      <c r="D21" s="171">
        <f>((-SUM(D36:AE36))/10^6)</f>
        <v>108.3308248729882</v>
      </c>
      <c r="E21" s="171">
        <f>(((-SUM(D50:AE50))/10^6))</f>
        <v>77.178416111609181</v>
      </c>
      <c r="F21" s="172">
        <f>(-SUM(D64:AE64))/10^6</f>
        <v>93.272639967800018</v>
      </c>
      <c r="G21" s="492">
        <f>(SUM('Project Data'!J15:AU15))/10^6</f>
        <v>77.178416111609181</v>
      </c>
    </row>
    <row r="22" spans="1:31" x14ac:dyDescent="0.3">
      <c r="B22" s="536" t="s">
        <v>53</v>
      </c>
      <c r="C22" s="537"/>
      <c r="D22" s="171">
        <f>D15</f>
        <v>269.35422131340425</v>
      </c>
      <c r="E22" s="171">
        <f>E15</f>
        <v>31.215221935632201</v>
      </c>
      <c r="F22" s="172">
        <f t="shared" ref="F22" si="5">F15</f>
        <v>120.52662283803535</v>
      </c>
      <c r="G22" s="492">
        <f>E15</f>
        <v>31.215221935632201</v>
      </c>
    </row>
    <row r="23" spans="1:31" x14ac:dyDescent="0.3">
      <c r="B23" s="536" t="s">
        <v>52</v>
      </c>
      <c r="C23" s="537"/>
      <c r="D23" s="365">
        <f>IFERROR(D22/D21,"-")</f>
        <v>2.4864042310137204</v>
      </c>
      <c r="E23" s="365">
        <f>IFERROR(E22/E21,"-")</f>
        <v>0.40445533231067182</v>
      </c>
      <c r="F23" s="366">
        <f>IFERROR(F22/F21,"-")</f>
        <v>1.2921969709407182</v>
      </c>
      <c r="G23" s="494">
        <f>IFERROR(G22/G21,"-")</f>
        <v>0.40445533231067182</v>
      </c>
    </row>
    <row r="24" spans="1:31" x14ac:dyDescent="0.3">
      <c r="B24" s="536" t="s">
        <v>51</v>
      </c>
      <c r="C24" s="537"/>
      <c r="D24" s="358">
        <f>IFERROR((D19-D20)/D21,"-")</f>
        <v>3.4286840246024202</v>
      </c>
      <c r="E24" s="359">
        <f>IFERROR((E19-E20)/E21,"-")</f>
        <v>1.3848884363620748</v>
      </c>
      <c r="F24" s="360">
        <f>IFERROR((F19-F20)/F21,"-")</f>
        <v>2.2575079186316254</v>
      </c>
      <c r="G24" s="436">
        <f>IFERROR((G19-G20)/G21,"-")</f>
        <v>1.6311050030237684</v>
      </c>
    </row>
    <row r="25" spans="1:31" x14ac:dyDescent="0.3">
      <c r="B25" s="528" t="s">
        <v>50</v>
      </c>
      <c r="C25" s="529"/>
      <c r="D25" s="175">
        <f>IFERROR((S29-O29+1)+(-S40/T39),"-")</f>
        <v>4.9079365367718761</v>
      </c>
      <c r="E25" s="173"/>
      <c r="F25" s="174"/>
    </row>
    <row r="26" spans="1:31" x14ac:dyDescent="0.3">
      <c r="B26" s="530" t="s">
        <v>49</v>
      </c>
      <c r="C26" s="531"/>
      <c r="D26" s="44">
        <f>IFERROR(IRR(D39:AE39),"-")</f>
        <v>0.10536455377264864</v>
      </c>
      <c r="E26" s="163"/>
      <c r="F26" s="55"/>
    </row>
    <row r="27" spans="1:31" x14ac:dyDescent="0.3">
      <c r="F27" s="43"/>
    </row>
    <row r="28" spans="1:31" x14ac:dyDescent="0.3">
      <c r="B28" s="41" t="s">
        <v>236</v>
      </c>
      <c r="F28" s="43"/>
      <c r="H28" s="42"/>
    </row>
    <row r="29" spans="1:31" x14ac:dyDescent="0.3">
      <c r="B29" s="40" t="s">
        <v>47</v>
      </c>
      <c r="C29" s="39" t="s">
        <v>13</v>
      </c>
      <c r="D29" s="244">
        <f>Base.Year</f>
        <v>2019</v>
      </c>
      <c r="E29" s="39">
        <f>D29+1</f>
        <v>2020</v>
      </c>
      <c r="F29" s="289">
        <f t="shared" ref="F29:AE29" si="6">E29+1</f>
        <v>2021</v>
      </c>
      <c r="G29" s="289">
        <f t="shared" si="6"/>
        <v>2022</v>
      </c>
      <c r="H29" s="289">
        <f t="shared" si="6"/>
        <v>2023</v>
      </c>
      <c r="I29" s="289">
        <f t="shared" si="6"/>
        <v>2024</v>
      </c>
      <c r="J29" s="289">
        <f t="shared" si="6"/>
        <v>2025</v>
      </c>
      <c r="K29" s="289">
        <f t="shared" si="6"/>
        <v>2026</v>
      </c>
      <c r="L29" s="289">
        <f t="shared" si="6"/>
        <v>2027</v>
      </c>
      <c r="M29" s="289">
        <f t="shared" si="6"/>
        <v>2028</v>
      </c>
      <c r="N29" s="289">
        <f t="shared" si="6"/>
        <v>2029</v>
      </c>
      <c r="O29" s="289">
        <f t="shared" si="6"/>
        <v>2030</v>
      </c>
      <c r="P29" s="289">
        <f t="shared" si="6"/>
        <v>2031</v>
      </c>
      <c r="Q29" s="289">
        <f t="shared" si="6"/>
        <v>2032</v>
      </c>
      <c r="R29" s="289">
        <f t="shared" si="6"/>
        <v>2033</v>
      </c>
      <c r="S29" s="289">
        <f t="shared" si="6"/>
        <v>2034</v>
      </c>
      <c r="T29" s="289">
        <f t="shared" si="6"/>
        <v>2035</v>
      </c>
      <c r="U29" s="289">
        <f t="shared" si="6"/>
        <v>2036</v>
      </c>
      <c r="V29" s="289">
        <f t="shared" si="6"/>
        <v>2037</v>
      </c>
      <c r="W29" s="289">
        <f t="shared" si="6"/>
        <v>2038</v>
      </c>
      <c r="X29" s="289">
        <f t="shared" si="6"/>
        <v>2039</v>
      </c>
      <c r="Y29" s="289">
        <f t="shared" si="6"/>
        <v>2040</v>
      </c>
      <c r="Z29" s="289">
        <f t="shared" si="6"/>
        <v>2041</v>
      </c>
      <c r="AA29" s="289">
        <f t="shared" si="6"/>
        <v>2042</v>
      </c>
      <c r="AB29" s="289">
        <f t="shared" si="6"/>
        <v>2043</v>
      </c>
      <c r="AC29" s="289">
        <f t="shared" si="6"/>
        <v>2044</v>
      </c>
      <c r="AD29" s="289">
        <f t="shared" si="6"/>
        <v>2045</v>
      </c>
      <c r="AE29" s="289">
        <f t="shared" si="6"/>
        <v>2046</v>
      </c>
    </row>
    <row r="30" spans="1:31" s="25" customFormat="1" x14ac:dyDescent="0.3">
      <c r="A30" s="24"/>
      <c r="B30" s="38" t="s">
        <v>12</v>
      </c>
      <c r="C30" s="36">
        <f t="shared" ref="C30:C39" si="7">SUM(D30:AE30)/10^6</f>
        <v>154.56180014065956</v>
      </c>
      <c r="D30" s="35">
        <f>'Accident Cost Saving'!D105</f>
        <v>0</v>
      </c>
      <c r="E30" s="35">
        <f>'Accident Cost Saving'!E105</f>
        <v>0</v>
      </c>
      <c r="F30" s="35">
        <f>'Accident Cost Saving'!F105</f>
        <v>0</v>
      </c>
      <c r="G30" s="35">
        <f>'Accident Cost Saving'!G105</f>
        <v>0</v>
      </c>
      <c r="H30" s="35">
        <f>'Accident Cost Saving'!H105</f>
        <v>0</v>
      </c>
      <c r="I30" s="35">
        <f>'Accident Cost Saving'!I105</f>
        <v>0</v>
      </c>
      <c r="J30" s="35">
        <f>'Accident Cost Saving'!J105</f>
        <v>0</v>
      </c>
      <c r="K30" s="35">
        <f>'Accident Cost Saving'!K105</f>
        <v>0</v>
      </c>
      <c r="L30" s="35">
        <f>'Accident Cost Saving'!L105</f>
        <v>6781178.7065548524</v>
      </c>
      <c r="M30" s="35">
        <f>'Accident Cost Saving'!M105</f>
        <v>6872953.3978321739</v>
      </c>
      <c r="N30" s="35">
        <f>'Accident Cost Saving'!N105</f>
        <v>6965970.1436730921</v>
      </c>
      <c r="O30" s="35">
        <f>'Accident Cost Saving'!O105</f>
        <v>7060245.7537177987</v>
      </c>
      <c r="P30" s="35">
        <f>'Accident Cost Saving'!P105</f>
        <v>7155797.2651037239</v>
      </c>
      <c r="Q30" s="35">
        <f>'Accident Cost Saving'!Q105</f>
        <v>7252641.9455444887</v>
      </c>
      <c r="R30" s="35">
        <f>'Accident Cost Saving'!R105</f>
        <v>7350797.2964503504</v>
      </c>
      <c r="S30" s="35">
        <f>'Accident Cost Saving'!S105</f>
        <v>7450281.0560910963</v>
      </c>
      <c r="T30" s="35">
        <f>'Accident Cost Saving'!T105</f>
        <v>7551111.2028015964</v>
      </c>
      <c r="U30" s="35">
        <f>'Accident Cost Saving'!U105</f>
        <v>7653305.9582307637</v>
      </c>
      <c r="V30" s="35">
        <f>'Accident Cost Saving'!V105</f>
        <v>7756883.7906345204</v>
      </c>
      <c r="W30" s="35">
        <f>'Accident Cost Saving'!W105</f>
        <v>7861863.4182133414</v>
      </c>
      <c r="X30" s="35">
        <f>'Accident Cost Saving'!X105</f>
        <v>7968263.8124948815</v>
      </c>
      <c r="Y30" s="35">
        <f>'Accident Cost Saving'!Y105</f>
        <v>8076104.2017624527</v>
      </c>
      <c r="Z30" s="35">
        <f>'Accident Cost Saving'!Z105</f>
        <v>8185404.0745299719</v>
      </c>
      <c r="AA30" s="35">
        <f>'Accident Cost Saving'!AA105</f>
        <v>8296183.1830637008</v>
      </c>
      <c r="AB30" s="35">
        <f>'Accident Cost Saving'!AB105</f>
        <v>8408461.5469519421</v>
      </c>
      <c r="AC30" s="35">
        <f>'Accident Cost Saving'!AC105</f>
        <v>8522259.4567228146</v>
      </c>
      <c r="AD30" s="35">
        <f>'Accident Cost Saving'!AD105</f>
        <v>8637597.477511134</v>
      </c>
      <c r="AE30" s="35">
        <f>'Accident Cost Saving'!AE105</f>
        <v>8754496.4527748451</v>
      </c>
    </row>
    <row r="31" spans="1:31" s="25" customFormat="1" x14ac:dyDescent="0.3">
      <c r="A31" s="24"/>
      <c r="B31" s="38" t="s">
        <v>257</v>
      </c>
      <c r="C31" s="36">
        <f t="shared" si="7"/>
        <v>95.274052599927856</v>
      </c>
      <c r="D31" s="35">
        <f>'Travel Time Savings'!D69</f>
        <v>0</v>
      </c>
      <c r="E31" s="35">
        <f>'Travel Time Savings'!E69</f>
        <v>0</v>
      </c>
      <c r="F31" s="35">
        <f>'Travel Time Savings'!F69</f>
        <v>0</v>
      </c>
      <c r="G31" s="35">
        <f>'Travel Time Savings'!G69</f>
        <v>0</v>
      </c>
      <c r="H31" s="35">
        <f>'Travel Time Savings'!H69</f>
        <v>0</v>
      </c>
      <c r="I31" s="35">
        <f>'Travel Time Savings'!I69</f>
        <v>0</v>
      </c>
      <c r="J31" s="35">
        <f>'Travel Time Savings'!J69</f>
        <v>0</v>
      </c>
      <c r="K31" s="35">
        <f>'Travel Time Savings'!K69</f>
        <v>0</v>
      </c>
      <c r="L31" s="35">
        <f>'Travel Time Savings'!L69</f>
        <v>2541999.7857200764</v>
      </c>
      <c r="M31" s="35">
        <f>'Travel Time Savings'!M69</f>
        <v>2730818.5047671497</v>
      </c>
      <c r="N31" s="35">
        <f>'Travel Time Savings'!N69</f>
        <v>2926246.0700464658</v>
      </c>
      <c r="O31" s="35">
        <f>'Travel Time Savings'!O69</f>
        <v>3128475.9497065656</v>
      </c>
      <c r="P31" s="35">
        <f>'Travel Time Savings'!P69</f>
        <v>3337706.8656286243</v>
      </c>
      <c r="Q31" s="35">
        <f>'Travel Time Savings'!Q69</f>
        <v>3554142.9307903219</v>
      </c>
      <c r="R31" s="35">
        <f>'Travel Time Savings'!R69</f>
        <v>3777993.7901474256</v>
      </c>
      <c r="S31" s="35">
        <f>'Travel Time Savings'!S69</f>
        <v>4009474.7651219349</v>
      </c>
      <c r="T31" s="35">
        <f>'Travel Time Savings'!T69</f>
        <v>4248807.0017882064</v>
      </c>
      <c r="U31" s="35">
        <f>'Travel Time Savings'!U69</f>
        <v>4496217.622850487</v>
      </c>
      <c r="V31" s="35">
        <f>'Travel Time Savings'!V69</f>
        <v>4751939.8835077863</v>
      </c>
      <c r="W31" s="35">
        <f>'Travel Time Savings'!W69</f>
        <v>5016213.3313044384</v>
      </c>
      <c r="X31" s="35">
        <f>'Travel Time Savings'!X69</f>
        <v>5289283.9700670242</v>
      </c>
      <c r="Y31" s="35">
        <f>'Travel Time Savings'!Y69</f>
        <v>5571404.4280310664</v>
      </c>
      <c r="Z31" s="35">
        <f>'Travel Time Savings'!Z69</f>
        <v>5862834.1302633733</v>
      </c>
      <c r="AA31" s="35">
        <f>'Travel Time Savings'!AA69</f>
        <v>6163839.4754884727</v>
      </c>
      <c r="AB31" s="35">
        <f>'Travel Time Savings'!AB69</f>
        <v>6474694.0174306221</v>
      </c>
      <c r="AC31" s="35">
        <f>'Travel Time Savings'!AC69</f>
        <v>6795678.6507853307</v>
      </c>
      <c r="AD31" s="35">
        <f>'Travel Time Savings'!AD69</f>
        <v>7127081.801937364</v>
      </c>
      <c r="AE31" s="35">
        <f>'Travel Time Savings'!AE69</f>
        <v>7469199.6245451421</v>
      </c>
    </row>
    <row r="32" spans="1:31" s="25" customFormat="1" x14ac:dyDescent="0.3">
      <c r="A32" s="24"/>
      <c r="B32" s="38" t="s">
        <v>256</v>
      </c>
      <c r="C32" s="36">
        <f t="shared" si="7"/>
        <v>28.375572125493456</v>
      </c>
      <c r="D32" s="35">
        <f>'Travel Time Saving-Interchanges'!D37</f>
        <v>0</v>
      </c>
      <c r="E32" s="35">
        <f>'Travel Time Saving-Interchanges'!E37</f>
        <v>0</v>
      </c>
      <c r="F32" s="35">
        <f>'Travel Time Saving-Interchanges'!F37</f>
        <v>0</v>
      </c>
      <c r="G32" s="35">
        <f>'Travel Time Saving-Interchanges'!G37</f>
        <v>0</v>
      </c>
      <c r="H32" s="35">
        <f>'Travel Time Saving-Interchanges'!H37</f>
        <v>0</v>
      </c>
      <c r="I32" s="35">
        <f>'Travel Time Saving-Interchanges'!I37</f>
        <v>0</v>
      </c>
      <c r="J32" s="35">
        <f>'Travel Time Saving-Interchanges'!J37</f>
        <v>0</v>
      </c>
      <c r="K32" s="35">
        <f>'Travel Time Saving-Interchanges'!K37</f>
        <v>0</v>
      </c>
      <c r="L32" s="35">
        <f>'Travel Time Saving-Interchanges'!L37</f>
        <v>708850.29367833771</v>
      </c>
      <c r="M32" s="35">
        <f>'Travel Time Saving-Interchanges'!M37</f>
        <v>760023.6989800455</v>
      </c>
      <c r="N32" s="35">
        <f>'Travel Time Saving-Interchanges'!N37</f>
        <v>814494.399553339</v>
      </c>
      <c r="O32" s="35">
        <f>'Travel Time Saving-Interchanges'!O37</f>
        <v>872424.26123188622</v>
      </c>
      <c r="P32" s="35">
        <f>'Travel Time Saving-Interchanges'!P37</f>
        <v>933975.87297432125</v>
      </c>
      <c r="Q32" s="35">
        <f>'Travel Time Saving-Interchanges'!Q37</f>
        <v>999311.19656096492</v>
      </c>
      <c r="R32" s="35">
        <f>'Travel Time Saving-Interchanges'!R37</f>
        <v>1068589.9505678462</v>
      </c>
      <c r="S32" s="35">
        <f>'Travel Time Saving-Interchanges'!S37</f>
        <v>1141967.6900579548</v>
      </c>
      <c r="T32" s="35">
        <f>'Travel Time Saving-Interchanges'!T37</f>
        <v>1219593.5384759642</v>
      </c>
      <c r="U32" s="35">
        <f>'Travel Time Saving-Interchanges'!U37</f>
        <v>1301607.5226831958</v>
      </c>
      <c r="V32" s="35">
        <f>'Travel Time Saving-Interchanges'!V37</f>
        <v>1388137.4558558129</v>
      </c>
      <c r="W32" s="35">
        <f>'Travel Time Saving-Interchanges'!W37</f>
        <v>1479295.3060144503</v>
      </c>
      <c r="X32" s="35">
        <f>'Travel Time Saving-Interchanges'!X37</f>
        <v>1575172.9801730122</v>
      </c>
      <c r="Y32" s="35">
        <f>'Travel Time Saving-Interchanges'!Y37</f>
        <v>1675837.4453935493</v>
      </c>
      <c r="Z32" s="35">
        <f>'Travel Time Saving-Interchanges'!Z37</f>
        <v>1781325.0983079486</v>
      </c>
      <c r="AA32" s="35">
        <f>'Travel Time Saving-Interchanges'!AA37</f>
        <v>1891635.2837991975</v>
      </c>
      <c r="AB32" s="35">
        <f>'Travel Time Saving-Interchanges'!AB37</f>
        <v>2006722.8513951562</v>
      </c>
      <c r="AC32" s="35">
        <f>'Travel Time Saving-Interchanges'!AC37</f>
        <v>2126489.6243728399</v>
      </c>
      <c r="AD32" s="35">
        <f>'Travel Time Saving-Interchanges'!AD37</f>
        <v>2250774.6414400116</v>
      </c>
      <c r="AE32" s="35">
        <f>'Travel Time Saving-Interchanges'!AE37</f>
        <v>2379343.0139776208</v>
      </c>
    </row>
    <row r="33" spans="1:31" s="25" customFormat="1" x14ac:dyDescent="0.3">
      <c r="A33" s="24"/>
      <c r="B33" s="38" t="s">
        <v>239</v>
      </c>
      <c r="C33" s="36">
        <f t="shared" si="7"/>
        <v>68.690224040925472</v>
      </c>
      <c r="D33" s="35">
        <f>'Residual Value'!D24</f>
        <v>0</v>
      </c>
      <c r="E33" s="35">
        <f>'Residual Value'!E24</f>
        <v>0</v>
      </c>
      <c r="F33" s="35">
        <f>'Residual Value'!F24</f>
        <v>0</v>
      </c>
      <c r="G33" s="35">
        <f>'Residual Value'!G24</f>
        <v>0</v>
      </c>
      <c r="H33" s="35">
        <f>'Residual Value'!H24</f>
        <v>0</v>
      </c>
      <c r="I33" s="35">
        <f>'Residual Value'!I24</f>
        <v>0</v>
      </c>
      <c r="J33" s="35">
        <f>'Residual Value'!J24</f>
        <v>0</v>
      </c>
      <c r="K33" s="35">
        <f>'Residual Value'!K24</f>
        <v>0</v>
      </c>
      <c r="L33" s="35">
        <f>'Residual Value'!L24</f>
        <v>0</v>
      </c>
      <c r="M33" s="35">
        <f>'Residual Value'!M24</f>
        <v>0</v>
      </c>
      <c r="N33" s="35">
        <f>'Residual Value'!N24</f>
        <v>0</v>
      </c>
      <c r="O33" s="35">
        <f>'Residual Value'!O24</f>
        <v>0</v>
      </c>
      <c r="P33" s="35">
        <f>'Residual Value'!P24</f>
        <v>0</v>
      </c>
      <c r="Q33" s="35">
        <f>'Residual Value'!Q24</f>
        <v>0</v>
      </c>
      <c r="R33" s="35">
        <f>'Residual Value'!R24</f>
        <v>0</v>
      </c>
      <c r="S33" s="35">
        <f>'Residual Value'!S24</f>
        <v>0</v>
      </c>
      <c r="T33" s="35">
        <f>'Residual Value'!T24</f>
        <v>0</v>
      </c>
      <c r="U33" s="35">
        <f>'Residual Value'!U24</f>
        <v>0</v>
      </c>
      <c r="V33" s="35">
        <f>'Residual Value'!V24</f>
        <v>0</v>
      </c>
      <c r="W33" s="35">
        <f>'Residual Value'!W24</f>
        <v>0</v>
      </c>
      <c r="X33" s="35">
        <f>'Residual Value'!X24</f>
        <v>0</v>
      </c>
      <c r="Y33" s="35">
        <f>'Residual Value'!Y24</f>
        <v>0</v>
      </c>
      <c r="Z33" s="35">
        <f>'Residual Value'!Z24</f>
        <v>0</v>
      </c>
      <c r="AA33" s="35">
        <f>'Residual Value'!AA24</f>
        <v>0</v>
      </c>
      <c r="AB33" s="35">
        <f>'Residual Value'!AB24</f>
        <v>0</v>
      </c>
      <c r="AC33" s="35">
        <f>'Residual Value'!AC24</f>
        <v>0</v>
      </c>
      <c r="AD33" s="35">
        <f>'Residual Value'!AD24</f>
        <v>0</v>
      </c>
      <c r="AE33" s="35">
        <f>'Residual Value'!AE24</f>
        <v>68690224.040925473</v>
      </c>
    </row>
    <row r="34" spans="1:31" s="25" customFormat="1" ht="15" x14ac:dyDescent="0.3">
      <c r="A34" s="24"/>
      <c r="B34" s="38" t="s">
        <v>272</v>
      </c>
      <c r="C34" s="36">
        <f t="shared" si="7"/>
        <v>30.783397279386119</v>
      </c>
      <c r="D34" s="35">
        <f>'Project Data'!J24</f>
        <v>0</v>
      </c>
      <c r="E34" s="35">
        <f>'Project Data'!K24</f>
        <v>0</v>
      </c>
      <c r="F34" s="35">
        <f>'Project Data'!L24</f>
        <v>0</v>
      </c>
      <c r="G34" s="35">
        <f>'Project Data'!M24</f>
        <v>0</v>
      </c>
      <c r="H34" s="35">
        <f>'Project Data'!N24</f>
        <v>0</v>
      </c>
      <c r="I34" s="35">
        <f>'Project Data'!O24</f>
        <v>0</v>
      </c>
      <c r="J34" s="35">
        <f>'Project Data'!P24</f>
        <v>0</v>
      </c>
      <c r="K34" s="35">
        <f>'Project Data'!Q24</f>
        <v>7311056.8538542036</v>
      </c>
      <c r="L34" s="35">
        <f>'Project Data'!R24</f>
        <v>0</v>
      </c>
      <c r="M34" s="35">
        <f>'Project Data'!S24</f>
        <v>0</v>
      </c>
      <c r="N34" s="35">
        <f>'Project Data'!T24</f>
        <v>0</v>
      </c>
      <c r="O34" s="35">
        <f>'Project Data'!U24</f>
        <v>6349075.6888733869</v>
      </c>
      <c r="P34" s="35">
        <f>'Project Data'!V24</f>
        <v>0</v>
      </c>
      <c r="Q34" s="35">
        <f>'Project Data'!W24</f>
        <v>0</v>
      </c>
      <c r="R34" s="35">
        <f>'Project Data'!X24</f>
        <v>0</v>
      </c>
      <c r="S34" s="35">
        <f>'Project Data'!Y24</f>
        <v>0</v>
      </c>
      <c r="T34" s="35">
        <f>'Project Data'!Z24</f>
        <v>6349075.6888733869</v>
      </c>
      <c r="U34" s="35">
        <f>'Project Data'!AA24</f>
        <v>0</v>
      </c>
      <c r="V34" s="35">
        <f>'Project Data'!AB24</f>
        <v>0</v>
      </c>
      <c r="W34" s="35">
        <f>'Project Data'!AC24</f>
        <v>0</v>
      </c>
      <c r="X34" s="35">
        <f>'Project Data'!AD24</f>
        <v>0</v>
      </c>
      <c r="Y34" s="35">
        <f>'Project Data'!AE24</f>
        <v>5387094.5238925712</v>
      </c>
      <c r="Z34" s="35">
        <f>'Project Data'!AF24</f>
        <v>0</v>
      </c>
      <c r="AA34" s="35">
        <f>'Project Data'!AG24</f>
        <v>0</v>
      </c>
      <c r="AB34" s="35">
        <f>'Project Data'!AH24</f>
        <v>0</v>
      </c>
      <c r="AC34" s="35">
        <f>'Project Data'!AI24</f>
        <v>0</v>
      </c>
      <c r="AD34" s="35">
        <f>'Project Data'!AJ24</f>
        <v>5387094.5238925712</v>
      </c>
      <c r="AE34" s="35">
        <f>'Project Data'!AK24</f>
        <v>0</v>
      </c>
    </row>
    <row r="35" spans="1:31" s="25" customFormat="1" x14ac:dyDescent="0.3">
      <c r="A35" s="24"/>
      <c r="B35" s="37" t="s">
        <v>46</v>
      </c>
      <c r="C35" s="36">
        <f t="shared" si="7"/>
        <v>6.2528775723753052</v>
      </c>
      <c r="D35" s="35">
        <f>('Project Data'!J19)</f>
        <v>0</v>
      </c>
      <c r="E35" s="35">
        <f>('Project Data'!K19)</f>
        <v>0</v>
      </c>
      <c r="F35" s="35">
        <f>('Project Data'!L19)</f>
        <v>0</v>
      </c>
      <c r="G35" s="35">
        <f>('Project Data'!M19)</f>
        <v>0</v>
      </c>
      <c r="H35" s="35">
        <f>('Project Data'!N19)</f>
        <v>0</v>
      </c>
      <c r="I35" s="35">
        <f>('Project Data'!O19)</f>
        <v>0</v>
      </c>
      <c r="J35" s="35">
        <f>('Project Data'!P19)</f>
        <v>0</v>
      </c>
      <c r="K35" s="35">
        <f>('Project Data'!Q19)</f>
        <v>961981.16498081619</v>
      </c>
      <c r="L35" s="35">
        <f>('Project Data'!R19)</f>
        <v>0</v>
      </c>
      <c r="M35" s="35">
        <f>('Project Data'!S19)</f>
        <v>0</v>
      </c>
      <c r="N35" s="35">
        <f>('Project Data'!T19)</f>
        <v>0</v>
      </c>
      <c r="O35" s="35">
        <f>('Project Data'!U19)</f>
        <v>0</v>
      </c>
      <c r="P35" s="35">
        <f>('Project Data'!V19)</f>
        <v>0</v>
      </c>
      <c r="Q35" s="35">
        <f>('Project Data'!W19)</f>
        <v>0</v>
      </c>
      <c r="R35" s="35">
        <f>('Project Data'!X19)</f>
        <v>0</v>
      </c>
      <c r="S35" s="35">
        <f>('Project Data'!Y19)</f>
        <v>0</v>
      </c>
      <c r="T35" s="35">
        <f>('Project Data'!Z19)</f>
        <v>0</v>
      </c>
      <c r="U35" s="35">
        <f>('Project Data'!AA19)</f>
        <v>0</v>
      </c>
      <c r="V35" s="35">
        <f>('Project Data'!AB19)</f>
        <v>0</v>
      </c>
      <c r="W35" s="35">
        <f>('Project Data'!AC19)</f>
        <v>0</v>
      </c>
      <c r="X35" s="35">
        <f>('Project Data'!AD19)</f>
        <v>0</v>
      </c>
      <c r="Y35" s="35">
        <f>('Project Data'!AE19)</f>
        <v>0</v>
      </c>
      <c r="Z35" s="35">
        <f>('Project Data'!AF19)</f>
        <v>0</v>
      </c>
      <c r="AA35" s="35">
        <f>('Project Data'!AG19)</f>
        <v>0</v>
      </c>
      <c r="AB35" s="35">
        <f>('Project Data'!AH19)</f>
        <v>0</v>
      </c>
      <c r="AC35" s="35">
        <f>('Project Data'!AI19)</f>
        <v>0</v>
      </c>
      <c r="AD35" s="35">
        <f>('Project Data'!AJ19)</f>
        <v>5290896.4073944893</v>
      </c>
      <c r="AE35" s="35">
        <f>('Project Data'!AK19)</f>
        <v>0</v>
      </c>
    </row>
    <row r="36" spans="1:31" s="25" customFormat="1" x14ac:dyDescent="0.3">
      <c r="A36" s="24"/>
      <c r="B36" s="37" t="s">
        <v>48</v>
      </c>
      <c r="C36" s="36">
        <f t="shared" si="7"/>
        <v>-108.3308248729882</v>
      </c>
      <c r="D36" s="35">
        <f>-'Project Data'!J14</f>
        <v>-5295488.8115999997</v>
      </c>
      <c r="E36" s="35">
        <f>-'Project Data'!K14</f>
        <v>0</v>
      </c>
      <c r="F36" s="35">
        <f>-'Project Data'!L14</f>
        <v>0</v>
      </c>
      <c r="G36" s="35">
        <f>-'Project Data'!M14</f>
        <v>0</v>
      </c>
      <c r="H36" s="35">
        <f>-'Project Data'!N14</f>
        <v>-19810423.481688175</v>
      </c>
      <c r="I36" s="35">
        <f>-'Project Data'!O14</f>
        <v>-26643375.696546912</v>
      </c>
      <c r="J36" s="35">
        <f>-'Project Data'!P14</f>
        <v>-34476307.332403213</v>
      </c>
      <c r="K36" s="35">
        <f>-'Project Data'!Q14</f>
        <v>-22105229.550749913</v>
      </c>
      <c r="L36" s="35">
        <f>-'Project Data'!R14</f>
        <v>0</v>
      </c>
      <c r="M36" s="35">
        <f>-'Project Data'!S14</f>
        <v>0</v>
      </c>
      <c r="N36" s="35">
        <f>-'Project Data'!T14</f>
        <v>0</v>
      </c>
      <c r="O36" s="35">
        <f>-'Project Data'!U14</f>
        <v>0</v>
      </c>
      <c r="P36" s="35">
        <f>-'Project Data'!V14</f>
        <v>0</v>
      </c>
      <c r="Q36" s="35">
        <f>-'Project Data'!W14</f>
        <v>0</v>
      </c>
      <c r="R36" s="35">
        <f>-'Project Data'!X14</f>
        <v>0</v>
      </c>
      <c r="S36" s="35">
        <f>-'Project Data'!Y14</f>
        <v>0</v>
      </c>
      <c r="T36" s="35">
        <f>-'Project Data'!Z14</f>
        <v>0</v>
      </c>
      <c r="U36" s="35">
        <f>-'Project Data'!AA14</f>
        <v>0</v>
      </c>
      <c r="V36" s="35">
        <f>-'Project Data'!AB14</f>
        <v>0</v>
      </c>
      <c r="W36" s="35">
        <f>-'Project Data'!AC14</f>
        <v>0</v>
      </c>
      <c r="X36" s="35">
        <f>-'Project Data'!AD14</f>
        <v>0</v>
      </c>
      <c r="Y36" s="35">
        <f>-'Project Data'!AE14</f>
        <v>0</v>
      </c>
      <c r="Z36" s="35">
        <f>-'Project Data'!AF14</f>
        <v>0</v>
      </c>
      <c r="AA36" s="35">
        <f>-'Project Data'!AG14</f>
        <v>0</v>
      </c>
      <c r="AB36" s="35">
        <f>-'Project Data'!AH14</f>
        <v>0</v>
      </c>
      <c r="AC36" s="35">
        <f>-'Project Data'!AI14</f>
        <v>0</v>
      </c>
      <c r="AD36" s="35">
        <f>-'Project Data'!AJ14</f>
        <v>0</v>
      </c>
      <c r="AE36" s="35">
        <f>-'Project Data'!AK14</f>
        <v>0</v>
      </c>
    </row>
    <row r="37" spans="1:31" s="25" customFormat="1" x14ac:dyDescent="0.3">
      <c r="A37" s="24"/>
      <c r="B37" s="34" t="s">
        <v>8</v>
      </c>
      <c r="C37" s="33">
        <f t="shared" si="7"/>
        <v>377.68504618639247</v>
      </c>
      <c r="D37" s="32">
        <f>SUM(D30:D34)</f>
        <v>0</v>
      </c>
      <c r="E37" s="32">
        <f t="shared" ref="E37:AE37" si="8">SUM(E30:E34)</f>
        <v>0</v>
      </c>
      <c r="F37" s="32">
        <f t="shared" si="8"/>
        <v>0</v>
      </c>
      <c r="G37" s="32">
        <f t="shared" si="8"/>
        <v>0</v>
      </c>
      <c r="H37" s="32">
        <f t="shared" si="8"/>
        <v>0</v>
      </c>
      <c r="I37" s="32">
        <f t="shared" si="8"/>
        <v>0</v>
      </c>
      <c r="J37" s="32">
        <f t="shared" si="8"/>
        <v>0</v>
      </c>
      <c r="K37" s="32">
        <f>SUM(K30:K34)</f>
        <v>7311056.8538542036</v>
      </c>
      <c r="L37" s="32">
        <f t="shared" si="8"/>
        <v>10032028.785953267</v>
      </c>
      <c r="M37" s="32">
        <f t="shared" si="8"/>
        <v>10363795.601579368</v>
      </c>
      <c r="N37" s="32">
        <f t="shared" si="8"/>
        <v>10706710.613272898</v>
      </c>
      <c r="O37" s="32">
        <f t="shared" si="8"/>
        <v>17410221.653529637</v>
      </c>
      <c r="P37" s="32">
        <f t="shared" si="8"/>
        <v>11427480.003706669</v>
      </c>
      <c r="Q37" s="32">
        <f t="shared" si="8"/>
        <v>11806096.072895776</v>
      </c>
      <c r="R37" s="32">
        <f t="shared" si="8"/>
        <v>12197381.037165623</v>
      </c>
      <c r="S37" s="32">
        <f t="shared" si="8"/>
        <v>12601723.511270985</v>
      </c>
      <c r="T37" s="32">
        <f t="shared" si="8"/>
        <v>19368587.431939155</v>
      </c>
      <c r="U37" s="32">
        <f t="shared" si="8"/>
        <v>13451131.103764446</v>
      </c>
      <c r="V37" s="32">
        <f t="shared" si="8"/>
        <v>13896961.12999812</v>
      </c>
      <c r="W37" s="32">
        <f t="shared" si="8"/>
        <v>14357372.05553223</v>
      </c>
      <c r="X37" s="32">
        <f t="shared" si="8"/>
        <v>14832720.762734918</v>
      </c>
      <c r="Y37" s="32">
        <f t="shared" si="8"/>
        <v>20710440.599079639</v>
      </c>
      <c r="Z37" s="32">
        <f t="shared" si="8"/>
        <v>15829563.303101294</v>
      </c>
      <c r="AA37" s="32">
        <f t="shared" si="8"/>
        <v>16351657.942351371</v>
      </c>
      <c r="AB37" s="32">
        <f t="shared" si="8"/>
        <v>16889878.415777721</v>
      </c>
      <c r="AC37" s="32">
        <f t="shared" si="8"/>
        <v>17444427.731880985</v>
      </c>
      <c r="AD37" s="32">
        <f t="shared" si="8"/>
        <v>23402548.44478108</v>
      </c>
      <c r="AE37" s="32">
        <f t="shared" si="8"/>
        <v>87293263.132223085</v>
      </c>
    </row>
    <row r="38" spans="1:31" s="25" customFormat="1" x14ac:dyDescent="0.3">
      <c r="A38" s="24"/>
      <c r="B38" s="34" t="s">
        <v>9</v>
      </c>
      <c r="C38" s="33">
        <f t="shared" si="7"/>
        <v>-102.07794730061291</v>
      </c>
      <c r="D38" s="32">
        <f>SUM(D35:D36)</f>
        <v>-5295488.8115999997</v>
      </c>
      <c r="E38" s="32">
        <f>SUM(E35:E36)</f>
        <v>0</v>
      </c>
      <c r="F38" s="32">
        <f t="shared" ref="F38:AA38" si="9">SUM(F35:F36)</f>
        <v>0</v>
      </c>
      <c r="G38" s="32">
        <f t="shared" si="9"/>
        <v>0</v>
      </c>
      <c r="H38" s="32">
        <f t="shared" si="9"/>
        <v>-19810423.481688175</v>
      </c>
      <c r="I38" s="32">
        <f t="shared" si="9"/>
        <v>-26643375.696546912</v>
      </c>
      <c r="J38" s="32">
        <f t="shared" si="9"/>
        <v>-34476307.332403213</v>
      </c>
      <c r="K38" s="32">
        <f t="shared" si="9"/>
        <v>-21143248.385769095</v>
      </c>
      <c r="L38" s="32">
        <f t="shared" si="9"/>
        <v>0</v>
      </c>
      <c r="M38" s="32">
        <f t="shared" si="9"/>
        <v>0</v>
      </c>
      <c r="N38" s="32">
        <f t="shared" si="9"/>
        <v>0</v>
      </c>
      <c r="O38" s="32">
        <f t="shared" si="9"/>
        <v>0</v>
      </c>
      <c r="P38" s="32">
        <f t="shared" si="9"/>
        <v>0</v>
      </c>
      <c r="Q38" s="32">
        <f t="shared" si="9"/>
        <v>0</v>
      </c>
      <c r="R38" s="32">
        <f t="shared" si="9"/>
        <v>0</v>
      </c>
      <c r="S38" s="32">
        <f t="shared" si="9"/>
        <v>0</v>
      </c>
      <c r="T38" s="32">
        <f t="shared" si="9"/>
        <v>0</v>
      </c>
      <c r="U38" s="32">
        <f t="shared" si="9"/>
        <v>0</v>
      </c>
      <c r="V38" s="32">
        <f t="shared" si="9"/>
        <v>0</v>
      </c>
      <c r="W38" s="32">
        <f t="shared" si="9"/>
        <v>0</v>
      </c>
      <c r="X38" s="32">
        <f t="shared" si="9"/>
        <v>0</v>
      </c>
      <c r="Y38" s="32">
        <f t="shared" si="9"/>
        <v>0</v>
      </c>
      <c r="Z38" s="32">
        <f t="shared" si="9"/>
        <v>0</v>
      </c>
      <c r="AA38" s="32">
        <f t="shared" si="9"/>
        <v>0</v>
      </c>
      <c r="AB38" s="32">
        <f t="shared" ref="AB38:AE38" si="10">SUM(AB35:AB36)</f>
        <v>0</v>
      </c>
      <c r="AC38" s="32">
        <f t="shared" si="10"/>
        <v>0</v>
      </c>
      <c r="AD38" s="32">
        <f t="shared" si="10"/>
        <v>5290896.4073944893</v>
      </c>
      <c r="AE38" s="32">
        <f t="shared" si="10"/>
        <v>0</v>
      </c>
    </row>
    <row r="39" spans="1:31" s="25" customFormat="1" x14ac:dyDescent="0.3">
      <c r="A39" s="24"/>
      <c r="B39" s="31" t="s">
        <v>45</v>
      </c>
      <c r="C39" s="30">
        <f t="shared" si="7"/>
        <v>275.60709888577958</v>
      </c>
      <c r="D39" s="29">
        <f>SUM(D30:D36)</f>
        <v>-5295488.8115999997</v>
      </c>
      <c r="E39" s="29">
        <f>SUM(E30:E36)</f>
        <v>0</v>
      </c>
      <c r="F39" s="29">
        <f t="shared" ref="F39:AA39" si="11">SUM(F30:F36)</f>
        <v>0</v>
      </c>
      <c r="G39" s="29">
        <f>SUM(G30:G36)</f>
        <v>0</v>
      </c>
      <c r="H39" s="29">
        <f t="shared" si="11"/>
        <v>-19810423.481688175</v>
      </c>
      <c r="I39" s="29">
        <f t="shared" si="11"/>
        <v>-26643375.696546912</v>
      </c>
      <c r="J39" s="29">
        <f t="shared" si="11"/>
        <v>-34476307.332403213</v>
      </c>
      <c r="K39" s="29">
        <f t="shared" si="11"/>
        <v>-13832191.531914894</v>
      </c>
      <c r="L39" s="29">
        <f t="shared" si="11"/>
        <v>10032028.785953267</v>
      </c>
      <c r="M39" s="29">
        <f t="shared" si="11"/>
        <v>10363795.601579368</v>
      </c>
      <c r="N39" s="29">
        <f t="shared" si="11"/>
        <v>10706710.613272898</v>
      </c>
      <c r="O39" s="29">
        <f t="shared" si="11"/>
        <v>17410221.653529637</v>
      </c>
      <c r="P39" s="29">
        <f t="shared" si="11"/>
        <v>11427480.003706669</v>
      </c>
      <c r="Q39" s="29">
        <f t="shared" si="11"/>
        <v>11806096.072895776</v>
      </c>
      <c r="R39" s="29">
        <f t="shared" si="11"/>
        <v>12197381.037165623</v>
      </c>
      <c r="S39" s="29">
        <f t="shared" si="11"/>
        <v>12601723.511270985</v>
      </c>
      <c r="T39" s="29">
        <f t="shared" si="11"/>
        <v>19368587.431939155</v>
      </c>
      <c r="U39" s="29">
        <f t="shared" si="11"/>
        <v>13451131.103764446</v>
      </c>
      <c r="V39" s="29">
        <f t="shared" si="11"/>
        <v>13896961.12999812</v>
      </c>
      <c r="W39" s="29">
        <f t="shared" si="11"/>
        <v>14357372.05553223</v>
      </c>
      <c r="X39" s="29">
        <f t="shared" si="11"/>
        <v>14832720.762734918</v>
      </c>
      <c r="Y39" s="29">
        <f t="shared" si="11"/>
        <v>20710440.599079639</v>
      </c>
      <c r="Z39" s="29">
        <f t="shared" si="11"/>
        <v>15829563.303101294</v>
      </c>
      <c r="AA39" s="29">
        <f t="shared" si="11"/>
        <v>16351657.942351371</v>
      </c>
      <c r="AB39" s="29">
        <f t="shared" ref="AB39:AE39" si="12">SUM(AB30:AB36)</f>
        <v>16889878.415777721</v>
      </c>
      <c r="AC39" s="29">
        <f t="shared" si="12"/>
        <v>17444427.731880985</v>
      </c>
      <c r="AD39" s="29">
        <f t="shared" si="12"/>
        <v>28693444.852175571</v>
      </c>
      <c r="AE39" s="29">
        <f t="shared" si="12"/>
        <v>87293263.132223085</v>
      </c>
    </row>
    <row r="40" spans="1:31" s="25" customFormat="1" x14ac:dyDescent="0.3">
      <c r="A40" s="24"/>
      <c r="B40" s="28" t="s">
        <v>44</v>
      </c>
      <c r="C40" s="27"/>
      <c r="D40" s="26">
        <f>D39</f>
        <v>-5295488.8115999997</v>
      </c>
      <c r="E40" s="26">
        <f>E39</f>
        <v>0</v>
      </c>
      <c r="F40" s="26">
        <f>E40+F39</f>
        <v>0</v>
      </c>
      <c r="G40" s="26">
        <f>F40+G39</f>
        <v>0</v>
      </c>
      <c r="H40" s="26">
        <f>G40+H39</f>
        <v>-19810423.481688175</v>
      </c>
      <c r="I40" s="26">
        <f t="shared" ref="I40:AA40" si="13">H40+I39</f>
        <v>-46453799.178235084</v>
      </c>
      <c r="J40" s="26">
        <f t="shared" si="13"/>
        <v>-80930106.510638297</v>
      </c>
      <c r="K40" s="26">
        <f t="shared" si="13"/>
        <v>-94762298.042553186</v>
      </c>
      <c r="L40" s="26">
        <f t="shared" si="13"/>
        <v>-84730269.256599918</v>
      </c>
      <c r="M40" s="26">
        <f t="shared" si="13"/>
        <v>-74366473.65502055</v>
      </c>
      <c r="N40" s="26">
        <f t="shared" si="13"/>
        <v>-63659763.041747652</v>
      </c>
      <c r="O40" s="26">
        <f t="shared" si="13"/>
        <v>-46249541.388218015</v>
      </c>
      <c r="P40" s="26">
        <f t="shared" si="13"/>
        <v>-34822061.384511344</v>
      </c>
      <c r="Q40" s="26">
        <f t="shared" si="13"/>
        <v>-23015965.311615568</v>
      </c>
      <c r="R40" s="26">
        <f t="shared" si="13"/>
        <v>-10818584.274449944</v>
      </c>
      <c r="S40" s="26">
        <f t="shared" si="13"/>
        <v>1783139.2368210405</v>
      </c>
      <c r="T40" s="26">
        <f t="shared" si="13"/>
        <v>21151726.668760195</v>
      </c>
      <c r="U40" s="26">
        <f t="shared" si="13"/>
        <v>34602857.77252464</v>
      </c>
      <c r="V40" s="26">
        <f t="shared" si="13"/>
        <v>48499818.902522758</v>
      </c>
      <c r="W40" s="26">
        <f t="shared" si="13"/>
        <v>62857190.95805499</v>
      </c>
      <c r="X40" s="26">
        <f t="shared" si="13"/>
        <v>77689911.720789909</v>
      </c>
      <c r="Y40" s="26">
        <f t="shared" si="13"/>
        <v>98400352.319869548</v>
      </c>
      <c r="Z40" s="26">
        <f t="shared" si="13"/>
        <v>114229915.62297085</v>
      </c>
      <c r="AA40" s="26">
        <f t="shared" si="13"/>
        <v>130581573.56532222</v>
      </c>
      <c r="AB40" s="26">
        <f t="shared" ref="AB40" si="14">AA40+AB39</f>
        <v>147471451.98109993</v>
      </c>
      <c r="AC40" s="26">
        <f t="shared" ref="AC40" si="15">AB40+AC39</f>
        <v>164915879.71298093</v>
      </c>
      <c r="AD40" s="26">
        <f t="shared" ref="AD40" si="16">AC40+AD39</f>
        <v>193609324.56515649</v>
      </c>
      <c r="AE40" s="26">
        <f t="shared" ref="AE40" si="17">AD40+AE39</f>
        <v>280902587.69737959</v>
      </c>
    </row>
    <row r="41" spans="1:31" x14ac:dyDescent="0.3">
      <c r="D41" s="292"/>
      <c r="E41" s="144"/>
      <c r="G41" s="144"/>
    </row>
    <row r="42" spans="1:31" x14ac:dyDescent="0.3">
      <c r="B42" s="41" t="s">
        <v>237</v>
      </c>
      <c r="D42" s="23"/>
    </row>
    <row r="43" spans="1:31" x14ac:dyDescent="0.3">
      <c r="B43" s="40" t="s">
        <v>47</v>
      </c>
      <c r="C43" s="39" t="s">
        <v>13</v>
      </c>
      <c r="D43" s="289">
        <f>Base.Year</f>
        <v>2019</v>
      </c>
      <c r="E43" s="289">
        <f>D43+1</f>
        <v>2020</v>
      </c>
      <c r="F43" s="289">
        <f t="shared" ref="F43:AE43" si="18">E43+1</f>
        <v>2021</v>
      </c>
      <c r="G43" s="289">
        <f t="shared" si="18"/>
        <v>2022</v>
      </c>
      <c r="H43" s="289">
        <f t="shared" si="18"/>
        <v>2023</v>
      </c>
      <c r="I43" s="289">
        <f t="shared" si="18"/>
        <v>2024</v>
      </c>
      <c r="J43" s="289">
        <f t="shared" si="18"/>
        <v>2025</v>
      </c>
      <c r="K43" s="289">
        <f t="shared" si="18"/>
        <v>2026</v>
      </c>
      <c r="L43" s="289">
        <f t="shared" si="18"/>
        <v>2027</v>
      </c>
      <c r="M43" s="289">
        <f t="shared" si="18"/>
        <v>2028</v>
      </c>
      <c r="N43" s="289">
        <f t="shared" si="18"/>
        <v>2029</v>
      </c>
      <c r="O43" s="289">
        <f t="shared" si="18"/>
        <v>2030</v>
      </c>
      <c r="P43" s="289">
        <f t="shared" si="18"/>
        <v>2031</v>
      </c>
      <c r="Q43" s="289">
        <f t="shared" si="18"/>
        <v>2032</v>
      </c>
      <c r="R43" s="289">
        <f t="shared" si="18"/>
        <v>2033</v>
      </c>
      <c r="S43" s="289">
        <f t="shared" si="18"/>
        <v>2034</v>
      </c>
      <c r="T43" s="289">
        <f t="shared" si="18"/>
        <v>2035</v>
      </c>
      <c r="U43" s="289">
        <f t="shared" si="18"/>
        <v>2036</v>
      </c>
      <c r="V43" s="289">
        <f t="shared" si="18"/>
        <v>2037</v>
      </c>
      <c r="W43" s="289">
        <f t="shared" si="18"/>
        <v>2038</v>
      </c>
      <c r="X43" s="289">
        <f t="shared" si="18"/>
        <v>2039</v>
      </c>
      <c r="Y43" s="289">
        <f t="shared" si="18"/>
        <v>2040</v>
      </c>
      <c r="Z43" s="289">
        <f t="shared" si="18"/>
        <v>2041</v>
      </c>
      <c r="AA43" s="289">
        <f t="shared" si="18"/>
        <v>2042</v>
      </c>
      <c r="AB43" s="289">
        <f t="shared" si="18"/>
        <v>2043</v>
      </c>
      <c r="AC43" s="289">
        <f t="shared" si="18"/>
        <v>2044</v>
      </c>
      <c r="AD43" s="289">
        <f t="shared" si="18"/>
        <v>2045</v>
      </c>
      <c r="AE43" s="289">
        <f t="shared" si="18"/>
        <v>2046</v>
      </c>
    </row>
    <row r="44" spans="1:31" s="25" customFormat="1" x14ac:dyDescent="0.3">
      <c r="A44" s="24"/>
      <c r="B44" s="38" t="s">
        <v>12</v>
      </c>
      <c r="C44" s="36">
        <f t="shared" ref="C44:C53" si="19">SUM(D44:AE44)/10^6</f>
        <v>49.499393561464089</v>
      </c>
      <c r="D44" s="35">
        <f>'Accident Cost Saving'!D106</f>
        <v>0</v>
      </c>
      <c r="E44" s="35">
        <f>'Accident Cost Saving'!E106</f>
        <v>0</v>
      </c>
      <c r="F44" s="35">
        <f>'Accident Cost Saving'!F106</f>
        <v>0</v>
      </c>
      <c r="G44" s="35">
        <f>'Accident Cost Saving'!G106</f>
        <v>0</v>
      </c>
      <c r="H44" s="35">
        <f>'Accident Cost Saving'!H106</f>
        <v>0</v>
      </c>
      <c r="I44" s="35">
        <f>'Accident Cost Saving'!I106</f>
        <v>0</v>
      </c>
      <c r="J44" s="35">
        <f>'Accident Cost Saving'!J106</f>
        <v>0</v>
      </c>
      <c r="K44" s="35">
        <f>'Accident Cost Saving'!K106</f>
        <v>0</v>
      </c>
      <c r="L44" s="35">
        <f>'Accident Cost Saving'!L106</f>
        <v>3946707.7468974949</v>
      </c>
      <c r="M44" s="35">
        <f>'Accident Cost Saving'!M106</f>
        <v>3738431.2642892916</v>
      </c>
      <c r="N44" s="35">
        <f>'Accident Cost Saving'!N106</f>
        <v>3541145.9915677947</v>
      </c>
      <c r="O44" s="35">
        <f>'Accident Cost Saving'!O106</f>
        <v>3354271.8983173734</v>
      </c>
      <c r="P44" s="35">
        <f>'Accident Cost Saving'!P106</f>
        <v>3177259.5636081998</v>
      </c>
      <c r="Q44" s="35">
        <f>'Accident Cost Saving'!Q106</f>
        <v>3009588.5606661178</v>
      </c>
      <c r="R44" s="35">
        <f>'Accident Cost Saving'!R106</f>
        <v>2850765.9267869857</v>
      </c>
      <c r="S44" s="35">
        <f>'Accident Cost Saving'!S106</f>
        <v>2700324.7139970935</v>
      </c>
      <c r="T44" s="35">
        <f>'Accident Cost Saving'!T106</f>
        <v>2557822.6161983833</v>
      </c>
      <c r="U44" s="35">
        <f>'Accident Cost Saving'!U106</f>
        <v>2422840.6687622466</v>
      </c>
      <c r="V44" s="35">
        <f>'Accident Cost Saving'!V106</f>
        <v>2294982.0167486537</v>
      </c>
      <c r="W44" s="35">
        <f>'Accident Cost Saving'!W106</f>
        <v>2173870.7481290717</v>
      </c>
      <c r="X44" s="35">
        <f>'Accident Cost Saving'!X106</f>
        <v>2059150.7885827629</v>
      </c>
      <c r="Y44" s="35">
        <f>'Accident Cost Saving'!Y106</f>
        <v>1950484.8546171477</v>
      </c>
      <c r="Z44" s="35">
        <f>'Accident Cost Saving'!Z106</f>
        <v>1847553.461934329</v>
      </c>
      <c r="AA44" s="35">
        <f>'Accident Cost Saving'!AA106</f>
        <v>1750053.986128249</v>
      </c>
      <c r="AB44" s="35">
        <f>'Accident Cost Saving'!AB106</f>
        <v>1657699.7729510029</v>
      </c>
      <c r="AC44" s="35">
        <f>'Accident Cost Saving'!AC106</f>
        <v>1570219.2955323069</v>
      </c>
      <c r="AD44" s="35">
        <f>'Accident Cost Saving'!AD106</f>
        <v>1487355.3560743907</v>
      </c>
      <c r="AE44" s="35">
        <f>'Accident Cost Saving'!AE106</f>
        <v>1408864.3296751934</v>
      </c>
    </row>
    <row r="45" spans="1:31" s="25" customFormat="1" x14ac:dyDescent="0.3">
      <c r="A45" s="24"/>
      <c r="B45" s="38" t="s">
        <v>257</v>
      </c>
      <c r="C45" s="36">
        <f t="shared" si="19"/>
        <v>27.76330928225687</v>
      </c>
      <c r="D45" s="35">
        <f>'Travel Time Savings'!D70</f>
        <v>0</v>
      </c>
      <c r="E45" s="35">
        <f>'Travel Time Savings'!E70</f>
        <v>0</v>
      </c>
      <c r="F45" s="35">
        <f>'Travel Time Savings'!F70</f>
        <v>0</v>
      </c>
      <c r="G45" s="35">
        <f>'Travel Time Savings'!G70</f>
        <v>0</v>
      </c>
      <c r="H45" s="35">
        <f>'Travel Time Savings'!H70</f>
        <v>0</v>
      </c>
      <c r="I45" s="35">
        <f>'Travel Time Savings'!I70</f>
        <v>0</v>
      </c>
      <c r="J45" s="35">
        <f>'Travel Time Savings'!J70</f>
        <v>0</v>
      </c>
      <c r="K45" s="35">
        <f>'Travel Time Savings'!K70</f>
        <v>0</v>
      </c>
      <c r="L45" s="35">
        <f>'Travel Time Savings'!L70</f>
        <v>1479467.0190914611</v>
      </c>
      <c r="M45" s="35">
        <f>'Travel Time Savings'!M70</f>
        <v>1485384.329616043</v>
      </c>
      <c r="N45" s="35">
        <f>'Travel Time Savings'!N70</f>
        <v>1487555.1183201207</v>
      </c>
      <c r="O45" s="35">
        <f>'Travel Time Savings'!O70</f>
        <v>1486316.3873774032</v>
      </c>
      <c r="P45" s="35">
        <f>'Travel Time Savings'!P70</f>
        <v>1481981.7647790189</v>
      </c>
      <c r="Q45" s="35">
        <f>'Travel Time Savings'!Q70</f>
        <v>1474842.9589923548</v>
      </c>
      <c r="R45" s="35">
        <f>'Travel Time Savings'!R70</f>
        <v>1465171.1282755609</v>
      </c>
      <c r="S45" s="35">
        <f>'Travel Time Savings'!S70</f>
        <v>1453218.1694749303</v>
      </c>
      <c r="T45" s="35">
        <f>'Travel Time Savings'!T70</f>
        <v>1439217.9308660969</v>
      </c>
      <c r="U45" s="35">
        <f>'Travel Time Savings'!U70</f>
        <v>1423387.3533478833</v>
      </c>
      <c r="V45" s="35">
        <f>'Travel Time Savings'!V70</f>
        <v>1405927.544059413</v>
      </c>
      <c r="W45" s="35">
        <f>'Travel Time Savings'!W70</f>
        <v>1387024.7862657402</v>
      </c>
      <c r="X45" s="35">
        <f>'Travel Time Savings'!X70</f>
        <v>1366851.489144101</v>
      </c>
      <c r="Y45" s="35">
        <f>'Travel Time Savings'!Y70</f>
        <v>1345567.0809014586</v>
      </c>
      <c r="Z45" s="35">
        <f>'Travel Time Savings'!Z70</f>
        <v>1323318.8484634256</v>
      </c>
      <c r="AA45" s="35">
        <f>'Travel Time Savings'!AA70</f>
        <v>1300242.7267944803</v>
      </c>
      <c r="AB45" s="35">
        <f>'Travel Time Savings'!AB70</f>
        <v>1276464.0407391405</v>
      </c>
      <c r="AC45" s="35">
        <f>'Travel Time Savings'!AC70</f>
        <v>1252098.2021126398</v>
      </c>
      <c r="AD45" s="35">
        <f>'Travel Time Savings'!AD70</f>
        <v>1227251.3646174585</v>
      </c>
      <c r="AE45" s="35">
        <f>'Travel Time Savings'!AE70</f>
        <v>1202021.0390181351</v>
      </c>
    </row>
    <row r="46" spans="1:31" s="25" customFormat="1" x14ac:dyDescent="0.3">
      <c r="A46" s="24"/>
      <c r="B46" s="38" t="s">
        <v>256</v>
      </c>
      <c r="C46" s="36">
        <f t="shared" si="19"/>
        <v>8.1278945021947901</v>
      </c>
      <c r="D46" s="35">
        <f>'Travel Time Saving-Interchanges'!D38</f>
        <v>0</v>
      </c>
      <c r="E46" s="35">
        <f>'Travel Time Saving-Interchanges'!E38</f>
        <v>0</v>
      </c>
      <c r="F46" s="35">
        <f>'Travel Time Saving-Interchanges'!F38</f>
        <v>0</v>
      </c>
      <c r="G46" s="35">
        <f>'Travel Time Saving-Interchanges'!G38</f>
        <v>0</v>
      </c>
      <c r="H46" s="35">
        <f>'Travel Time Saving-Interchanges'!H38</f>
        <v>0</v>
      </c>
      <c r="I46" s="35">
        <f>'Travel Time Saving-Interchanges'!I38</f>
        <v>0</v>
      </c>
      <c r="J46" s="35">
        <f>'Travel Time Saving-Interchanges'!J38</f>
        <v>0</v>
      </c>
      <c r="K46" s="35">
        <f>'Travel Time Saving-Interchanges'!K38</f>
        <v>0</v>
      </c>
      <c r="L46" s="35">
        <f>'Travel Time Saving-Interchanges'!L38</f>
        <v>412557.32469439384</v>
      </c>
      <c r="M46" s="35">
        <f>'Travel Time Saving-Interchanges'!M38</f>
        <v>413402.53503886412</v>
      </c>
      <c r="N46" s="35">
        <f>'Travel Time Saving-Interchanges'!N38</f>
        <v>414047.65146063187</v>
      </c>
      <c r="O46" s="35">
        <f>'Travel Time Saving-Interchanges'!O38</f>
        <v>414482.48190503125</v>
      </c>
      <c r="P46" s="35">
        <f>'Travel Time Saving-Interchanges'!P38</f>
        <v>414696.45724290446</v>
      </c>
      <c r="Q46" s="35">
        <f>'Travel Time Saving-Interchanges'!Q38</f>
        <v>414678.61894975469</v>
      </c>
      <c r="R46" s="35">
        <f>'Travel Time Saving-Interchanges'!R38</f>
        <v>414417.60640806169</v>
      </c>
      <c r="S46" s="35">
        <f>'Travel Time Saving-Interchanges'!S38</f>
        <v>413901.64382168557</v>
      </c>
      <c r="T46" s="35">
        <f>'Travel Time Saving-Interchanges'!T38</f>
        <v>413118.52673098532</v>
      </c>
      <c r="U46" s="35">
        <f>'Travel Time Saving-Interchanges'!U38</f>
        <v>412055.60811693314</v>
      </c>
      <c r="V46" s="35">
        <f>'Travel Time Saving-Interchanges'!V38</f>
        <v>410699.78408220049</v>
      </c>
      <c r="W46" s="35">
        <f>'Travel Time Saving-Interchanges'!W38</f>
        <v>409037.47909681534</v>
      </c>
      <c r="X46" s="35">
        <f>'Travel Time Saving-Interchanges'!X38</f>
        <v>407054.63079565961</v>
      </c>
      <c r="Y46" s="35">
        <f>'Travel Time Saving-Interchanges'!Y38</f>
        <v>404736.67431471229</v>
      </c>
      <c r="Z46" s="35">
        <f>'Travel Time Saving-Interchanges'!Z38</f>
        <v>402068.52615255193</v>
      </c>
      <c r="AA46" s="35">
        <f>'Travel Time Saving-Interchanges'!AA38</f>
        <v>399034.56754327653</v>
      </c>
      <c r="AB46" s="35">
        <f>'Travel Time Saving-Interchanges'!AB38</f>
        <v>395618.62732656585</v>
      </c>
      <c r="AC46" s="35">
        <f>'Travel Time Saving-Interchanges'!AC38</f>
        <v>391803.96430027194</v>
      </c>
      <c r="AD46" s="35">
        <f>'Travel Time Saving-Interchanges'!AD38</f>
        <v>387573.24904040736</v>
      </c>
      <c r="AE46" s="35">
        <f>'Travel Time Saving-Interchanges'!AE38</f>
        <v>382908.54517308337</v>
      </c>
    </row>
    <row r="47" spans="1:31" s="25" customFormat="1" x14ac:dyDescent="0.3">
      <c r="A47" s="24"/>
      <c r="B47" s="38" t="s">
        <v>239</v>
      </c>
      <c r="C47" s="36">
        <f t="shared" si="19"/>
        <v>11.0543429848536</v>
      </c>
      <c r="D47" s="35">
        <f>'Residual Value'!D25</f>
        <v>0</v>
      </c>
      <c r="E47" s="35">
        <f>'Residual Value'!E25</f>
        <v>0</v>
      </c>
      <c r="F47" s="35">
        <f>'Residual Value'!F25</f>
        <v>0</v>
      </c>
      <c r="G47" s="35">
        <f>'Residual Value'!G25</f>
        <v>0</v>
      </c>
      <c r="H47" s="35">
        <f>'Residual Value'!H25</f>
        <v>0</v>
      </c>
      <c r="I47" s="35">
        <f>'Residual Value'!I25</f>
        <v>0</v>
      </c>
      <c r="J47" s="35">
        <f>'Residual Value'!J25</f>
        <v>0</v>
      </c>
      <c r="K47" s="35">
        <f>'Residual Value'!K25</f>
        <v>0</v>
      </c>
      <c r="L47" s="35">
        <f>'Residual Value'!L25</f>
        <v>0</v>
      </c>
      <c r="M47" s="35">
        <f>'Residual Value'!M25</f>
        <v>0</v>
      </c>
      <c r="N47" s="35">
        <f>'Residual Value'!N25</f>
        <v>0</v>
      </c>
      <c r="O47" s="35">
        <f>'Residual Value'!O25</f>
        <v>0</v>
      </c>
      <c r="P47" s="35">
        <f>'Residual Value'!P25</f>
        <v>0</v>
      </c>
      <c r="Q47" s="35">
        <f>'Residual Value'!Q25</f>
        <v>0</v>
      </c>
      <c r="R47" s="35">
        <f>'Residual Value'!R25</f>
        <v>0</v>
      </c>
      <c r="S47" s="35">
        <f>'Residual Value'!S25</f>
        <v>0</v>
      </c>
      <c r="T47" s="35">
        <f>'Residual Value'!T25</f>
        <v>0</v>
      </c>
      <c r="U47" s="35">
        <f>'Residual Value'!U25</f>
        <v>0</v>
      </c>
      <c r="V47" s="35">
        <f>'Residual Value'!V25</f>
        <v>0</v>
      </c>
      <c r="W47" s="35">
        <f>'Residual Value'!W25</f>
        <v>0</v>
      </c>
      <c r="X47" s="35">
        <f>'Residual Value'!X25</f>
        <v>0</v>
      </c>
      <c r="Y47" s="35">
        <f>'Residual Value'!Y25</f>
        <v>0</v>
      </c>
      <c r="Z47" s="35">
        <f>'Residual Value'!Z25</f>
        <v>0</v>
      </c>
      <c r="AA47" s="35">
        <f>'Residual Value'!AA25</f>
        <v>0</v>
      </c>
      <c r="AB47" s="35">
        <f>'Residual Value'!AB25</f>
        <v>0</v>
      </c>
      <c r="AC47" s="35">
        <f>'Residual Value'!AC25</f>
        <v>0</v>
      </c>
      <c r="AD47" s="35">
        <f>'Residual Value'!AD25</f>
        <v>0</v>
      </c>
      <c r="AE47" s="35">
        <f>'Residual Value'!AE25</f>
        <v>11054342.984853599</v>
      </c>
    </row>
    <row r="48" spans="1:31" s="25" customFormat="1" x14ac:dyDescent="0.3">
      <c r="A48" s="24"/>
      <c r="B48" s="38" t="s">
        <v>272</v>
      </c>
      <c r="C48" s="36">
        <f t="shared" si="19"/>
        <v>11.948697716472026</v>
      </c>
      <c r="D48" s="35">
        <f>'Project Data'!J24*'Project Data'!J6</f>
        <v>0</v>
      </c>
      <c r="E48" s="35">
        <f>'Project Data'!K24*'Project Data'!K6</f>
        <v>0</v>
      </c>
      <c r="F48" s="35">
        <f>'Project Data'!L24*'Project Data'!L6</f>
        <v>0</v>
      </c>
      <c r="G48" s="35">
        <f>'Project Data'!M24*'Project Data'!M6</f>
        <v>0</v>
      </c>
      <c r="H48" s="35">
        <f>'Project Data'!N24*'Project Data'!N6</f>
        <v>0</v>
      </c>
      <c r="I48" s="35">
        <f>'Project Data'!O24*'Project Data'!O6</f>
        <v>0</v>
      </c>
      <c r="J48" s="35">
        <f>'Project Data'!P24*'Project Data'!P6</f>
        <v>0</v>
      </c>
      <c r="K48" s="35">
        <f>'Project Data'!Q24*'Project Data'!Q6</f>
        <v>4552958.7686412763</v>
      </c>
      <c r="L48" s="35">
        <f>'Project Data'!R24*'Project Data'!R6</f>
        <v>0</v>
      </c>
      <c r="M48" s="35">
        <f>'Project Data'!S24*'Project Data'!S6</f>
        <v>0</v>
      </c>
      <c r="N48" s="35">
        <f>'Project Data'!T24*'Project Data'!T6</f>
        <v>0</v>
      </c>
      <c r="O48" s="35">
        <f>'Project Data'!U24*'Project Data'!U6</f>
        <v>3016400.1235033004</v>
      </c>
      <c r="P48" s="35">
        <f>'Project Data'!V24*'Project Data'!V6</f>
        <v>0</v>
      </c>
      <c r="Q48" s="35">
        <f>'Project Data'!W24*'Project Data'!W6</f>
        <v>0</v>
      </c>
      <c r="R48" s="35">
        <f>'Project Data'!X24*'Project Data'!X6</f>
        <v>0</v>
      </c>
      <c r="S48" s="35">
        <f>'Project Data'!Y24*'Project Data'!Y6</f>
        <v>0</v>
      </c>
      <c r="T48" s="35">
        <f>'Project Data'!Z24*'Project Data'!Z6</f>
        <v>2150651.5998506844</v>
      </c>
      <c r="U48" s="35">
        <f>'Project Data'!AA24*'Project Data'!AA6</f>
        <v>0</v>
      </c>
      <c r="V48" s="35">
        <f>'Project Data'!AB24*'Project Data'!AB6</f>
        <v>0</v>
      </c>
      <c r="W48" s="35">
        <f>'Project Data'!AC24*'Project Data'!AC6</f>
        <v>0</v>
      </c>
      <c r="X48" s="35">
        <f>'Project Data'!AD24*'Project Data'!AD6</f>
        <v>0</v>
      </c>
      <c r="Y48" s="35">
        <f>'Project Data'!AE24*'Project Data'!AE6</f>
        <v>1301053.8270358609</v>
      </c>
      <c r="Z48" s="35">
        <f>'Project Data'!AF24*'Project Data'!AF6</f>
        <v>0</v>
      </c>
      <c r="AA48" s="35">
        <f>'Project Data'!AG24*'Project Data'!AG6</f>
        <v>0</v>
      </c>
      <c r="AB48" s="35">
        <f>'Project Data'!AH24*'Project Data'!AH6</f>
        <v>0</v>
      </c>
      <c r="AC48" s="35">
        <f>'Project Data'!AI24*'Project Data'!AI6</f>
        <v>0</v>
      </c>
      <c r="AD48" s="35">
        <f>'Project Data'!AJ24*'Project Data'!AJ6</f>
        <v>927633.39744090394</v>
      </c>
      <c r="AE48" s="35">
        <f>'Project Data'!AK24*'Project Data'!AK6</f>
        <v>0</v>
      </c>
    </row>
    <row r="49" spans="1:31" s="25" customFormat="1" x14ac:dyDescent="0.3">
      <c r="A49" s="24"/>
      <c r="B49" s="37" t="s">
        <v>46</v>
      </c>
      <c r="C49" s="36">
        <f t="shared" si="19"/>
        <v>1.5101420375333863</v>
      </c>
      <c r="D49" s="35">
        <f>('Project Data'!J19)*'Project Data'!J6</f>
        <v>0</v>
      </c>
      <c r="E49" s="35">
        <f>('Project Data'!K19)*'Project Data'!K6</f>
        <v>0</v>
      </c>
      <c r="F49" s="35">
        <f>('Project Data'!L19)*'Project Data'!L6</f>
        <v>0</v>
      </c>
      <c r="G49" s="35">
        <f>('Project Data'!M19)*'Project Data'!M6</f>
        <v>0</v>
      </c>
      <c r="H49" s="35">
        <f>('Project Data'!N19)*'Project Data'!N6</f>
        <v>0</v>
      </c>
      <c r="I49" s="35">
        <f>('Project Data'!O19)*'Project Data'!O6</f>
        <v>0</v>
      </c>
      <c r="J49" s="35">
        <f>('Project Data'!P19)*'Project Data'!P6</f>
        <v>0</v>
      </c>
      <c r="K49" s="35">
        <f>('Project Data'!Q19)*'Project Data'!Q6</f>
        <v>599073.52218964149</v>
      </c>
      <c r="L49" s="35">
        <f>('Project Data'!R19)*'Project Data'!R6</f>
        <v>0</v>
      </c>
      <c r="M49" s="35">
        <f>('Project Data'!S19)*'Project Data'!S6</f>
        <v>0</v>
      </c>
      <c r="N49" s="35">
        <f>('Project Data'!T19)*'Project Data'!T6</f>
        <v>0</v>
      </c>
      <c r="O49" s="35">
        <f>('Project Data'!U19)*'Project Data'!U6</f>
        <v>0</v>
      </c>
      <c r="P49" s="35">
        <f>('Project Data'!V19)*'Project Data'!V6</f>
        <v>0</v>
      </c>
      <c r="Q49" s="35">
        <f>('Project Data'!W19)*'Project Data'!W6</f>
        <v>0</v>
      </c>
      <c r="R49" s="35">
        <f>('Project Data'!X19)*'Project Data'!X6</f>
        <v>0</v>
      </c>
      <c r="S49" s="35">
        <f>('Project Data'!Y19)*'Project Data'!Y6</f>
        <v>0</v>
      </c>
      <c r="T49" s="35">
        <f>('Project Data'!Z19)*'Project Data'!Z6</f>
        <v>0</v>
      </c>
      <c r="U49" s="35">
        <f>('Project Data'!AA19)*'Project Data'!AA6</f>
        <v>0</v>
      </c>
      <c r="V49" s="35">
        <f>('Project Data'!AB19)*'Project Data'!AB6</f>
        <v>0</v>
      </c>
      <c r="W49" s="35">
        <f>('Project Data'!AC19)*'Project Data'!AC6</f>
        <v>0</v>
      </c>
      <c r="X49" s="35">
        <f>('Project Data'!AD19)*'Project Data'!AD6</f>
        <v>0</v>
      </c>
      <c r="Y49" s="35">
        <f>('Project Data'!AE19)*'Project Data'!AE6</f>
        <v>0</v>
      </c>
      <c r="Z49" s="35">
        <f>('Project Data'!AF19)*'Project Data'!AF6</f>
        <v>0</v>
      </c>
      <c r="AA49" s="35">
        <f>('Project Data'!AG19)*'Project Data'!AG6</f>
        <v>0</v>
      </c>
      <c r="AB49" s="35">
        <f>('Project Data'!AH19)*'Project Data'!AH6</f>
        <v>0</v>
      </c>
      <c r="AC49" s="35">
        <f>('Project Data'!AI19)*'Project Data'!AI6</f>
        <v>0</v>
      </c>
      <c r="AD49" s="35">
        <f>('Project Data'!AJ19)*'Project Data'!AJ6</f>
        <v>911068.51534374489</v>
      </c>
      <c r="AE49" s="35">
        <f>('Project Data'!AK19)*'Project Data'!AK6</f>
        <v>0</v>
      </c>
    </row>
    <row r="50" spans="1:31" s="25" customFormat="1" x14ac:dyDescent="0.3">
      <c r="A50" s="24"/>
      <c r="B50" s="37" t="str">
        <f>B36</f>
        <v>Capital Costs</v>
      </c>
      <c r="C50" s="36">
        <f t="shared" si="19"/>
        <v>-77.178416111609181</v>
      </c>
      <c r="D50" s="35">
        <f>-'Project Data'!J28</f>
        <v>-6329734.9484821605</v>
      </c>
      <c r="E50" s="35">
        <f>-(('Project Data'!K14)*'Project Data'!K6)</f>
        <v>0</v>
      </c>
      <c r="F50" s="35">
        <f>-(('Project Data'!L14)*'Project Data'!L6)</f>
        <v>0</v>
      </c>
      <c r="G50" s="35">
        <f>-(('Project Data'!M14)*'Project Data'!M6)</f>
        <v>0</v>
      </c>
      <c r="H50" s="35">
        <f>-(('Project Data'!N14)*'Project Data'!N6)</f>
        <v>-15113277.222813772</v>
      </c>
      <c r="I50" s="35">
        <f>-(('Project Data'!O14)*'Project Data'!O6)</f>
        <v>-18996358.646429006</v>
      </c>
      <c r="J50" s="35">
        <f>-(('Project Data'!P14)*'Project Data'!P6)</f>
        <v>-22973019.296855092</v>
      </c>
      <c r="K50" s="35">
        <f>-(('Project Data'!Q14)*'Project Data'!Q6)</f>
        <v>-13766025.997029144</v>
      </c>
      <c r="L50" s="35">
        <f>-(('Project Data'!R14)*'Project Data'!R6)</f>
        <v>0</v>
      </c>
      <c r="M50" s="35">
        <f>-(('Project Data'!S14)*'Project Data'!S6)</f>
        <v>0</v>
      </c>
      <c r="N50" s="35">
        <f>-(('Project Data'!T14)*'Project Data'!T6)</f>
        <v>0</v>
      </c>
      <c r="O50" s="35">
        <f>-(('Project Data'!U14)*'Project Data'!U6)</f>
        <v>0</v>
      </c>
      <c r="P50" s="35">
        <f>-(('Project Data'!V14)*'Project Data'!V6)</f>
        <v>0</v>
      </c>
      <c r="Q50" s="35">
        <f>-(('Project Data'!W14)*'Project Data'!W6)</f>
        <v>0</v>
      </c>
      <c r="R50" s="35">
        <f>-(('Project Data'!X14)*'Project Data'!X6)</f>
        <v>0</v>
      </c>
      <c r="S50" s="35">
        <f>-(('Project Data'!Y14)*'Project Data'!Y6)</f>
        <v>0</v>
      </c>
      <c r="T50" s="35">
        <f>-(('Project Data'!Z14)*'Project Data'!Z6)</f>
        <v>0</v>
      </c>
      <c r="U50" s="35">
        <f>-(('Project Data'!AA14)*'Project Data'!AA6)</f>
        <v>0</v>
      </c>
      <c r="V50" s="35">
        <f>-(('Project Data'!AB14)*'Project Data'!AB6)</f>
        <v>0</v>
      </c>
      <c r="W50" s="35">
        <f>-(('Project Data'!AC14)*'Project Data'!AC6)</f>
        <v>0</v>
      </c>
      <c r="X50" s="35">
        <f>-(('Project Data'!AD14)*'Project Data'!AD6)</f>
        <v>0</v>
      </c>
      <c r="Y50" s="35">
        <f>-(('Project Data'!AE14)*'Project Data'!AE6)</f>
        <v>0</v>
      </c>
      <c r="Z50" s="35">
        <f>-(('Project Data'!AF14)*'Project Data'!AF6)</f>
        <v>0</v>
      </c>
      <c r="AA50" s="35">
        <f>-(('Project Data'!AG14)*'Project Data'!AG6)</f>
        <v>0</v>
      </c>
      <c r="AB50" s="35">
        <f>-(('Project Data'!AH14)*'Project Data'!AH6)</f>
        <v>0</v>
      </c>
      <c r="AC50" s="35">
        <f>-(('Project Data'!AI14)*'Project Data'!AI6)</f>
        <v>0</v>
      </c>
      <c r="AD50" s="35">
        <f>-(('Project Data'!AJ14)*'Project Data'!AJ6)</f>
        <v>0</v>
      </c>
      <c r="AE50" s="35">
        <f>-(('Project Data'!AK14)*'Project Data'!AK6)</f>
        <v>0</v>
      </c>
    </row>
    <row r="51" spans="1:31" s="25" customFormat="1" x14ac:dyDescent="0.3">
      <c r="A51" s="24"/>
      <c r="B51" s="34" t="s">
        <v>8</v>
      </c>
      <c r="C51" s="33">
        <f t="shared" si="19"/>
        <v>108.39363804724138</v>
      </c>
      <c r="D51" s="32">
        <f>SUM(D44:D48)</f>
        <v>0</v>
      </c>
      <c r="E51" s="32">
        <f t="shared" ref="E51:AE51" si="20">SUM(E44:E48)</f>
        <v>0</v>
      </c>
      <c r="F51" s="32">
        <f t="shared" si="20"/>
        <v>0</v>
      </c>
      <c r="G51" s="32">
        <f t="shared" si="20"/>
        <v>0</v>
      </c>
      <c r="H51" s="32">
        <f t="shared" si="20"/>
        <v>0</v>
      </c>
      <c r="I51" s="32">
        <f t="shared" si="20"/>
        <v>0</v>
      </c>
      <c r="J51" s="32">
        <f t="shared" si="20"/>
        <v>0</v>
      </c>
      <c r="K51" s="32">
        <f>SUM(K44:K48)</f>
        <v>4552958.7686412763</v>
      </c>
      <c r="L51" s="32">
        <f t="shared" si="20"/>
        <v>5838732.0906833503</v>
      </c>
      <c r="M51" s="32">
        <f t="shared" si="20"/>
        <v>5637218.1289441986</v>
      </c>
      <c r="N51" s="32">
        <f t="shared" si="20"/>
        <v>5442748.7613485474</v>
      </c>
      <c r="O51" s="32">
        <f t="shared" si="20"/>
        <v>8271470.8911031075</v>
      </c>
      <c r="P51" s="32">
        <f t="shared" si="20"/>
        <v>5073937.7856301228</v>
      </c>
      <c r="Q51" s="32">
        <f t="shared" si="20"/>
        <v>4899110.1386082275</v>
      </c>
      <c r="R51" s="32">
        <f t="shared" si="20"/>
        <v>4730354.6614706079</v>
      </c>
      <c r="S51" s="32">
        <f t="shared" si="20"/>
        <v>4567444.5272937091</v>
      </c>
      <c r="T51" s="32">
        <f t="shared" si="20"/>
        <v>6560810.6736461502</v>
      </c>
      <c r="U51" s="32">
        <f t="shared" si="20"/>
        <v>4258283.6302270629</v>
      </c>
      <c r="V51" s="32">
        <f t="shared" si="20"/>
        <v>4111609.3448902671</v>
      </c>
      <c r="W51" s="32">
        <f t="shared" si="20"/>
        <v>3969933.0134916273</v>
      </c>
      <c r="X51" s="32">
        <f t="shared" si="20"/>
        <v>3833056.9085225235</v>
      </c>
      <c r="Y51" s="32">
        <f t="shared" si="20"/>
        <v>5001842.4368691798</v>
      </c>
      <c r="Z51" s="32">
        <f t="shared" si="20"/>
        <v>3572940.8365503065</v>
      </c>
      <c r="AA51" s="32">
        <f t="shared" si="20"/>
        <v>3449331.2804660061</v>
      </c>
      <c r="AB51" s="32">
        <f t="shared" si="20"/>
        <v>3329782.4410167094</v>
      </c>
      <c r="AC51" s="32">
        <f t="shared" si="20"/>
        <v>3214121.461945219</v>
      </c>
      <c r="AD51" s="32">
        <f t="shared" si="20"/>
        <v>4029813.3671731604</v>
      </c>
      <c r="AE51" s="32">
        <f t="shared" si="20"/>
        <v>14048136.898720011</v>
      </c>
    </row>
    <row r="52" spans="1:31" s="25" customFormat="1" x14ac:dyDescent="0.3">
      <c r="A52" s="24"/>
      <c r="B52" s="34" t="s">
        <v>9</v>
      </c>
      <c r="C52" s="33">
        <f t="shared" si="19"/>
        <v>-75.668274074075796</v>
      </c>
      <c r="D52" s="32">
        <f>SUM(D49:D50)</f>
        <v>-6329734.9484821605</v>
      </c>
      <c r="E52" s="32">
        <f>SUM(E49:E50)</f>
        <v>0</v>
      </c>
      <c r="F52" s="32">
        <f t="shared" ref="F52:AA52" si="21">SUM(F49:F50)</f>
        <v>0</v>
      </c>
      <c r="G52" s="32">
        <f>SUM(G49:G50)</f>
        <v>0</v>
      </c>
      <c r="H52" s="32">
        <f>SUM(H49:H50)</f>
        <v>-15113277.222813772</v>
      </c>
      <c r="I52" s="32">
        <f t="shared" si="21"/>
        <v>-18996358.646429006</v>
      </c>
      <c r="J52" s="32">
        <f t="shared" si="21"/>
        <v>-22973019.296855092</v>
      </c>
      <c r="K52" s="32">
        <f t="shared" si="21"/>
        <v>-13166952.474839503</v>
      </c>
      <c r="L52" s="32">
        <f t="shared" si="21"/>
        <v>0</v>
      </c>
      <c r="M52" s="32">
        <f t="shared" si="21"/>
        <v>0</v>
      </c>
      <c r="N52" s="32">
        <f t="shared" si="21"/>
        <v>0</v>
      </c>
      <c r="O52" s="32">
        <f t="shared" si="21"/>
        <v>0</v>
      </c>
      <c r="P52" s="32">
        <f t="shared" si="21"/>
        <v>0</v>
      </c>
      <c r="Q52" s="32">
        <f t="shared" si="21"/>
        <v>0</v>
      </c>
      <c r="R52" s="32">
        <f t="shared" si="21"/>
        <v>0</v>
      </c>
      <c r="S52" s="32">
        <f t="shared" si="21"/>
        <v>0</v>
      </c>
      <c r="T52" s="32">
        <f t="shared" si="21"/>
        <v>0</v>
      </c>
      <c r="U52" s="32">
        <f t="shared" si="21"/>
        <v>0</v>
      </c>
      <c r="V52" s="32">
        <f t="shared" si="21"/>
        <v>0</v>
      </c>
      <c r="W52" s="32">
        <f t="shared" si="21"/>
        <v>0</v>
      </c>
      <c r="X52" s="32">
        <f t="shared" si="21"/>
        <v>0</v>
      </c>
      <c r="Y52" s="32">
        <f t="shared" si="21"/>
        <v>0</v>
      </c>
      <c r="Z52" s="32">
        <f t="shared" si="21"/>
        <v>0</v>
      </c>
      <c r="AA52" s="32">
        <f t="shared" si="21"/>
        <v>0</v>
      </c>
      <c r="AB52" s="32">
        <f t="shared" ref="AB52:AE52" si="22">SUM(AB49:AB50)</f>
        <v>0</v>
      </c>
      <c r="AC52" s="32">
        <f t="shared" si="22"/>
        <v>0</v>
      </c>
      <c r="AD52" s="32">
        <f t="shared" si="22"/>
        <v>911068.51534374489</v>
      </c>
      <c r="AE52" s="32">
        <f t="shared" si="22"/>
        <v>0</v>
      </c>
    </row>
    <row r="53" spans="1:31" s="25" customFormat="1" x14ac:dyDescent="0.3">
      <c r="A53" s="24"/>
      <c r="B53" s="31" t="s">
        <v>45</v>
      </c>
      <c r="C53" s="30">
        <f t="shared" si="19"/>
        <v>32.725363973165557</v>
      </c>
      <c r="D53" s="29">
        <f>SUM(D44:D50)</f>
        <v>-6329734.9484821605</v>
      </c>
      <c r="E53" s="29">
        <f>SUM(E44:E50)</f>
        <v>0</v>
      </c>
      <c r="F53" s="29">
        <f t="shared" ref="F53:AA53" si="23">SUM(F44:F50)</f>
        <v>0</v>
      </c>
      <c r="G53" s="29">
        <f t="shared" si="23"/>
        <v>0</v>
      </c>
      <c r="H53" s="29">
        <f t="shared" si="23"/>
        <v>-15113277.222813772</v>
      </c>
      <c r="I53" s="29">
        <f t="shared" si="23"/>
        <v>-18996358.646429006</v>
      </c>
      <c r="J53" s="29">
        <f t="shared" si="23"/>
        <v>-22973019.296855092</v>
      </c>
      <c r="K53" s="29">
        <f t="shared" si="23"/>
        <v>-8613993.7061982267</v>
      </c>
      <c r="L53" s="29">
        <f t="shared" si="23"/>
        <v>5838732.0906833503</v>
      </c>
      <c r="M53" s="29">
        <f t="shared" si="23"/>
        <v>5637218.1289441986</v>
      </c>
      <c r="N53" s="29">
        <f t="shared" si="23"/>
        <v>5442748.7613485474</v>
      </c>
      <c r="O53" s="29">
        <f t="shared" si="23"/>
        <v>8271470.8911031075</v>
      </c>
      <c r="P53" s="29">
        <f t="shared" si="23"/>
        <v>5073937.7856301228</v>
      </c>
      <c r="Q53" s="29">
        <f t="shared" si="23"/>
        <v>4899110.1386082275</v>
      </c>
      <c r="R53" s="29">
        <f t="shared" si="23"/>
        <v>4730354.6614706079</v>
      </c>
      <c r="S53" s="29">
        <f t="shared" si="23"/>
        <v>4567444.5272937091</v>
      </c>
      <c r="T53" s="29">
        <f t="shared" si="23"/>
        <v>6560810.6736461502</v>
      </c>
      <c r="U53" s="29">
        <f t="shared" si="23"/>
        <v>4258283.6302270629</v>
      </c>
      <c r="V53" s="29">
        <f t="shared" si="23"/>
        <v>4111609.3448902671</v>
      </c>
      <c r="W53" s="29">
        <f t="shared" si="23"/>
        <v>3969933.0134916273</v>
      </c>
      <c r="X53" s="29">
        <f t="shared" si="23"/>
        <v>3833056.9085225235</v>
      </c>
      <c r="Y53" s="29">
        <f t="shared" si="23"/>
        <v>5001842.4368691798</v>
      </c>
      <c r="Z53" s="29">
        <f t="shared" si="23"/>
        <v>3572940.8365503065</v>
      </c>
      <c r="AA53" s="29">
        <f t="shared" si="23"/>
        <v>3449331.2804660061</v>
      </c>
      <c r="AB53" s="29">
        <f t="shared" ref="AB53:AE53" si="24">SUM(AB44:AB50)</f>
        <v>3329782.4410167094</v>
      </c>
      <c r="AC53" s="29">
        <f t="shared" si="24"/>
        <v>3214121.461945219</v>
      </c>
      <c r="AD53" s="29">
        <f t="shared" si="24"/>
        <v>4940881.8825169057</v>
      </c>
      <c r="AE53" s="29">
        <f t="shared" si="24"/>
        <v>14048136.898720011</v>
      </c>
    </row>
    <row r="54" spans="1:31" s="25" customFormat="1" x14ac:dyDescent="0.3">
      <c r="A54" s="24"/>
      <c r="B54" s="28" t="s">
        <v>44</v>
      </c>
      <c r="C54" s="27"/>
      <c r="D54" s="26">
        <f>D53</f>
        <v>-6329734.9484821605</v>
      </c>
      <c r="E54" s="26">
        <f>E53</f>
        <v>0</v>
      </c>
      <c r="F54" s="26">
        <f>E54+F53</f>
        <v>0</v>
      </c>
      <c r="G54" s="26">
        <f t="shared" ref="G54:L54" si="25">F54+G53</f>
        <v>0</v>
      </c>
      <c r="H54" s="26">
        <f t="shared" si="25"/>
        <v>-15113277.222813772</v>
      </c>
      <c r="I54" s="26">
        <f t="shared" si="25"/>
        <v>-34109635.86924278</v>
      </c>
      <c r="J54" s="26">
        <f t="shared" si="25"/>
        <v>-57082655.166097872</v>
      </c>
      <c r="K54" s="26">
        <f t="shared" si="25"/>
        <v>-65696648.872296095</v>
      </c>
      <c r="L54" s="26">
        <f t="shared" si="25"/>
        <v>-59857916.781612746</v>
      </c>
      <c r="M54" s="26">
        <f t="shared" ref="M54" si="26">L54+M53</f>
        <v>-54220698.652668551</v>
      </c>
      <c r="N54" s="26">
        <f t="shared" ref="N54" si="27">M54+N53</f>
        <v>-48777949.891320005</v>
      </c>
      <c r="O54" s="26">
        <f t="shared" ref="O54" si="28">N54+O53</f>
        <v>-40506479.000216901</v>
      </c>
      <c r="P54" s="26">
        <f t="shared" ref="P54" si="29">O54+P53</f>
        <v>-35432541.214586779</v>
      </c>
      <c r="Q54" s="26">
        <f t="shared" ref="Q54:R54" si="30">P54+Q53</f>
        <v>-30533431.075978551</v>
      </c>
      <c r="R54" s="26">
        <f t="shared" si="30"/>
        <v>-25803076.414507944</v>
      </c>
      <c r="S54" s="26">
        <f t="shared" ref="S54" si="31">R54+S53</f>
        <v>-21235631.887214236</v>
      </c>
      <c r="T54" s="26">
        <f t="shared" ref="T54" si="32">S54+T53</f>
        <v>-14674821.213568086</v>
      </c>
      <c r="U54" s="26">
        <f t="shared" ref="U54" si="33">T54+U53</f>
        <v>-10416537.583341023</v>
      </c>
      <c r="V54" s="26">
        <f t="shared" ref="V54" si="34">U54+V53</f>
        <v>-6304928.2384507563</v>
      </c>
      <c r="W54" s="26">
        <f t="shared" ref="W54:X54" si="35">V54+W53</f>
        <v>-2334995.224959129</v>
      </c>
      <c r="X54" s="26">
        <f t="shared" si="35"/>
        <v>1498061.6835633945</v>
      </c>
      <c r="Y54" s="26">
        <f t="shared" ref="Y54" si="36">X54+Y53</f>
        <v>6499904.1204325743</v>
      </c>
      <c r="Z54" s="26">
        <f t="shared" ref="Z54" si="37">Y54+Z53</f>
        <v>10072844.956982881</v>
      </c>
      <c r="AA54" s="26">
        <f t="shared" ref="AA54" si="38">Z54+AA53</f>
        <v>13522176.237448886</v>
      </c>
      <c r="AB54" s="26">
        <f t="shared" ref="AB54" si="39">AA54+AB53</f>
        <v>16851958.678465597</v>
      </c>
      <c r="AC54" s="26">
        <f t="shared" ref="AC54" si="40">AB54+AC53</f>
        <v>20066080.140410818</v>
      </c>
      <c r="AD54" s="26">
        <f t="shared" ref="AD54" si="41">AC54+AD53</f>
        <v>25006962.022927724</v>
      </c>
      <c r="AE54" s="26">
        <f t="shared" ref="AE54" si="42">AD54+AE53</f>
        <v>39055098.921647735</v>
      </c>
    </row>
    <row r="55" spans="1:31" x14ac:dyDescent="0.3">
      <c r="D55" s="23"/>
      <c r="F55" s="144"/>
    </row>
    <row r="56" spans="1:31" x14ac:dyDescent="0.3">
      <c r="B56" s="41" t="s">
        <v>238</v>
      </c>
      <c r="D56" s="23"/>
    </row>
    <row r="57" spans="1:31" x14ac:dyDescent="0.3">
      <c r="B57" s="40" t="s">
        <v>47</v>
      </c>
      <c r="C57" s="39" t="s">
        <v>13</v>
      </c>
      <c r="D57" s="289">
        <f>Base.Year</f>
        <v>2019</v>
      </c>
      <c r="E57" s="289">
        <f>D57+1</f>
        <v>2020</v>
      </c>
      <c r="F57" s="289">
        <f t="shared" ref="F57:AE57" si="43">E57+1</f>
        <v>2021</v>
      </c>
      <c r="G57" s="289">
        <f t="shared" si="43"/>
        <v>2022</v>
      </c>
      <c r="H57" s="289">
        <f t="shared" si="43"/>
        <v>2023</v>
      </c>
      <c r="I57" s="289">
        <f t="shared" si="43"/>
        <v>2024</v>
      </c>
      <c r="J57" s="289">
        <f t="shared" si="43"/>
        <v>2025</v>
      </c>
      <c r="K57" s="289">
        <f t="shared" si="43"/>
        <v>2026</v>
      </c>
      <c r="L57" s="289">
        <f t="shared" si="43"/>
        <v>2027</v>
      </c>
      <c r="M57" s="289">
        <f t="shared" si="43"/>
        <v>2028</v>
      </c>
      <c r="N57" s="289">
        <f t="shared" si="43"/>
        <v>2029</v>
      </c>
      <c r="O57" s="289">
        <f t="shared" si="43"/>
        <v>2030</v>
      </c>
      <c r="P57" s="289">
        <f t="shared" si="43"/>
        <v>2031</v>
      </c>
      <c r="Q57" s="289">
        <f t="shared" si="43"/>
        <v>2032</v>
      </c>
      <c r="R57" s="289">
        <f t="shared" si="43"/>
        <v>2033</v>
      </c>
      <c r="S57" s="289">
        <f t="shared" si="43"/>
        <v>2034</v>
      </c>
      <c r="T57" s="289">
        <f t="shared" si="43"/>
        <v>2035</v>
      </c>
      <c r="U57" s="289">
        <f t="shared" si="43"/>
        <v>2036</v>
      </c>
      <c r="V57" s="289">
        <f t="shared" si="43"/>
        <v>2037</v>
      </c>
      <c r="W57" s="289">
        <f t="shared" si="43"/>
        <v>2038</v>
      </c>
      <c r="X57" s="289">
        <f t="shared" si="43"/>
        <v>2039</v>
      </c>
      <c r="Y57" s="289">
        <f t="shared" si="43"/>
        <v>2040</v>
      </c>
      <c r="Z57" s="289">
        <f t="shared" si="43"/>
        <v>2041</v>
      </c>
      <c r="AA57" s="289">
        <f t="shared" si="43"/>
        <v>2042</v>
      </c>
      <c r="AB57" s="289">
        <f t="shared" si="43"/>
        <v>2043</v>
      </c>
      <c r="AC57" s="289">
        <f t="shared" si="43"/>
        <v>2044</v>
      </c>
      <c r="AD57" s="289">
        <f t="shared" si="43"/>
        <v>2045</v>
      </c>
      <c r="AE57" s="289">
        <f t="shared" si="43"/>
        <v>2046</v>
      </c>
    </row>
    <row r="58" spans="1:31" s="25" customFormat="1" x14ac:dyDescent="0.3">
      <c r="A58" s="24"/>
      <c r="B58" s="38" t="s">
        <v>12</v>
      </c>
      <c r="C58" s="36">
        <f t="shared" ref="C58:C67" si="44">SUM(D58:AE58)/10^6</f>
        <v>92.261462468119234</v>
      </c>
      <c r="D58" s="35">
        <f>'Accident Cost Saving'!D107</f>
        <v>0</v>
      </c>
      <c r="E58" s="35">
        <f>'Accident Cost Saving'!E107</f>
        <v>0</v>
      </c>
      <c r="F58" s="35">
        <f>'Accident Cost Saving'!F107</f>
        <v>0</v>
      </c>
      <c r="G58" s="35">
        <f>'Accident Cost Saving'!G107</f>
        <v>0</v>
      </c>
      <c r="H58" s="35">
        <f>'Accident Cost Saving'!H107</f>
        <v>0</v>
      </c>
      <c r="I58" s="35">
        <f>'Accident Cost Saving'!I107</f>
        <v>0</v>
      </c>
      <c r="J58" s="35">
        <f>'Accident Cost Saving'!J107</f>
        <v>0</v>
      </c>
      <c r="K58" s="35">
        <f>'Accident Cost Saving'!K107</f>
        <v>0</v>
      </c>
      <c r="L58" s="35">
        <f>'Accident Cost Saving'!L107</f>
        <v>5353125.0904874308</v>
      </c>
      <c r="M58" s="35">
        <f>'Accident Cost Saving'!M107</f>
        <v>5267546.4847165626</v>
      </c>
      <c r="N58" s="35">
        <f>'Accident Cost Saving'!N107</f>
        <v>5183335.9952594144</v>
      </c>
      <c r="O58" s="35">
        <f>'Accident Cost Saving'!O107</f>
        <v>5100471.7505018031</v>
      </c>
      <c r="P58" s="35">
        <f>'Accident Cost Saving'!P107</f>
        <v>5018932.2284836555</v>
      </c>
      <c r="Q58" s="35">
        <f>'Accident Cost Saving'!Q107</f>
        <v>4938696.2513092486</v>
      </c>
      <c r="R58" s="35">
        <f>'Accident Cost Saving'!R107</f>
        <v>4859742.9796466939</v>
      </c>
      <c r="S58" s="35">
        <f>'Accident Cost Saving'!S107</f>
        <v>4782051.9073155057</v>
      </c>
      <c r="T58" s="35">
        <f>'Accident Cost Saving'!T107</f>
        <v>4705602.855960587</v>
      </c>
      <c r="U58" s="35">
        <f>'Accident Cost Saving'!U107</f>
        <v>4630375.9698113874</v>
      </c>
      <c r="V58" s="35">
        <f>'Accident Cost Saving'!V107</f>
        <v>4556351.7105248673</v>
      </c>
      <c r="W58" s="35">
        <f>'Accident Cost Saving'!W107</f>
        <v>4483510.8521109056</v>
      </c>
      <c r="X58" s="35">
        <f>'Accident Cost Saving'!X107</f>
        <v>4411834.475938784</v>
      </c>
      <c r="Y58" s="35">
        <f>'Accident Cost Saving'!Y107</f>
        <v>4341303.9658235488</v>
      </c>
      <c r="Z58" s="35">
        <f>'Accident Cost Saving'!Z107</f>
        <v>4271901.0031909524</v>
      </c>
      <c r="AA58" s="35">
        <f>'Accident Cost Saving'!AA107</f>
        <v>4203607.5623195758</v>
      </c>
      <c r="AB58" s="35">
        <f>'Accident Cost Saving'!AB107</f>
        <v>4136405.9056591601</v>
      </c>
      <c r="AC58" s="35">
        <f>'Accident Cost Saving'!AC107</f>
        <v>4070278.5792236621</v>
      </c>
      <c r="AD58" s="35">
        <f>'Accident Cost Saving'!AD107</f>
        <v>4005208.4080580389</v>
      </c>
      <c r="AE58" s="35">
        <f>'Accident Cost Saving'!AE107</f>
        <v>3941178.4917774624</v>
      </c>
    </row>
    <row r="59" spans="1:31" s="25" customFormat="1" x14ac:dyDescent="0.3">
      <c r="A59" s="24"/>
      <c r="B59" s="38" t="s">
        <v>257</v>
      </c>
      <c r="C59" s="36">
        <f t="shared" si="44"/>
        <v>54.59397660058189</v>
      </c>
      <c r="D59" s="35">
        <f>'Travel Time Savings'!D71</f>
        <v>0</v>
      </c>
      <c r="E59" s="35">
        <f>'Travel Time Savings'!E71</f>
        <v>0</v>
      </c>
      <c r="F59" s="35">
        <f>'Travel Time Savings'!F71</f>
        <v>0</v>
      </c>
      <c r="G59" s="35">
        <f>'Travel Time Savings'!G71</f>
        <v>0</v>
      </c>
      <c r="H59" s="35">
        <f>'Travel Time Savings'!H71</f>
        <v>0</v>
      </c>
      <c r="I59" s="35">
        <f>'Travel Time Savings'!I71</f>
        <v>0</v>
      </c>
      <c r="J59" s="35">
        <f>'Travel Time Savings'!J71</f>
        <v>0</v>
      </c>
      <c r="K59" s="35">
        <f>'Travel Time Savings'!K71</f>
        <v>0</v>
      </c>
      <c r="L59" s="35">
        <f>'Travel Time Savings'!L71</f>
        <v>2006678.1044714742</v>
      </c>
      <c r="M59" s="35">
        <f>'Travel Time Savings'!M71</f>
        <v>2092944.9950471481</v>
      </c>
      <c r="N59" s="35">
        <f>'Travel Time Savings'!N71</f>
        <v>2177401.8942120313</v>
      </c>
      <c r="O59" s="35">
        <f>'Travel Time Savings'!O71</f>
        <v>2260077.5893955426</v>
      </c>
      <c r="P59" s="35">
        <f>'Travel Time Savings'!P71</f>
        <v>2341000.4415338687</v>
      </c>
      <c r="Q59" s="35">
        <f>'Travel Time Savings'!Q71</f>
        <v>2420198.3912489503</v>
      </c>
      <c r="R59" s="35">
        <f>'Travel Time Savings'!R71</f>
        <v>2497698.964938635</v>
      </c>
      <c r="S59" s="35">
        <f>'Travel Time Savings'!S71</f>
        <v>2573529.2807791624</v>
      </c>
      <c r="T59" s="35">
        <f>'Travel Time Savings'!T71</f>
        <v>2647716.0546413474</v>
      </c>
      <c r="U59" s="35">
        <f>'Travel Time Savings'!U71</f>
        <v>2720285.6059216275</v>
      </c>
      <c r="V59" s="35">
        <f>'Travel Time Savings'!V71</f>
        <v>2791263.8632892203</v>
      </c>
      <c r="W59" s="35">
        <f>'Travel Time Savings'!W71</f>
        <v>2860676.3703506184</v>
      </c>
      <c r="X59" s="35">
        <f>'Travel Time Savings'!X71</f>
        <v>2928548.2912325514</v>
      </c>
      <c r="Y59" s="35">
        <f>'Travel Time Savings'!Y71</f>
        <v>2994904.4160846476</v>
      </c>
      <c r="Z59" s="35">
        <f>'Travel Time Savings'!Z71</f>
        <v>3059769.1665029302</v>
      </c>
      <c r="AA59" s="35">
        <f>'Travel Time Savings'!AA71</f>
        <v>3123166.6008752263</v>
      </c>
      <c r="AB59" s="35">
        <f>'Travel Time Savings'!AB71</f>
        <v>3185120.4196497146</v>
      </c>
      <c r="AC59" s="35">
        <f>'Travel Time Savings'!AC71</f>
        <v>3245653.970527635</v>
      </c>
      <c r="AD59" s="35">
        <f>'Travel Time Savings'!AD71</f>
        <v>3304790.2535812715</v>
      </c>
      <c r="AE59" s="35">
        <f>'Travel Time Savings'!AE71</f>
        <v>3362551.926298291</v>
      </c>
    </row>
    <row r="60" spans="1:31" s="25" customFormat="1" x14ac:dyDescent="0.3">
      <c r="A60" s="24"/>
      <c r="B60" s="38" t="s">
        <v>256</v>
      </c>
      <c r="C60" s="36">
        <f t="shared" si="44"/>
        <v>16.138640853205136</v>
      </c>
      <c r="D60" s="35">
        <f>'Travel Time Saving-Interchanges'!D39</f>
        <v>0</v>
      </c>
      <c r="E60" s="35">
        <f>'Travel Time Saving-Interchanges'!E39</f>
        <v>0</v>
      </c>
      <c r="F60" s="35">
        <f>'Travel Time Saving-Interchanges'!F39</f>
        <v>0</v>
      </c>
      <c r="G60" s="35">
        <f>'Travel Time Saving-Interchanges'!G39</f>
        <v>0</v>
      </c>
      <c r="H60" s="35">
        <f>'Travel Time Saving-Interchanges'!H39</f>
        <v>0</v>
      </c>
      <c r="I60" s="35">
        <f>'Travel Time Saving-Interchanges'!I39</f>
        <v>0</v>
      </c>
      <c r="J60" s="35">
        <f>'Travel Time Saving-Interchanges'!J39</f>
        <v>0</v>
      </c>
      <c r="K60" s="35">
        <f>'Travel Time Saving-Interchanges'!K39</f>
        <v>0</v>
      </c>
      <c r="L60" s="35">
        <f>'Travel Time Saving-Interchanges'!L39</f>
        <v>559572.96757582505</v>
      </c>
      <c r="M60" s="35">
        <f>'Travel Time Saving-Interchanges'!M39</f>
        <v>582494.87987600279</v>
      </c>
      <c r="N60" s="35">
        <f>'Travel Time Saving-Interchanges'!N39</f>
        <v>606060.32642510149</v>
      </c>
      <c r="O60" s="35">
        <f>'Travel Time Saving-Interchanges'!O39</f>
        <v>630257.84853487136</v>
      </c>
      <c r="P60" s="35">
        <f>'Travel Time Saving-Interchanges'!P39</f>
        <v>655071.88588985708</v>
      </c>
      <c r="Q60" s="35">
        <f>'Travel Time Saving-Interchanges'!Q39</f>
        <v>680482.29836837505</v>
      </c>
      <c r="R60" s="35">
        <f>'Travel Time Saving-Interchanges'!R39</f>
        <v>706463.84343924129</v>
      </c>
      <c r="S60" s="35">
        <f>'Travel Time Saving-Interchanges'!S39</f>
        <v>732985.60540473007</v>
      </c>
      <c r="T60" s="35">
        <f>'Travel Time Saving-Interchanges'!T39</f>
        <v>760010.37246469536</v>
      </c>
      <c r="U60" s="35">
        <f>'Travel Time Saving-Interchanges'!U39</f>
        <v>787493.95725860458</v>
      </c>
      <c r="V60" s="35">
        <f>'Travel Time Saving-Interchanges'!V39</f>
        <v>815384.45619989012</v>
      </c>
      <c r="W60" s="35">
        <f>'Travel Time Saving-Interchanges'!W39</f>
        <v>843621.44254851155</v>
      </c>
      <c r="X60" s="35">
        <f>'Travel Time Saving-Interchanges'!X39</f>
        <v>872135.08777122945</v>
      </c>
      <c r="Y60" s="35">
        <f>'Travel Time Saving-Interchanges'!Y39</f>
        <v>900845.20531259652</v>
      </c>
      <c r="Z60" s="35">
        <f>'Travel Time Saving-Interchanges'!Z39</f>
        <v>929660.2104408528</v>
      </c>
      <c r="AA60" s="35">
        <f>'Travel Time Saving-Interchanges'!AA39</f>
        <v>958475.98933951708</v>
      </c>
      <c r="AB60" s="35">
        <f>'Travel Time Saving-Interchanges'!AB39</f>
        <v>987174.67008469335</v>
      </c>
      <c r="AC60" s="35">
        <f>'Travel Time Saving-Interchanges'!AC39</f>
        <v>1015623.287577603</v>
      </c>
      <c r="AD60" s="35">
        <f>'Travel Time Saving-Interchanges'!AD39</f>
        <v>1043672.3338880239</v>
      </c>
      <c r="AE60" s="35">
        <f>'Travel Time Saving-Interchanges'!AE39</f>
        <v>1071154.1848049152</v>
      </c>
    </row>
    <row r="61" spans="1:31" s="25" customFormat="1" x14ac:dyDescent="0.3">
      <c r="A61" s="24"/>
      <c r="B61" s="38" t="s">
        <v>239</v>
      </c>
      <c r="C61" s="36">
        <f t="shared" si="44"/>
        <v>30.923587101307522</v>
      </c>
      <c r="D61" s="35">
        <f>'Residual Value'!D26</f>
        <v>0</v>
      </c>
      <c r="E61" s="35">
        <f>'Residual Value'!E26</f>
        <v>0</v>
      </c>
      <c r="F61" s="35">
        <f>'Residual Value'!F26</f>
        <v>0</v>
      </c>
      <c r="G61" s="35">
        <f>'Residual Value'!G26</f>
        <v>0</v>
      </c>
      <c r="H61" s="35">
        <f>'Residual Value'!H26</f>
        <v>0</v>
      </c>
      <c r="I61" s="35">
        <f>'Residual Value'!I26</f>
        <v>0</v>
      </c>
      <c r="J61" s="35">
        <f>'Residual Value'!J26</f>
        <v>0</v>
      </c>
      <c r="K61" s="35">
        <f>'Residual Value'!K26</f>
        <v>0</v>
      </c>
      <c r="L61" s="35">
        <f>'Residual Value'!L26</f>
        <v>0</v>
      </c>
      <c r="M61" s="35">
        <f>'Residual Value'!M26</f>
        <v>0</v>
      </c>
      <c r="N61" s="35">
        <f>'Residual Value'!N26</f>
        <v>0</v>
      </c>
      <c r="O61" s="35">
        <f>'Residual Value'!O26</f>
        <v>0</v>
      </c>
      <c r="P61" s="35">
        <f>'Residual Value'!P26</f>
        <v>0</v>
      </c>
      <c r="Q61" s="35">
        <f>'Residual Value'!Q26</f>
        <v>0</v>
      </c>
      <c r="R61" s="35">
        <f>'Residual Value'!R26</f>
        <v>0</v>
      </c>
      <c r="S61" s="35">
        <f>'Residual Value'!S26</f>
        <v>0</v>
      </c>
      <c r="T61" s="35">
        <f>'Residual Value'!T26</f>
        <v>0</v>
      </c>
      <c r="U61" s="35">
        <f>'Residual Value'!U26</f>
        <v>0</v>
      </c>
      <c r="V61" s="35">
        <f>'Residual Value'!V26</f>
        <v>0</v>
      </c>
      <c r="W61" s="35">
        <f>'Residual Value'!W26</f>
        <v>0</v>
      </c>
      <c r="X61" s="35">
        <f>'Residual Value'!X26</f>
        <v>0</v>
      </c>
      <c r="Y61" s="35">
        <f>'Residual Value'!Y26</f>
        <v>0</v>
      </c>
      <c r="Z61" s="35">
        <f>'Residual Value'!Z26</f>
        <v>0</v>
      </c>
      <c r="AA61" s="35">
        <f>'Residual Value'!AA26</f>
        <v>0</v>
      </c>
      <c r="AB61" s="35">
        <f>'Residual Value'!AB26</f>
        <v>0</v>
      </c>
      <c r="AC61" s="35">
        <f>'Residual Value'!AC26</f>
        <v>0</v>
      </c>
      <c r="AD61" s="35">
        <f>'Residual Value'!AD26</f>
        <v>0</v>
      </c>
      <c r="AE61" s="35">
        <f>'Residual Value'!AE26</f>
        <v>30923587.101307523</v>
      </c>
    </row>
    <row r="62" spans="1:31" s="25" customFormat="1" x14ac:dyDescent="0.3">
      <c r="A62" s="24"/>
      <c r="B62" s="38" t="s">
        <v>272</v>
      </c>
      <c r="C62" s="36">
        <f t="shared" si="44"/>
        <v>19.881595782621602</v>
      </c>
      <c r="D62" s="35">
        <f>'Project Data'!J24*'Project Data'!J7</f>
        <v>0</v>
      </c>
      <c r="E62" s="35">
        <f>'Project Data'!K24*'Project Data'!K7</f>
        <v>0</v>
      </c>
      <c r="F62" s="35">
        <f>'Project Data'!L24*'Project Data'!L7</f>
        <v>0</v>
      </c>
      <c r="G62" s="35">
        <f>'Project Data'!M24*'Project Data'!M7</f>
        <v>0</v>
      </c>
      <c r="H62" s="35">
        <f>'Project Data'!N24*'Project Data'!N7</f>
        <v>0</v>
      </c>
      <c r="I62" s="35">
        <f>'Project Data'!O24*'Project Data'!O7</f>
        <v>0</v>
      </c>
      <c r="J62" s="35">
        <f>'Project Data'!P24*'Project Data'!P7</f>
        <v>0</v>
      </c>
      <c r="K62" s="35">
        <f>'Project Data'!Q24*'Project Data'!Q7</f>
        <v>5944558.2668174999</v>
      </c>
      <c r="L62" s="35">
        <f>'Project Data'!R24*'Project Data'!R7</f>
        <v>0</v>
      </c>
      <c r="M62" s="35">
        <f>'Project Data'!S24*'Project Data'!S7</f>
        <v>0</v>
      </c>
      <c r="N62" s="35">
        <f>'Project Data'!T24*'Project Data'!T7</f>
        <v>0</v>
      </c>
      <c r="O62" s="35">
        <f>'Project Data'!U24*'Project Data'!U7</f>
        <v>4586707.3643780788</v>
      </c>
      <c r="P62" s="35">
        <f>'Project Data'!V24*'Project Data'!V7</f>
        <v>0</v>
      </c>
      <c r="Q62" s="35">
        <f>'Project Data'!W24*'Project Data'!W7</f>
        <v>0</v>
      </c>
      <c r="R62" s="35">
        <f>'Project Data'!X24*'Project Data'!X7</f>
        <v>0</v>
      </c>
      <c r="S62" s="35">
        <f>'Project Data'!Y24*'Project Data'!Y7</f>
        <v>0</v>
      </c>
      <c r="T62" s="35">
        <f>'Project Data'!Z24*'Project Data'!Z7</f>
        <v>3956534.0639120676</v>
      </c>
      <c r="U62" s="35">
        <f>'Project Data'!AA24*'Project Data'!AA7</f>
        <v>0</v>
      </c>
      <c r="V62" s="35">
        <f>'Project Data'!AB24*'Project Data'!AB7</f>
        <v>0</v>
      </c>
      <c r="W62" s="35">
        <f>'Project Data'!AC24*'Project Data'!AC7</f>
        <v>0</v>
      </c>
      <c r="X62" s="35">
        <f>'Project Data'!AD24*'Project Data'!AD7</f>
        <v>0</v>
      </c>
      <c r="Y62" s="35">
        <f>'Project Data'!AE24*'Project Data'!AE7</f>
        <v>2895828.7605721308</v>
      </c>
      <c r="Z62" s="35">
        <f>'Project Data'!AF24*'Project Data'!AF7</f>
        <v>0</v>
      </c>
      <c r="AA62" s="35">
        <f>'Project Data'!AG24*'Project Data'!AG7</f>
        <v>0</v>
      </c>
      <c r="AB62" s="35">
        <f>'Project Data'!AH24*'Project Data'!AH7</f>
        <v>0</v>
      </c>
      <c r="AC62" s="35">
        <f>'Project Data'!AI24*'Project Data'!AI7</f>
        <v>0</v>
      </c>
      <c r="AD62" s="35">
        <f>'Project Data'!AJ24*'Project Data'!AJ7</f>
        <v>2497967.3269418259</v>
      </c>
      <c r="AE62" s="35">
        <f>'Project Data'!AK24*'Project Data'!AK7</f>
        <v>0</v>
      </c>
    </row>
    <row r="63" spans="1:31" s="25" customFormat="1" x14ac:dyDescent="0.3">
      <c r="A63" s="24"/>
      <c r="B63" s="37" t="s">
        <v>46</v>
      </c>
      <c r="C63" s="36">
        <f t="shared" si="44"/>
        <v>3.2355394868502421</v>
      </c>
      <c r="D63" s="35">
        <f>('Project Data'!J19)*'Project Data'!J7</f>
        <v>0</v>
      </c>
      <c r="E63" s="35">
        <f>('Project Data'!K19)*'Project Data'!K7</f>
        <v>0</v>
      </c>
      <c r="F63" s="35">
        <f>('Project Data'!L19)*'Project Data'!L7</f>
        <v>0</v>
      </c>
      <c r="G63" s="35">
        <f>('Project Data'!M19)*'Project Data'!M7</f>
        <v>0</v>
      </c>
      <c r="H63" s="35">
        <f>('Project Data'!N19)*'Project Data'!N7</f>
        <v>0</v>
      </c>
      <c r="I63" s="35">
        <f>('Project Data'!O19)*'Project Data'!O7</f>
        <v>0</v>
      </c>
      <c r="J63" s="35">
        <f>('Project Data'!P19)*'Project Data'!P7</f>
        <v>0</v>
      </c>
      <c r="K63" s="35">
        <f>('Project Data'!Q19)*'Project Data'!Q7</f>
        <v>782178.71931809199</v>
      </c>
      <c r="L63" s="35">
        <f>('Project Data'!R19)*'Project Data'!R7</f>
        <v>0</v>
      </c>
      <c r="M63" s="35">
        <f>('Project Data'!S19)*'Project Data'!S7</f>
        <v>0</v>
      </c>
      <c r="N63" s="35">
        <f>('Project Data'!T19)*'Project Data'!T7</f>
        <v>0</v>
      </c>
      <c r="O63" s="35">
        <f>('Project Data'!U19)*'Project Data'!U7</f>
        <v>0</v>
      </c>
      <c r="P63" s="35">
        <f>('Project Data'!V19)*'Project Data'!V7</f>
        <v>0</v>
      </c>
      <c r="Q63" s="35">
        <f>('Project Data'!W19)*'Project Data'!W7</f>
        <v>0</v>
      </c>
      <c r="R63" s="35">
        <f>('Project Data'!X19)*'Project Data'!X7</f>
        <v>0</v>
      </c>
      <c r="S63" s="35">
        <f>('Project Data'!Y19)*'Project Data'!Y7</f>
        <v>0</v>
      </c>
      <c r="T63" s="35">
        <f>('Project Data'!Z19)*'Project Data'!Z7</f>
        <v>0</v>
      </c>
      <c r="U63" s="35">
        <f>('Project Data'!AA19)*'Project Data'!AA7</f>
        <v>0</v>
      </c>
      <c r="V63" s="35">
        <f>('Project Data'!AB19)*'Project Data'!AB7</f>
        <v>0</v>
      </c>
      <c r="W63" s="35">
        <f>('Project Data'!AC19)*'Project Data'!AC7</f>
        <v>0</v>
      </c>
      <c r="X63" s="35">
        <f>('Project Data'!AD19)*'Project Data'!AD7</f>
        <v>0</v>
      </c>
      <c r="Y63" s="35">
        <f>('Project Data'!AE19)*'Project Data'!AE7</f>
        <v>0</v>
      </c>
      <c r="Z63" s="35">
        <f>('Project Data'!AF19)*'Project Data'!AF7</f>
        <v>0</v>
      </c>
      <c r="AA63" s="35">
        <f>('Project Data'!AG19)*'Project Data'!AG7</f>
        <v>0</v>
      </c>
      <c r="AB63" s="35">
        <f>('Project Data'!AH19)*'Project Data'!AH7</f>
        <v>0</v>
      </c>
      <c r="AC63" s="35">
        <f>('Project Data'!AI19)*'Project Data'!AI7</f>
        <v>0</v>
      </c>
      <c r="AD63" s="35">
        <f>('Project Data'!AJ19)*'Project Data'!AJ7</f>
        <v>2453360.7675321503</v>
      </c>
      <c r="AE63" s="35">
        <f>('Project Data'!AK19)*'Project Data'!AK7</f>
        <v>0</v>
      </c>
    </row>
    <row r="64" spans="1:31" s="25" customFormat="1" x14ac:dyDescent="0.3">
      <c r="A64" s="24"/>
      <c r="B64" s="37" t="str">
        <f>B50</f>
        <v>Capital Costs</v>
      </c>
      <c r="C64" s="36">
        <f t="shared" si="44"/>
        <v>-93.272639967800018</v>
      </c>
      <c r="D64" s="35">
        <f>-'Project Data'!J29</f>
        <v>-5841586.2456203802</v>
      </c>
      <c r="E64" s="35">
        <f>-(('Project Data'!K14)*'Project Data'!K7)</f>
        <v>0</v>
      </c>
      <c r="F64" s="35">
        <f>-(('Project Data'!L14)*'Project Data'!L7)</f>
        <v>0</v>
      </c>
      <c r="G64" s="35">
        <f>-(('Project Data'!M14)*'Project Data'!M7)</f>
        <v>0</v>
      </c>
      <c r="H64" s="35">
        <f>-(('Project Data'!N14)*'Project Data'!N7)</f>
        <v>-17601304.677204773</v>
      </c>
      <c r="I64" s="35">
        <f>-(('Project Data'!O14)*'Project Data'!O7)</f>
        <v>-22982809.921488915</v>
      </c>
      <c r="J64" s="35">
        <f>-(('Project Data'!P14)*'Project Data'!P7)</f>
        <v>-28873364.619474929</v>
      </c>
      <c r="K64" s="35">
        <f>-(('Project Data'!Q14)*'Project Data'!Q7)</f>
        <v>-17973574.504011013</v>
      </c>
      <c r="L64" s="35">
        <f>-(('Project Data'!R14)*'Project Data'!R7)</f>
        <v>0</v>
      </c>
      <c r="M64" s="35">
        <f>-(('Project Data'!S14)*'Project Data'!S7)</f>
        <v>0</v>
      </c>
      <c r="N64" s="35">
        <f>-(('Project Data'!T14)*'Project Data'!T7)</f>
        <v>0</v>
      </c>
      <c r="O64" s="35">
        <f>-(('Project Data'!U14)*'Project Data'!U7)</f>
        <v>0</v>
      </c>
      <c r="P64" s="35">
        <f>-(('Project Data'!V14)*'Project Data'!V7)</f>
        <v>0</v>
      </c>
      <c r="Q64" s="35">
        <f>-(('Project Data'!W14)*'Project Data'!W7)</f>
        <v>0</v>
      </c>
      <c r="R64" s="35">
        <f>-(('Project Data'!X14)*'Project Data'!X7)</f>
        <v>0</v>
      </c>
      <c r="S64" s="35">
        <f>-(('Project Data'!Y14)*'Project Data'!Y7)</f>
        <v>0</v>
      </c>
      <c r="T64" s="35">
        <f>-(('Project Data'!Z14)*'Project Data'!Z7)</f>
        <v>0</v>
      </c>
      <c r="U64" s="35">
        <f>-(('Project Data'!AA14)*'Project Data'!AA7)</f>
        <v>0</v>
      </c>
      <c r="V64" s="35">
        <f>-(('Project Data'!AB14)*'Project Data'!AB7)</f>
        <v>0</v>
      </c>
      <c r="W64" s="35">
        <f>-(('Project Data'!AC14)*'Project Data'!AC7)</f>
        <v>0</v>
      </c>
      <c r="X64" s="35">
        <f>-(('Project Data'!AD14)*'Project Data'!AD7)</f>
        <v>0</v>
      </c>
      <c r="Y64" s="35">
        <f>-(('Project Data'!AE14)*'Project Data'!AE7)</f>
        <v>0</v>
      </c>
      <c r="Z64" s="35">
        <f>-(('Project Data'!AF14)*'Project Data'!AF7)</f>
        <v>0</v>
      </c>
      <c r="AA64" s="35">
        <f>-(('Project Data'!AG14)*'Project Data'!AG7)</f>
        <v>0</v>
      </c>
      <c r="AB64" s="35">
        <f>-(('Project Data'!AH14)*'Project Data'!AH7)</f>
        <v>0</v>
      </c>
      <c r="AC64" s="35">
        <f>-(('Project Data'!AI14)*'Project Data'!AI7)</f>
        <v>0</v>
      </c>
      <c r="AD64" s="35">
        <f>-(('Project Data'!AJ14)*'Project Data'!AJ7)</f>
        <v>0</v>
      </c>
      <c r="AE64" s="35">
        <f>-(('Project Data'!AK14)*'Project Data'!AK7)</f>
        <v>0</v>
      </c>
    </row>
    <row r="65" spans="1:31" s="25" customFormat="1" x14ac:dyDescent="0.3">
      <c r="A65" s="24"/>
      <c r="B65" s="34" t="s">
        <v>8</v>
      </c>
      <c r="C65" s="33">
        <f t="shared" si="44"/>
        <v>213.79926280583538</v>
      </c>
      <c r="D65" s="32">
        <f>SUM(D58:D62)</f>
        <v>0</v>
      </c>
      <c r="E65" s="32">
        <f t="shared" ref="E65:AE65" si="45">SUM(E58:E62)</f>
        <v>0</v>
      </c>
      <c r="F65" s="32">
        <f t="shared" si="45"/>
        <v>0</v>
      </c>
      <c r="G65" s="32">
        <f t="shared" si="45"/>
        <v>0</v>
      </c>
      <c r="H65" s="32">
        <f t="shared" si="45"/>
        <v>0</v>
      </c>
      <c r="I65" s="32">
        <f t="shared" si="45"/>
        <v>0</v>
      </c>
      <c r="J65" s="32">
        <f t="shared" si="45"/>
        <v>0</v>
      </c>
      <c r="K65" s="32">
        <f t="shared" si="45"/>
        <v>5944558.2668174999</v>
      </c>
      <c r="L65" s="32">
        <f t="shared" si="45"/>
        <v>7919376.1625347296</v>
      </c>
      <c r="M65" s="32">
        <f t="shared" si="45"/>
        <v>7942986.3596397135</v>
      </c>
      <c r="N65" s="32">
        <f t="shared" si="45"/>
        <v>7966798.2158965468</v>
      </c>
      <c r="O65" s="32">
        <f t="shared" si="45"/>
        <v>12577514.552810296</v>
      </c>
      <c r="P65" s="32">
        <f t="shared" si="45"/>
        <v>8015004.5559073808</v>
      </c>
      <c r="Q65" s="32">
        <f t="shared" si="45"/>
        <v>8039376.9409265732</v>
      </c>
      <c r="R65" s="32">
        <f t="shared" si="45"/>
        <v>8063905.7880245699</v>
      </c>
      <c r="S65" s="32">
        <f t="shared" si="45"/>
        <v>8088566.793499398</v>
      </c>
      <c r="T65" s="32">
        <f t="shared" si="45"/>
        <v>12069863.346978698</v>
      </c>
      <c r="U65" s="32">
        <f t="shared" si="45"/>
        <v>8138155.5329916198</v>
      </c>
      <c r="V65" s="32">
        <f t="shared" si="45"/>
        <v>8163000.0300139775</v>
      </c>
      <c r="W65" s="32">
        <f t="shared" si="45"/>
        <v>8187808.665010035</v>
      </c>
      <c r="X65" s="32">
        <f t="shared" si="45"/>
        <v>8212517.8549425649</v>
      </c>
      <c r="Y65" s="32">
        <f t="shared" si="45"/>
        <v>11132882.347792923</v>
      </c>
      <c r="Z65" s="32">
        <f t="shared" si="45"/>
        <v>8261330.3801347353</v>
      </c>
      <c r="AA65" s="32">
        <f t="shared" si="45"/>
        <v>8285250.1525343191</v>
      </c>
      <c r="AB65" s="32">
        <f t="shared" si="45"/>
        <v>8308700.9953935677</v>
      </c>
      <c r="AC65" s="32">
        <f t="shared" si="45"/>
        <v>8331555.8373288997</v>
      </c>
      <c r="AD65" s="32">
        <f t="shared" si="45"/>
        <v>10851638.32246916</v>
      </c>
      <c r="AE65" s="32">
        <f t="shared" si="45"/>
        <v>39298471.70418819</v>
      </c>
    </row>
    <row r="66" spans="1:31" s="25" customFormat="1" x14ac:dyDescent="0.3">
      <c r="A66" s="24"/>
      <c r="B66" s="34" t="s">
        <v>9</v>
      </c>
      <c r="C66" s="33">
        <f t="shared" si="44"/>
        <v>-90.037100480949775</v>
      </c>
      <c r="D66" s="32">
        <f>SUM(D63:D64)</f>
        <v>-5841586.2456203802</v>
      </c>
      <c r="E66" s="32">
        <f>SUM(E63:E64)</f>
        <v>0</v>
      </c>
      <c r="F66" s="32">
        <f>SUM(F63:F64)</f>
        <v>0</v>
      </c>
      <c r="G66" s="32">
        <f t="shared" ref="G66:AA66" si="46">SUM(G63:G64)</f>
        <v>0</v>
      </c>
      <c r="H66" s="32">
        <f t="shared" si="46"/>
        <v>-17601304.677204773</v>
      </c>
      <c r="I66" s="32">
        <f t="shared" si="46"/>
        <v>-22982809.921488915</v>
      </c>
      <c r="J66" s="32">
        <f t="shared" si="46"/>
        <v>-28873364.619474929</v>
      </c>
      <c r="K66" s="32">
        <f t="shared" si="46"/>
        <v>-17191395.784692921</v>
      </c>
      <c r="L66" s="32">
        <f t="shared" si="46"/>
        <v>0</v>
      </c>
      <c r="M66" s="32">
        <f t="shared" si="46"/>
        <v>0</v>
      </c>
      <c r="N66" s="32">
        <f t="shared" si="46"/>
        <v>0</v>
      </c>
      <c r="O66" s="32">
        <f t="shared" si="46"/>
        <v>0</v>
      </c>
      <c r="P66" s="32">
        <f t="shared" si="46"/>
        <v>0</v>
      </c>
      <c r="Q66" s="32">
        <f t="shared" si="46"/>
        <v>0</v>
      </c>
      <c r="R66" s="32">
        <f t="shared" si="46"/>
        <v>0</v>
      </c>
      <c r="S66" s="32">
        <f t="shared" si="46"/>
        <v>0</v>
      </c>
      <c r="T66" s="32">
        <f t="shared" si="46"/>
        <v>0</v>
      </c>
      <c r="U66" s="32">
        <f t="shared" si="46"/>
        <v>0</v>
      </c>
      <c r="V66" s="32">
        <f t="shared" si="46"/>
        <v>0</v>
      </c>
      <c r="W66" s="32">
        <f t="shared" si="46"/>
        <v>0</v>
      </c>
      <c r="X66" s="32">
        <f t="shared" si="46"/>
        <v>0</v>
      </c>
      <c r="Y66" s="32">
        <f t="shared" si="46"/>
        <v>0</v>
      </c>
      <c r="Z66" s="32">
        <f t="shared" si="46"/>
        <v>0</v>
      </c>
      <c r="AA66" s="32">
        <f t="shared" si="46"/>
        <v>0</v>
      </c>
      <c r="AB66" s="32">
        <f t="shared" ref="AB66:AE66" si="47">SUM(AB63:AB64)</f>
        <v>0</v>
      </c>
      <c r="AC66" s="32">
        <f t="shared" si="47"/>
        <v>0</v>
      </c>
      <c r="AD66" s="32">
        <f t="shared" si="47"/>
        <v>2453360.7675321503</v>
      </c>
      <c r="AE66" s="32">
        <f t="shared" si="47"/>
        <v>0</v>
      </c>
    </row>
    <row r="67" spans="1:31" s="25" customFormat="1" x14ac:dyDescent="0.3">
      <c r="A67" s="24"/>
      <c r="B67" s="31" t="s">
        <v>45</v>
      </c>
      <c r="C67" s="30">
        <f t="shared" si="44"/>
        <v>123.76216232488564</v>
      </c>
      <c r="D67" s="29">
        <f>SUM(D58:D64)</f>
        <v>-5841586.2456203802</v>
      </c>
      <c r="E67" s="29">
        <f>SUM(E58:E64)</f>
        <v>0</v>
      </c>
      <c r="F67" s="29">
        <f t="shared" ref="F67:AA67" si="48">SUM(F58:F64)</f>
        <v>0</v>
      </c>
      <c r="G67" s="29">
        <f t="shared" si="48"/>
        <v>0</v>
      </c>
      <c r="H67" s="29">
        <f t="shared" si="48"/>
        <v>-17601304.677204773</v>
      </c>
      <c r="I67" s="29">
        <f t="shared" si="48"/>
        <v>-22982809.921488915</v>
      </c>
      <c r="J67" s="29">
        <f t="shared" si="48"/>
        <v>-28873364.619474929</v>
      </c>
      <c r="K67" s="29">
        <f t="shared" si="48"/>
        <v>-11246837.517875422</v>
      </c>
      <c r="L67" s="29">
        <f t="shared" si="48"/>
        <v>7919376.1625347296</v>
      </c>
      <c r="M67" s="29">
        <f t="shared" si="48"/>
        <v>7942986.3596397135</v>
      </c>
      <c r="N67" s="29">
        <f t="shared" si="48"/>
        <v>7966798.2158965468</v>
      </c>
      <c r="O67" s="29">
        <f t="shared" si="48"/>
        <v>12577514.552810296</v>
      </c>
      <c r="P67" s="29">
        <f t="shared" si="48"/>
        <v>8015004.5559073808</v>
      </c>
      <c r="Q67" s="29">
        <f t="shared" si="48"/>
        <v>8039376.9409265732</v>
      </c>
      <c r="R67" s="29">
        <f t="shared" si="48"/>
        <v>8063905.7880245699</v>
      </c>
      <c r="S67" s="29">
        <f t="shared" si="48"/>
        <v>8088566.793499398</v>
      </c>
      <c r="T67" s="29">
        <f t="shared" si="48"/>
        <v>12069863.346978698</v>
      </c>
      <c r="U67" s="29">
        <f t="shared" si="48"/>
        <v>8138155.5329916198</v>
      </c>
      <c r="V67" s="29">
        <f t="shared" si="48"/>
        <v>8163000.0300139775</v>
      </c>
      <c r="W67" s="29">
        <f t="shared" si="48"/>
        <v>8187808.665010035</v>
      </c>
      <c r="X67" s="29">
        <f t="shared" si="48"/>
        <v>8212517.8549425649</v>
      </c>
      <c r="Y67" s="29">
        <f t="shared" si="48"/>
        <v>11132882.347792923</v>
      </c>
      <c r="Z67" s="29">
        <f t="shared" si="48"/>
        <v>8261330.3801347353</v>
      </c>
      <c r="AA67" s="29">
        <f t="shared" si="48"/>
        <v>8285250.1525343191</v>
      </c>
      <c r="AB67" s="29">
        <f t="shared" ref="AB67:AE67" si="49">SUM(AB58:AB64)</f>
        <v>8308700.9953935677</v>
      </c>
      <c r="AC67" s="29">
        <f t="shared" si="49"/>
        <v>8331555.8373288997</v>
      </c>
      <c r="AD67" s="29">
        <f t="shared" si="49"/>
        <v>13304999.090001311</v>
      </c>
      <c r="AE67" s="29">
        <f t="shared" si="49"/>
        <v>39298471.70418819</v>
      </c>
    </row>
    <row r="68" spans="1:31" s="25" customFormat="1" x14ac:dyDescent="0.3">
      <c r="A68" s="24"/>
      <c r="B68" s="28" t="s">
        <v>44</v>
      </c>
      <c r="C68" s="27"/>
      <c r="D68" s="26">
        <f>D67</f>
        <v>-5841586.2456203802</v>
      </c>
      <c r="E68" s="26">
        <f>E67</f>
        <v>0</v>
      </c>
      <c r="F68" s="26">
        <f>E68+F67</f>
        <v>0</v>
      </c>
      <c r="G68" s="26">
        <f t="shared" ref="G68:AA68" si="50">F68+G67</f>
        <v>0</v>
      </c>
      <c r="H68" s="26">
        <f t="shared" si="50"/>
        <v>-17601304.677204773</v>
      </c>
      <c r="I68" s="26">
        <f t="shared" si="50"/>
        <v>-40584114.598693684</v>
      </c>
      <c r="J68" s="26">
        <f t="shared" si="50"/>
        <v>-69457479.218168616</v>
      </c>
      <c r="K68" s="26">
        <f t="shared" si="50"/>
        <v>-80704316.736044034</v>
      </c>
      <c r="L68" s="26">
        <f t="shared" si="50"/>
        <v>-72784940.573509306</v>
      </c>
      <c r="M68" s="26">
        <f t="shared" si="50"/>
        <v>-64841954.213869594</v>
      </c>
      <c r="N68" s="26">
        <f t="shared" si="50"/>
        <v>-56875155.997973047</v>
      </c>
      <c r="O68" s="26">
        <f t="shared" si="50"/>
        <v>-44297641.445162751</v>
      </c>
      <c r="P68" s="26">
        <f t="shared" si="50"/>
        <v>-36282636.889255367</v>
      </c>
      <c r="Q68" s="26">
        <f t="shared" si="50"/>
        <v>-28243259.948328793</v>
      </c>
      <c r="R68" s="26">
        <f t="shared" si="50"/>
        <v>-20179354.160304222</v>
      </c>
      <c r="S68" s="26">
        <f t="shared" si="50"/>
        <v>-12090787.366804823</v>
      </c>
      <c r="T68" s="26">
        <f t="shared" si="50"/>
        <v>-20924.019826125354</v>
      </c>
      <c r="U68" s="26">
        <f t="shared" si="50"/>
        <v>8117231.5131654944</v>
      </c>
      <c r="V68" s="26">
        <f t="shared" si="50"/>
        <v>16280231.543179471</v>
      </c>
      <c r="W68" s="26">
        <f t="shared" si="50"/>
        <v>24468040.208189506</v>
      </c>
      <c r="X68" s="26">
        <f t="shared" si="50"/>
        <v>32680558.06313207</v>
      </c>
      <c r="Y68" s="26">
        <f t="shared" si="50"/>
        <v>43813440.410924993</v>
      </c>
      <c r="Z68" s="26">
        <f t="shared" si="50"/>
        <v>52074770.791059732</v>
      </c>
      <c r="AA68" s="26">
        <f t="shared" si="50"/>
        <v>60360020.943594053</v>
      </c>
      <c r="AB68" s="26">
        <f t="shared" ref="AB68" si="51">AA68+AB67</f>
        <v>68668721.938987628</v>
      </c>
      <c r="AC68" s="26">
        <f t="shared" ref="AC68" si="52">AB68+AC67</f>
        <v>77000277.776316524</v>
      </c>
      <c r="AD68" s="26">
        <f t="shared" ref="AD68" si="53">AC68+AD67</f>
        <v>90305276.866317838</v>
      </c>
      <c r="AE68" s="26">
        <f t="shared" ref="AE68" si="54">AD68+AE67</f>
        <v>129603748.57050604</v>
      </c>
    </row>
  </sheetData>
  <mergeCells count="14">
    <mergeCell ref="G5:G6"/>
    <mergeCell ref="B25:C25"/>
    <mergeCell ref="B26:C26"/>
    <mergeCell ref="B5:B6"/>
    <mergeCell ref="C5:C6"/>
    <mergeCell ref="B24:C24"/>
    <mergeCell ref="B20:C20"/>
    <mergeCell ref="D5:F5"/>
    <mergeCell ref="B18:C18"/>
    <mergeCell ref="B21:C21"/>
    <mergeCell ref="B22:C22"/>
    <mergeCell ref="B23:C23"/>
    <mergeCell ref="B19:C19"/>
    <mergeCell ref="D17:F17"/>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00000"/>
  </sheetPr>
  <dimension ref="A1:M162"/>
  <sheetViews>
    <sheetView topLeftCell="A83" workbookViewId="0">
      <selection activeCell="A95" sqref="A95"/>
    </sheetView>
  </sheetViews>
  <sheetFormatPr defaultRowHeight="14.4" x14ac:dyDescent="0.3"/>
  <cols>
    <col min="1" max="1" width="44.77734375" customWidth="1"/>
    <col min="2" max="2" width="25.33203125" customWidth="1"/>
    <col min="3" max="3" width="33.77734375" customWidth="1"/>
    <col min="4" max="4" width="56.6640625" customWidth="1"/>
    <col min="5" max="5" width="23.88671875" customWidth="1"/>
    <col min="6" max="6" width="19.5546875" customWidth="1"/>
    <col min="7" max="7" width="22.77734375" customWidth="1"/>
    <col min="8" max="8" width="15.109375" customWidth="1"/>
    <col min="9" max="9" width="16.33203125" customWidth="1"/>
    <col min="10" max="11" width="13.88671875" customWidth="1"/>
  </cols>
  <sheetData>
    <row r="1" spans="1:6" x14ac:dyDescent="0.3">
      <c r="D1" s="20"/>
    </row>
    <row r="2" spans="1:6" ht="15" thickBot="1" x14ac:dyDescent="0.35">
      <c r="A2" s="7" t="s">
        <v>28</v>
      </c>
      <c r="B2" s="162"/>
    </row>
    <row r="3" spans="1:6" ht="15" thickBot="1" x14ac:dyDescent="0.35">
      <c r="A3" s="407" t="s">
        <v>491</v>
      </c>
      <c r="B3" s="408" t="s">
        <v>492</v>
      </c>
      <c r="C3" s="408" t="s">
        <v>493</v>
      </c>
      <c r="D3" s="408" t="s">
        <v>494</v>
      </c>
      <c r="E3" s="408" t="s">
        <v>495</v>
      </c>
      <c r="F3" s="409" t="s">
        <v>496</v>
      </c>
    </row>
    <row r="4" spans="1:6" ht="46.2" thickBot="1" x14ac:dyDescent="0.35">
      <c r="A4" s="555" t="s">
        <v>497</v>
      </c>
      <c r="B4" s="541" t="s">
        <v>498</v>
      </c>
      <c r="C4" s="411" t="s">
        <v>499</v>
      </c>
      <c r="D4" s="411" t="s">
        <v>500</v>
      </c>
      <c r="E4" s="411" t="s">
        <v>501</v>
      </c>
      <c r="F4" s="411" t="s">
        <v>597</v>
      </c>
    </row>
    <row r="5" spans="1:6" ht="46.2" thickBot="1" x14ac:dyDescent="0.35">
      <c r="A5" s="556"/>
      <c r="B5" s="542"/>
      <c r="C5" s="412" t="s">
        <v>502</v>
      </c>
      <c r="D5" s="412" t="s">
        <v>503</v>
      </c>
      <c r="E5" s="412" t="s">
        <v>504</v>
      </c>
      <c r="F5" s="412" t="s">
        <v>598</v>
      </c>
    </row>
    <row r="6" spans="1:6" ht="22.8" x14ac:dyDescent="0.3">
      <c r="A6" s="556"/>
      <c r="B6" s="542"/>
      <c r="C6" s="541" t="s">
        <v>505</v>
      </c>
      <c r="D6" s="541" t="s">
        <v>506</v>
      </c>
      <c r="E6" s="541" t="s">
        <v>507</v>
      </c>
      <c r="F6" s="410" t="s">
        <v>599</v>
      </c>
    </row>
    <row r="7" spans="1:6" x14ac:dyDescent="0.3">
      <c r="A7" s="556"/>
      <c r="B7" s="542"/>
      <c r="C7" s="542"/>
      <c r="D7" s="542"/>
      <c r="E7" s="542"/>
      <c r="F7" s="410"/>
    </row>
    <row r="8" spans="1:6" ht="46.2" thickBot="1" x14ac:dyDescent="0.35">
      <c r="A8" s="556"/>
      <c r="B8" s="542"/>
      <c r="C8" s="543"/>
      <c r="D8" s="543"/>
      <c r="E8" s="543"/>
      <c r="F8" s="411" t="s">
        <v>600</v>
      </c>
    </row>
    <row r="9" spans="1:6" ht="23.4" thickBot="1" x14ac:dyDescent="0.35">
      <c r="A9" s="557"/>
      <c r="B9" s="543"/>
      <c r="C9" s="412" t="s">
        <v>508</v>
      </c>
      <c r="D9" s="412" t="s">
        <v>503</v>
      </c>
      <c r="E9" s="412" t="s">
        <v>509</v>
      </c>
      <c r="F9" s="412" t="s">
        <v>601</v>
      </c>
    </row>
    <row r="10" spans="1:6" x14ac:dyDescent="0.3">
      <c r="A10" s="7"/>
      <c r="B10" s="162"/>
    </row>
    <row r="12" spans="1:6" ht="15" x14ac:dyDescent="0.3">
      <c r="A12" s="7" t="s">
        <v>81</v>
      </c>
      <c r="F12" s="143"/>
    </row>
    <row r="13" spans="1:6" s="71" customFormat="1" x14ac:dyDescent="0.3">
      <c r="A13" s="157" t="s">
        <v>15</v>
      </c>
      <c r="B13" s="157" t="s">
        <v>7</v>
      </c>
      <c r="C13" s="157" t="s">
        <v>35</v>
      </c>
      <c r="D13" s="157" t="s">
        <v>80</v>
      </c>
      <c r="F13" s="166"/>
    </row>
    <row r="14" spans="1:6" s="71" customFormat="1" x14ac:dyDescent="0.3">
      <c r="A14" s="9" t="s">
        <v>8</v>
      </c>
      <c r="B14" s="10">
        <f>Results!D19</f>
        <v>377.68504618639247</v>
      </c>
      <c r="C14" s="10">
        <f>Results!E19</f>
        <v>108.39363804724138</v>
      </c>
      <c r="D14" s="10">
        <f>Results!F19</f>
        <v>213.79926280583538</v>
      </c>
      <c r="F14" s="166"/>
    </row>
    <row r="15" spans="1:6" s="71" customFormat="1" x14ac:dyDescent="0.3">
      <c r="A15" s="9" t="s">
        <v>79</v>
      </c>
      <c r="B15" s="10">
        <f>Results!D20</f>
        <v>6.2528775723753052</v>
      </c>
      <c r="C15" s="10">
        <f>Results!E20</f>
        <v>1.5101420375333863</v>
      </c>
      <c r="D15" s="10">
        <f>Results!F20</f>
        <v>3.2355394868502421</v>
      </c>
      <c r="F15" s="166"/>
    </row>
    <row r="16" spans="1:6" s="71" customFormat="1" x14ac:dyDescent="0.3">
      <c r="A16" s="9" t="s">
        <v>9</v>
      </c>
      <c r="B16" s="10">
        <f>Results!D21</f>
        <v>108.3308248729882</v>
      </c>
      <c r="C16" s="10">
        <f>Results!E21</f>
        <v>77.178416111609181</v>
      </c>
      <c r="D16" s="10">
        <f>Results!F21</f>
        <v>93.272639967800018</v>
      </c>
      <c r="F16" s="166"/>
    </row>
    <row r="17" spans="1:6" s="71" customFormat="1" x14ac:dyDescent="0.3">
      <c r="A17" s="11" t="s">
        <v>10</v>
      </c>
      <c r="B17" s="10">
        <f>Results!D22</f>
        <v>269.35422131340425</v>
      </c>
      <c r="C17" s="10">
        <f>Results!E22</f>
        <v>31.215221935632201</v>
      </c>
      <c r="D17" s="10">
        <f>Results!F22</f>
        <v>120.52662283803535</v>
      </c>
      <c r="F17" s="166"/>
    </row>
    <row r="18" spans="1:6" s="71" customFormat="1" x14ac:dyDescent="0.3">
      <c r="A18" s="11" t="s">
        <v>18</v>
      </c>
      <c r="B18" s="386">
        <f>Results!D24</f>
        <v>3.4286840246024202</v>
      </c>
      <c r="C18" s="386">
        <f>Results!E24</f>
        <v>1.3848884363620748</v>
      </c>
      <c r="D18" s="386">
        <f>Results!F24</f>
        <v>2.2575079186316254</v>
      </c>
      <c r="F18" s="166"/>
    </row>
    <row r="19" spans="1:6" s="71" customFormat="1" x14ac:dyDescent="0.3">
      <c r="A19" s="9" t="s">
        <v>19</v>
      </c>
      <c r="B19" s="544">
        <f>Results!D26</f>
        <v>0.10536455377264864</v>
      </c>
      <c r="C19" s="545"/>
      <c r="D19" s="546"/>
      <c r="F19" s="166"/>
    </row>
    <row r="20" spans="1:6" s="71" customFormat="1" x14ac:dyDescent="0.3">
      <c r="A20" s="158"/>
      <c r="B20" s="159"/>
      <c r="C20" s="159"/>
      <c r="D20" s="159"/>
      <c r="F20" s="166"/>
    </row>
    <row r="21" spans="1:6" s="71" customFormat="1" x14ac:dyDescent="0.3">
      <c r="A21" s="158"/>
      <c r="B21" s="159"/>
      <c r="C21" s="159"/>
      <c r="D21" s="159"/>
      <c r="F21" s="166"/>
    </row>
    <row r="22" spans="1:6" ht="15" thickBot="1" x14ac:dyDescent="0.35">
      <c r="A22" s="66" t="s">
        <v>29</v>
      </c>
    </row>
    <row r="23" spans="1:6" x14ac:dyDescent="0.3">
      <c r="A23" s="551"/>
      <c r="B23" s="553" t="s">
        <v>82</v>
      </c>
      <c r="C23" s="554"/>
      <c r="D23" s="554"/>
    </row>
    <row r="24" spans="1:6" x14ac:dyDescent="0.3">
      <c r="A24" s="552"/>
      <c r="B24" s="145" t="s">
        <v>85</v>
      </c>
      <c r="C24" s="146" t="s">
        <v>86</v>
      </c>
      <c r="D24" s="146" t="s">
        <v>87</v>
      </c>
    </row>
    <row r="25" spans="1:6" ht="15" thickBot="1" x14ac:dyDescent="0.35">
      <c r="A25" s="147" t="s">
        <v>83</v>
      </c>
      <c r="B25" s="164">
        <f>Results!D21</f>
        <v>108.3308248729882</v>
      </c>
      <c r="C25" s="164">
        <f>Results!E21</f>
        <v>77.178416111609181</v>
      </c>
      <c r="D25" s="164">
        <f>Results!F21</f>
        <v>93.272639967800018</v>
      </c>
    </row>
    <row r="26" spans="1:6" ht="15" thickBot="1" x14ac:dyDescent="0.35">
      <c r="A26" s="147" t="s">
        <v>84</v>
      </c>
      <c r="B26" s="164">
        <f>Results!D20</f>
        <v>6.2528775723753052</v>
      </c>
      <c r="C26" s="164">
        <f>Results!E20</f>
        <v>1.5101420375333863</v>
      </c>
      <c r="D26" s="164">
        <f>Results!F20</f>
        <v>3.2355394868502421</v>
      </c>
    </row>
    <row r="27" spans="1:6" ht="15" thickBot="1" x14ac:dyDescent="0.35">
      <c r="A27" s="148" t="s">
        <v>13</v>
      </c>
      <c r="B27" s="165">
        <f>SUM(B25:B26)</f>
        <v>114.58370244536351</v>
      </c>
      <c r="C27" s="165">
        <f>SUM(C25:C26)</f>
        <v>78.688558149142565</v>
      </c>
      <c r="D27" s="165">
        <f>SUM(D25:D26)</f>
        <v>96.508179454650261</v>
      </c>
    </row>
    <row r="28" spans="1:6" s="6" customFormat="1" x14ac:dyDescent="0.3">
      <c r="A28" s="158"/>
      <c r="B28" s="159"/>
      <c r="C28" s="159"/>
      <c r="D28" s="159"/>
    </row>
    <row r="29" spans="1:6" s="6" customFormat="1" ht="15" thickBot="1" x14ac:dyDescent="0.35">
      <c r="A29" s="160" t="s">
        <v>92</v>
      </c>
      <c r="B29" s="159"/>
      <c r="C29" s="159"/>
      <c r="D29" s="159"/>
    </row>
    <row r="30" spans="1:6" s="6" customFormat="1" x14ac:dyDescent="0.3">
      <c r="A30" s="547" t="s">
        <v>510</v>
      </c>
      <c r="B30" s="441" t="s">
        <v>511</v>
      </c>
      <c r="C30" s="547" t="s">
        <v>513</v>
      </c>
      <c r="D30" s="547" t="s">
        <v>514</v>
      </c>
      <c r="E30" s="549" t="s">
        <v>515</v>
      </c>
    </row>
    <row r="31" spans="1:6" s="6" customFormat="1" ht="15" thickBot="1" x14ac:dyDescent="0.35">
      <c r="A31" s="548"/>
      <c r="B31" s="442" t="s">
        <v>512</v>
      </c>
      <c r="C31" s="548"/>
      <c r="D31" s="548"/>
      <c r="E31" s="550"/>
    </row>
    <row r="32" spans="1:6" s="6" customFormat="1" ht="66.599999999999994" thickBot="1" x14ac:dyDescent="0.35">
      <c r="A32" s="413" t="s">
        <v>516</v>
      </c>
      <c r="B32" s="414" t="s">
        <v>517</v>
      </c>
      <c r="C32" s="415" t="s">
        <v>518</v>
      </c>
      <c r="D32" s="416" t="s">
        <v>519</v>
      </c>
      <c r="E32" s="416"/>
    </row>
    <row r="33" spans="1:13" s="6" customFormat="1" ht="53.4" thickBot="1" x14ac:dyDescent="0.35">
      <c r="A33" s="558" t="s">
        <v>520</v>
      </c>
      <c r="B33" s="414" t="s">
        <v>521</v>
      </c>
      <c r="C33" s="415" t="s">
        <v>522</v>
      </c>
      <c r="D33" s="416" t="s">
        <v>519</v>
      </c>
      <c r="E33" s="416"/>
    </row>
    <row r="34" spans="1:13" s="6" customFormat="1" ht="40.200000000000003" thickBot="1" x14ac:dyDescent="0.35">
      <c r="A34" s="559"/>
      <c r="B34" s="414" t="s">
        <v>508</v>
      </c>
      <c r="C34" s="415" t="s">
        <v>523</v>
      </c>
      <c r="D34" s="416" t="s">
        <v>524</v>
      </c>
      <c r="E34" s="416" t="s">
        <v>519</v>
      </c>
    </row>
    <row r="35" spans="1:13" s="6" customFormat="1" ht="53.4" thickBot="1" x14ac:dyDescent="0.35">
      <c r="A35" s="413" t="s">
        <v>525</v>
      </c>
      <c r="B35" s="414" t="s">
        <v>526</v>
      </c>
      <c r="C35" s="415" t="s">
        <v>527</v>
      </c>
      <c r="D35" s="416" t="s">
        <v>519</v>
      </c>
      <c r="E35" s="416"/>
    </row>
    <row r="36" spans="1:13" s="6" customFormat="1" ht="79.8" thickBot="1" x14ac:dyDescent="0.35">
      <c r="A36" s="413" t="s">
        <v>528</v>
      </c>
      <c r="B36" s="414" t="s">
        <v>529</v>
      </c>
      <c r="C36" s="415" t="s">
        <v>530</v>
      </c>
      <c r="D36" s="416"/>
      <c r="E36" s="416" t="s">
        <v>519</v>
      </c>
    </row>
    <row r="37" spans="1:13" s="6" customFormat="1" ht="53.4" thickBot="1" x14ac:dyDescent="0.35">
      <c r="A37" s="558" t="s">
        <v>531</v>
      </c>
      <c r="B37" s="414" t="s">
        <v>532</v>
      </c>
      <c r="C37" s="415" t="s">
        <v>533</v>
      </c>
      <c r="D37" s="416" t="s">
        <v>534</v>
      </c>
      <c r="E37" s="416"/>
    </row>
    <row r="38" spans="1:13" s="6" customFormat="1" ht="27" thickBot="1" x14ac:dyDescent="0.35">
      <c r="A38" s="559"/>
      <c r="B38" s="414" t="s">
        <v>529</v>
      </c>
      <c r="C38" s="415" t="s">
        <v>535</v>
      </c>
      <c r="D38" s="416"/>
      <c r="E38" s="416" t="s">
        <v>519</v>
      </c>
    </row>
    <row r="39" spans="1:13" s="6" customFormat="1" x14ac:dyDescent="0.3">
      <c r="A39" s="417"/>
      <c r="B39" s="417"/>
      <c r="C39" s="418"/>
      <c r="D39" s="419"/>
      <c r="E39" s="419"/>
    </row>
    <row r="40" spans="1:13" s="6" customFormat="1" ht="15" thickBot="1" x14ac:dyDescent="0.35">
      <c r="A40" s="417" t="s">
        <v>536</v>
      </c>
      <c r="B40" s="417"/>
      <c r="C40" s="418"/>
      <c r="D40" s="419"/>
      <c r="E40" s="419"/>
    </row>
    <row r="41" spans="1:13" s="6" customFormat="1" ht="15" thickBot="1" x14ac:dyDescent="0.35">
      <c r="A41" s="570" t="s">
        <v>175</v>
      </c>
      <c r="B41" s="573" t="s">
        <v>481</v>
      </c>
      <c r="C41" s="574"/>
      <c r="D41" s="574"/>
      <c r="E41" s="575"/>
      <c r="F41" s="573" t="s">
        <v>542</v>
      </c>
      <c r="G41" s="574"/>
      <c r="H41" s="574"/>
      <c r="I41" s="575"/>
      <c r="J41" s="573" t="s">
        <v>161</v>
      </c>
      <c r="K41" s="574"/>
      <c r="L41" s="574"/>
      <c r="M41" s="575"/>
    </row>
    <row r="42" spans="1:13" s="6" customFormat="1" ht="15" thickBot="1" x14ac:dyDescent="0.35">
      <c r="A42" s="571"/>
      <c r="B42" s="573">
        <v>2015</v>
      </c>
      <c r="C42" s="575"/>
      <c r="D42" s="573">
        <v>2045</v>
      </c>
      <c r="E42" s="575"/>
      <c r="F42" s="573">
        <v>2015</v>
      </c>
      <c r="G42" s="575"/>
      <c r="H42" s="573">
        <v>2045</v>
      </c>
      <c r="I42" s="575"/>
      <c r="J42" s="573">
        <v>2015</v>
      </c>
      <c r="K42" s="575"/>
      <c r="L42" s="573">
        <v>2045</v>
      </c>
      <c r="M42" s="575"/>
    </row>
    <row r="43" spans="1:13" s="6" customFormat="1" ht="15" thickBot="1" x14ac:dyDescent="0.35">
      <c r="A43" s="572"/>
      <c r="B43" s="445" t="s">
        <v>178</v>
      </c>
      <c r="C43" s="445" t="s">
        <v>179</v>
      </c>
      <c r="D43" s="445" t="s">
        <v>178</v>
      </c>
      <c r="E43" s="445" t="s">
        <v>179</v>
      </c>
      <c r="F43" s="445" t="s">
        <v>178</v>
      </c>
      <c r="G43" s="445" t="s">
        <v>179</v>
      </c>
      <c r="H43" s="445" t="s">
        <v>178</v>
      </c>
      <c r="I43" s="445" t="s">
        <v>179</v>
      </c>
      <c r="J43" s="445" t="s">
        <v>178</v>
      </c>
      <c r="K43" s="445" t="s">
        <v>179</v>
      </c>
      <c r="L43" s="445" t="s">
        <v>178</v>
      </c>
      <c r="M43" s="445" t="s">
        <v>179</v>
      </c>
    </row>
    <row r="44" spans="1:13" s="6" customFormat="1" ht="15" thickBot="1" x14ac:dyDescent="0.35">
      <c r="A44" s="443" t="str">
        <f>'Traffic Projection'!B8</f>
        <v>00:00</v>
      </c>
      <c r="B44" s="444">
        <f>'Traffic Projection'!C8</f>
        <v>428.83599811104375</v>
      </c>
      <c r="C44" s="444">
        <f>'Traffic Projection'!D8</f>
        <v>519.10064076185984</v>
      </c>
      <c r="D44" s="444">
        <f>'Traffic Projection'!E8</f>
        <v>661.40997099102754</v>
      </c>
      <c r="E44" s="444">
        <f>'Traffic Projection'!F8</f>
        <v>801.48139439186434</v>
      </c>
      <c r="F44" s="444">
        <f>'Traffic Projection'!G8</f>
        <v>345.75457059974372</v>
      </c>
      <c r="G44" s="444">
        <f>'Traffic Projection'!H8</f>
        <v>423.7243548292281</v>
      </c>
      <c r="H44" s="444">
        <f>'Traffic Projection'!I8</f>
        <v>514.29062942724147</v>
      </c>
      <c r="I44" s="444">
        <f>'Traffic Projection'!J8</f>
        <v>630.22367879607316</v>
      </c>
      <c r="J44" s="444">
        <f>'Traffic Projection'!K8</f>
        <v>298.38696620117378</v>
      </c>
      <c r="K44" s="444">
        <f>'Traffic Projection'!L8</f>
        <v>367.38492739991773</v>
      </c>
      <c r="L44" s="444">
        <f>'Traffic Projection'!M8</f>
        <v>438.07798691223093</v>
      </c>
      <c r="M44" s="444">
        <f>'Traffic Projection'!N8</f>
        <v>539.34983246134857</v>
      </c>
    </row>
    <row r="45" spans="1:13" s="6" customFormat="1" ht="15" thickBot="1" x14ac:dyDescent="0.35">
      <c r="A45" s="443" t="str">
        <f>'Traffic Projection'!B9</f>
        <v>01:00</v>
      </c>
      <c r="B45" s="444">
        <f>'Traffic Projection'!C9</f>
        <v>230.91169129056198</v>
      </c>
      <c r="C45" s="444">
        <f>'Traffic Projection'!D9</f>
        <v>291.26594556463459</v>
      </c>
      <c r="D45" s="444">
        <f>'Traffic Projection'!E9</f>
        <v>356.14383053363014</v>
      </c>
      <c r="E45" s="444">
        <f>'Traffic Projection'!F9</f>
        <v>449.70901181588397</v>
      </c>
      <c r="F45" s="444">
        <f>'Traffic Projection'!G9</f>
        <v>186.17553801524659</v>
      </c>
      <c r="G45" s="444">
        <f>'Traffic Projection'!H9</f>
        <v>237.75057315854448</v>
      </c>
      <c r="H45" s="444">
        <f>'Traffic Projection'!I9</f>
        <v>276.9257235377454</v>
      </c>
      <c r="I45" s="444">
        <f>'Traffic Projection'!J9</f>
        <v>353.61677737934286</v>
      </c>
      <c r="J45" s="444">
        <f>'Traffic Projection'!K9</f>
        <v>160.66990487755513</v>
      </c>
      <c r="K45" s="444">
        <f>'Traffic Projection'!L9</f>
        <v>206.13867497501619</v>
      </c>
      <c r="L45" s="444">
        <f>'Traffic Projection'!M9</f>
        <v>235.88814679889359</v>
      </c>
      <c r="M45" s="444">
        <f>'Traffic Projection'!N9</f>
        <v>302.62771148080657</v>
      </c>
    </row>
    <row r="46" spans="1:13" s="6" customFormat="1" ht="15" thickBot="1" x14ac:dyDescent="0.35">
      <c r="A46" s="443" t="str">
        <f>'Traffic Projection'!B10</f>
        <v>02:00</v>
      </c>
      <c r="B46" s="444">
        <f>'Traffic Projection'!C10</f>
        <v>94.463873709775356</v>
      </c>
      <c r="C46" s="444">
        <f>'Traffic Projection'!D10</f>
        <v>47.897066603962124</v>
      </c>
      <c r="D46" s="444">
        <f>'Traffic Projection'!E10</f>
        <v>145.69520340012141</v>
      </c>
      <c r="E46" s="444">
        <f>'Traffic Projection'!F10</f>
        <v>73.952148609723125</v>
      </c>
      <c r="F46" s="444">
        <f>'Traffic Projection'!G10</f>
        <v>76.162720097146334</v>
      </c>
      <c r="G46" s="444">
        <f>'Traffic Projection'!H10</f>
        <v>39.096760919405085</v>
      </c>
      <c r="H46" s="444">
        <f>'Traffic Projection'!I10</f>
        <v>113.28779599271404</v>
      </c>
      <c r="I46" s="444">
        <f>'Traffic Projection'!J10</f>
        <v>58.150314502380816</v>
      </c>
      <c r="J46" s="444">
        <f>'Traffic Projection'!K10</f>
        <v>65.728597449908918</v>
      </c>
      <c r="K46" s="444">
        <f>'Traffic Projection'!L10</f>
        <v>33.89835988478044</v>
      </c>
      <c r="L46" s="444">
        <f>'Traffic Projection'!M10</f>
        <v>96.499696417729197</v>
      </c>
      <c r="M46" s="444">
        <f>'Traffic Projection'!N10</f>
        <v>49.765445887954854</v>
      </c>
    </row>
    <row r="47" spans="1:13" s="6" customFormat="1" ht="15" thickBot="1" x14ac:dyDescent="0.35">
      <c r="A47" s="443" t="str">
        <f>'Traffic Projection'!B11</f>
        <v>03:00</v>
      </c>
      <c r="B47" s="444">
        <f>'Traffic Projection'!C11</f>
        <v>88.466167442488057</v>
      </c>
      <c r="C47" s="444">
        <f>'Traffic Projection'!D11</f>
        <v>71.198342249132907</v>
      </c>
      <c r="D47" s="444">
        <f>'Traffic Projection'!E11</f>
        <v>136.44471429535184</v>
      </c>
      <c r="E47" s="444">
        <f>'Traffic Projection'!F11</f>
        <v>109.92886955499385</v>
      </c>
      <c r="F47" s="444">
        <f>'Traffic Projection'!G11</f>
        <v>71.32699183701007</v>
      </c>
      <c r="G47" s="444">
        <f>'Traffic Projection'!H11</f>
        <v>58.116806772088651</v>
      </c>
      <c r="H47" s="444">
        <f>'Traffic Projection'!I11</f>
        <v>106.09492005666871</v>
      </c>
      <c r="I47" s="444">
        <f>'Traffic Projection'!J11</f>
        <v>86.439656692728263</v>
      </c>
      <c r="J47" s="444">
        <f>'Traffic Projection'!K11</f>
        <v>61.555353167375031</v>
      </c>
      <c r="K47" s="444">
        <f>'Traffic Projection'!L11</f>
        <v>50.389453882781737</v>
      </c>
      <c r="L47" s="444">
        <f>'Traffic Projection'!M11</f>
        <v>90.372731565809886</v>
      </c>
      <c r="M47" s="444">
        <f>'Traffic Projection'!N11</f>
        <v>73.975662806419393</v>
      </c>
    </row>
    <row r="48" spans="1:13" s="6" customFormat="1" ht="15" thickBot="1" x14ac:dyDescent="0.35">
      <c r="A48" s="443" t="str">
        <f>'Traffic Projection'!B12</f>
        <v>04:00</v>
      </c>
      <c r="B48" s="444">
        <f>'Traffic Projection'!C12</f>
        <v>89.965594009309882</v>
      </c>
      <c r="C48" s="444">
        <f>'Traffic Projection'!D12</f>
        <v>142.39668449826578</v>
      </c>
      <c r="D48" s="444">
        <f>'Traffic Projection'!E12</f>
        <v>138.75733657154422</v>
      </c>
      <c r="E48" s="444">
        <f>'Traffic Projection'!F12</f>
        <v>219.85773910998768</v>
      </c>
      <c r="F48" s="444">
        <f>'Traffic Projection'!G12</f>
        <v>72.535923902044132</v>
      </c>
      <c r="G48" s="444">
        <f>'Traffic Projection'!H12</f>
        <v>116.2336135441773</v>
      </c>
      <c r="H48" s="444">
        <f>'Traffic Projection'!I12</f>
        <v>107.89313904068004</v>
      </c>
      <c r="I48" s="444">
        <f>'Traffic Projection'!J12</f>
        <v>172.8793133854565</v>
      </c>
      <c r="J48" s="444">
        <f>'Traffic Projection'!K12</f>
        <v>62.598664238008496</v>
      </c>
      <c r="K48" s="444">
        <f>'Traffic Projection'!L12</f>
        <v>100.77890776556346</v>
      </c>
      <c r="L48" s="444">
        <f>'Traffic Projection'!M12</f>
        <v>91.904472778789724</v>
      </c>
      <c r="M48" s="444">
        <f>'Traffic Projection'!N12</f>
        <v>147.95132561283876</v>
      </c>
    </row>
    <row r="49" spans="1:13" s="6" customFormat="1" ht="15" thickBot="1" x14ac:dyDescent="0.35">
      <c r="A49" s="443" t="str">
        <f>'Traffic Projection'!B13</f>
        <v>05:00</v>
      </c>
      <c r="B49" s="444">
        <f>'Traffic Projection'!C13</f>
        <v>128.9506847466775</v>
      </c>
      <c r="C49" s="444">
        <f>'Traffic Projection'!D13</f>
        <v>424.60102286755614</v>
      </c>
      <c r="D49" s="444">
        <f>'Traffic Projection'!E13</f>
        <v>198.88551575254672</v>
      </c>
      <c r="E49" s="444">
        <f>'Traffic Projection'!F13</f>
        <v>655.57580389159966</v>
      </c>
      <c r="F49" s="444">
        <f>'Traffic Projection'!G13</f>
        <v>103.96815759292991</v>
      </c>
      <c r="G49" s="444">
        <f>'Traffic Projection'!H13</f>
        <v>346.58750220445592</v>
      </c>
      <c r="H49" s="444">
        <f>'Traffic Projection'!I13</f>
        <v>154.64683262497471</v>
      </c>
      <c r="I49" s="444">
        <f>'Traffic Projection'!J13</f>
        <v>515.49467991299753</v>
      </c>
      <c r="J49" s="444">
        <f>'Traffic Projection'!K13</f>
        <v>89.724752074478843</v>
      </c>
      <c r="K49" s="444">
        <f>'Traffic Projection'!L13</f>
        <v>300.50437951913466</v>
      </c>
      <c r="L49" s="444">
        <f>'Traffic Projection'!M13</f>
        <v>131.72974431626525</v>
      </c>
      <c r="M49" s="444">
        <f>'Traffic Projection'!N13</f>
        <v>441.16395273646464</v>
      </c>
    </row>
    <row r="50" spans="1:13" s="6" customFormat="1" ht="15" thickBot="1" x14ac:dyDescent="0.35">
      <c r="A50" s="443" t="str">
        <f>'Traffic Projection'!B14</f>
        <v>06:00</v>
      </c>
      <c r="B50" s="444">
        <f>'Traffic Projection'!C14</f>
        <v>632.75801119881282</v>
      </c>
      <c r="C50" s="444">
        <f>'Traffic Projection'!D14</f>
        <v>1299.6933748750807</v>
      </c>
      <c r="D50" s="444">
        <f>'Traffic Projection'!E14</f>
        <v>975.92660055319459</v>
      </c>
      <c r="E50" s="444">
        <f>'Traffic Projection'!F14</f>
        <v>2006.7015460584332</v>
      </c>
      <c r="F50" s="444">
        <f>'Traffic Projection'!G14</f>
        <v>510.16933144437712</v>
      </c>
      <c r="G50" s="444">
        <f>'Traffic Projection'!H14</f>
        <v>1060.8958908941274</v>
      </c>
      <c r="H50" s="444">
        <f>'Traffic Projection'!I14</f>
        <v>758.84841125278308</v>
      </c>
      <c r="I50" s="444">
        <f>'Traffic Projection'!J14</f>
        <v>1577.9166421727123</v>
      </c>
      <c r="J50" s="444">
        <f>'Traffic Projection'!K14</f>
        <v>440.27727180732649</v>
      </c>
      <c r="K50" s="444">
        <f>'Traffic Projection'!L14</f>
        <v>919.83657633296127</v>
      </c>
      <c r="L50" s="444">
        <f>'Traffic Projection'!M14</f>
        <v>646.39479187748771</v>
      </c>
      <c r="M50" s="444">
        <f>'Traffic Projection'!N14</f>
        <v>1350.3920992299104</v>
      </c>
    </row>
    <row r="51" spans="1:13" s="6" customFormat="1" ht="15" thickBot="1" x14ac:dyDescent="0.35">
      <c r="A51" s="443" t="str">
        <f>'Traffic Projection'!B15</f>
        <v>07:00</v>
      </c>
      <c r="B51" s="444">
        <f>'Traffic Projection'!C15</f>
        <v>1219.0337988261488</v>
      </c>
      <c r="C51" s="444">
        <f>'Traffic Projection'!D15</f>
        <v>2579.9690200458517</v>
      </c>
      <c r="D51" s="444">
        <f>'Traffic Projection'!E15</f>
        <v>1880.1619105444242</v>
      </c>
      <c r="E51" s="444">
        <f>'Traffic Projection'!F15</f>
        <v>3983.42249132914</v>
      </c>
      <c r="F51" s="444">
        <f>'Traffic Projection'!G15</f>
        <v>982.86176887269801</v>
      </c>
      <c r="G51" s="444">
        <f>'Traffic Projection'!H15</f>
        <v>2105.9417435776845</v>
      </c>
      <c r="H51" s="444">
        <f>'Traffic Projection'!I15</f>
        <v>1461.9520340012143</v>
      </c>
      <c r="I51" s="444">
        <f>'Traffic Projection'!J15</f>
        <v>3132.2588325201336</v>
      </c>
      <c r="J51" s="444">
        <f>'Traffic Projection'!K15</f>
        <v>848.21190042501519</v>
      </c>
      <c r="K51" s="444">
        <f>'Traffic Projection'!L15</f>
        <v>1825.9305743342541</v>
      </c>
      <c r="L51" s="444">
        <f>'Traffic Projection'!M15</f>
        <v>1245.3056061526006</v>
      </c>
      <c r="M51" s="444">
        <f>'Traffic Projection'!N15</f>
        <v>2680.6090176944326</v>
      </c>
    </row>
    <row r="52" spans="1:13" s="6" customFormat="1" ht="15" thickBot="1" x14ac:dyDescent="0.35">
      <c r="A52" s="443" t="str">
        <f>'Traffic Projection'!B16</f>
        <v>08:00</v>
      </c>
      <c r="B52" s="444">
        <f>'Traffic Projection'!C16</f>
        <v>1592</v>
      </c>
      <c r="C52" s="444">
        <f>'Traffic Projection'!D16</f>
        <v>3227</v>
      </c>
      <c r="D52" s="444">
        <f>'Traffic Projection'!E16</f>
        <v>2730</v>
      </c>
      <c r="E52" s="444">
        <f>'Traffic Projection'!F16</f>
        <v>5095</v>
      </c>
      <c r="F52" s="444">
        <f>'Traffic Projection'!G16</f>
        <v>1070</v>
      </c>
      <c r="G52" s="444">
        <f>'Traffic Projection'!H16</f>
        <v>3035</v>
      </c>
      <c r="H52" s="444">
        <f>'Traffic Projection'!I16</f>
        <v>1730</v>
      </c>
      <c r="I52" s="444">
        <f>'Traffic Projection'!J16</f>
        <v>4575</v>
      </c>
      <c r="J52" s="444">
        <f>'Traffic Projection'!K16</f>
        <v>935</v>
      </c>
      <c r="K52" s="444">
        <f>'Traffic Projection'!L16</f>
        <v>2410</v>
      </c>
      <c r="L52" s="444">
        <f>'Traffic Projection'!M16</f>
        <v>1510</v>
      </c>
      <c r="M52" s="444">
        <f>'Traffic Projection'!N16</f>
        <v>3565</v>
      </c>
    </row>
    <row r="53" spans="1:13" s="6" customFormat="1" ht="15" thickBot="1" x14ac:dyDescent="0.35">
      <c r="A53" s="443" t="str">
        <f>'Traffic Projection'!B17</f>
        <v>09:00</v>
      </c>
      <c r="B53" s="444">
        <f>'Traffic Projection'!C17</f>
        <v>1060.0945827430346</v>
      </c>
      <c r="C53" s="444">
        <f>'Traffic Projection'!D17</f>
        <v>1667.3357239433305</v>
      </c>
      <c r="D53" s="444">
        <f>'Traffic Projection'!E17</f>
        <v>1635.0239492680296</v>
      </c>
      <c r="E53" s="444">
        <f>'Traffic Projection'!F17</f>
        <v>2574.334254306038</v>
      </c>
      <c r="F53" s="444">
        <f>'Traffic Projection'!G17</f>
        <v>854.71496997908673</v>
      </c>
      <c r="G53" s="444">
        <f>'Traffic Projection'!H17</f>
        <v>1360.9899476809126</v>
      </c>
      <c r="H53" s="444">
        <f>'Traffic Projection'!I17</f>
        <v>1271.3408216960131</v>
      </c>
      <c r="I53" s="444">
        <f>'Traffic Projection'!J17</f>
        <v>2024.2595967315269</v>
      </c>
      <c r="J53" s="444">
        <f>'Traffic Projection'!K17</f>
        <v>737.62092693786678</v>
      </c>
      <c r="K53" s="444">
        <f>'Traffic Projection'!L17</f>
        <v>1180.0293927458706</v>
      </c>
      <c r="L53" s="444">
        <f>'Traffic Projection'!M17</f>
        <v>1082.9410375767388</v>
      </c>
      <c r="M53" s="444">
        <f>'Traffic Projection'!N17</f>
        <v>1732.3755217212395</v>
      </c>
    </row>
    <row r="54" spans="1:13" s="6" customFormat="1" ht="15" thickBot="1" x14ac:dyDescent="0.35">
      <c r="A54" s="443" t="str">
        <f>'Traffic Projection'!B18</f>
        <v>10:00</v>
      </c>
      <c r="B54" s="444">
        <f>'Traffic Projection'!C18</f>
        <v>1001.6169466369831</v>
      </c>
      <c r="C54" s="444">
        <f>'Traffic Projection'!D18</f>
        <v>1277.6866145435304</v>
      </c>
      <c r="D54" s="444">
        <f>'Traffic Projection'!E18</f>
        <v>1544.8316804965257</v>
      </c>
      <c r="E54" s="444">
        <f>'Traffic Projection'!F18</f>
        <v>1972.7235318323442</v>
      </c>
      <c r="F54" s="444">
        <f>'Traffic Projection'!G18</f>
        <v>807.56661944275788</v>
      </c>
      <c r="G54" s="444">
        <f>'Traffic Projection'!H18</f>
        <v>1042.9325142554819</v>
      </c>
      <c r="H54" s="444">
        <f>'Traffic Projection'!I18</f>
        <v>1201.2102813195709</v>
      </c>
      <c r="I54" s="444">
        <f>'Traffic Projection'!J18</f>
        <v>1551.1989301040508</v>
      </c>
      <c r="J54" s="444">
        <f>'Traffic Projection'!K18</f>
        <v>696.93179518316128</v>
      </c>
      <c r="K54" s="444">
        <f>'Traffic Projection'!L18</f>
        <v>904.26165422373765</v>
      </c>
      <c r="L54" s="444">
        <f>'Traffic Projection'!M18</f>
        <v>1023.2031302705253</v>
      </c>
      <c r="M54" s="444">
        <f>'Traffic Projection'!N18</f>
        <v>1327.5268943624715</v>
      </c>
    </row>
    <row r="55" spans="1:13" s="6" customFormat="1" ht="15" thickBot="1" x14ac:dyDescent="0.35">
      <c r="A55" s="443" t="str">
        <f>'Traffic Projection'!B19</f>
        <v>11:00</v>
      </c>
      <c r="B55" s="444">
        <f>'Traffic Projection'!C19</f>
        <v>1036.1037576738854</v>
      </c>
      <c r="C55" s="444">
        <f>'Traffic Projection'!D19</f>
        <v>1368.302686496972</v>
      </c>
      <c r="D55" s="444">
        <f>'Traffic Projection'!E19</f>
        <v>1598.021992848951</v>
      </c>
      <c r="E55" s="444">
        <f>'Traffic Projection'!F19</f>
        <v>2112.6330021750632</v>
      </c>
      <c r="F55" s="444">
        <f>'Traffic Projection'!G19</f>
        <v>835.3720569385415</v>
      </c>
      <c r="G55" s="444">
        <f>'Traffic Projection'!H19</f>
        <v>1116.8993592381401</v>
      </c>
      <c r="H55" s="444">
        <f>'Traffic Projection'!I19</f>
        <v>1242.5693179518316</v>
      </c>
      <c r="I55" s="444">
        <f>'Traffic Projection'!J19</f>
        <v>1661.2130386220681</v>
      </c>
      <c r="J55" s="444">
        <f>'Traffic Projection'!K19</f>
        <v>720.92794980773112</v>
      </c>
      <c r="K55" s="444">
        <f>'Traffic Projection'!L19</f>
        <v>968.39368643818693</v>
      </c>
      <c r="L55" s="444">
        <f>'Traffic Projection'!M19</f>
        <v>1058.4331781690614</v>
      </c>
      <c r="M55" s="444">
        <f>'Traffic Projection'!N19</f>
        <v>1421.6777379342777</v>
      </c>
    </row>
    <row r="56" spans="1:13" s="6" customFormat="1" ht="15" thickBot="1" x14ac:dyDescent="0.35">
      <c r="A56" s="443" t="str">
        <f>'Traffic Projection'!B20</f>
        <v>12:00</v>
      </c>
      <c r="B56" s="444">
        <f>'Traffic Projection'!C20</f>
        <v>1244.5240504621197</v>
      </c>
      <c r="C56" s="444">
        <f>'Traffic Projection'!D20</f>
        <v>1506.8158250543763</v>
      </c>
      <c r="D56" s="444">
        <f>'Traffic Projection'!E20</f>
        <v>1919.4764892396952</v>
      </c>
      <c r="E56" s="444">
        <f>'Traffic Projection'!F20</f>
        <v>2326.4946211275064</v>
      </c>
      <c r="F56" s="444">
        <f>'Traffic Projection'!G20</f>
        <v>1003.4136139782771</v>
      </c>
      <c r="G56" s="444">
        <f>'Traffic Projection'!H20</f>
        <v>1229.9629651402036</v>
      </c>
      <c r="H56" s="444">
        <f>'Traffic Projection'!I20</f>
        <v>1492.5217567294071</v>
      </c>
      <c r="I56" s="444">
        <f>'Traffic Projection'!J20</f>
        <v>1829.3774616424671</v>
      </c>
      <c r="J56" s="444">
        <f>'Traffic Projection'!K20</f>
        <v>865.94818862578416</v>
      </c>
      <c r="K56" s="444">
        <f>'Traffic Projection'!L20</f>
        <v>1066.424078537417</v>
      </c>
      <c r="L56" s="444">
        <f>'Traffic Projection'!M20</f>
        <v>1271.3452067732576</v>
      </c>
      <c r="M56" s="444">
        <f>'Traffic Projection'!N20</f>
        <v>1565.5940273940396</v>
      </c>
    </row>
    <row r="57" spans="1:13" s="6" customFormat="1" ht="15" thickBot="1" x14ac:dyDescent="0.35">
      <c r="A57" s="443" t="str">
        <f>'Traffic Projection'!B21</f>
        <v>13:00</v>
      </c>
      <c r="B57" s="444">
        <f>'Traffic Projection'!C21</f>
        <v>1323.9936585036767</v>
      </c>
      <c r="C57" s="444">
        <f>'Traffic Projection'!D21</f>
        <v>1183.1869966492266</v>
      </c>
      <c r="D57" s="444">
        <f>'Traffic Projection'!E21</f>
        <v>2042.0454698778924</v>
      </c>
      <c r="E57" s="444">
        <f>'Traffic Projection'!F21</f>
        <v>1826.8179413320793</v>
      </c>
      <c r="F57" s="444">
        <f>'Traffic Projection'!G21</f>
        <v>1067.4870134250828</v>
      </c>
      <c r="G57" s="444">
        <f>'Traffic Projection'!H21</f>
        <v>965.79566163070933</v>
      </c>
      <c r="H57" s="444">
        <f>'Traffic Projection'!I21</f>
        <v>1587.8273628820075</v>
      </c>
      <c r="I57" s="444">
        <f>'Traffic Projection'!J21</f>
        <v>1436.4699312209746</v>
      </c>
      <c r="J57" s="444">
        <f>'Traffic Projection'!K21</f>
        <v>921.24367536935824</v>
      </c>
      <c r="K57" s="444">
        <f>'Traffic Projection'!L21</f>
        <v>837.38110634295447</v>
      </c>
      <c r="L57" s="444">
        <f>'Traffic Projection'!M21</f>
        <v>1352.5274910611884</v>
      </c>
      <c r="M57" s="444">
        <f>'Traffic Projection'!N21</f>
        <v>1229.3410146375873</v>
      </c>
    </row>
    <row r="58" spans="1:13" s="6" customFormat="1" ht="15" thickBot="1" x14ac:dyDescent="0.35">
      <c r="A58" s="443" t="str">
        <f>'Traffic Projection'!B22</f>
        <v>14:00</v>
      </c>
      <c r="B58" s="444">
        <f>'Traffic Projection'!C22</f>
        <v>1458.9420495176414</v>
      </c>
      <c r="C58" s="444">
        <f>'Traffic Projection'!D22</f>
        <v>1209.0773029216384</v>
      </c>
      <c r="D58" s="444">
        <f>'Traffic Projection'!E22</f>
        <v>2250.1814747352082</v>
      </c>
      <c r="E58" s="444">
        <f>'Traffic Projection'!F22</f>
        <v>1866.7920757157135</v>
      </c>
      <c r="F58" s="444">
        <f>'Traffic Projection'!G22</f>
        <v>1176.2908992781488</v>
      </c>
      <c r="G58" s="444">
        <f>'Traffic Projection'!H22</f>
        <v>986.92904591146885</v>
      </c>
      <c r="H58" s="444">
        <f>'Traffic Projection'!I22</f>
        <v>1749.6670714430275</v>
      </c>
      <c r="I58" s="444">
        <f>'Traffic Projection'!J22</f>
        <v>1467.902533654694</v>
      </c>
      <c r="J58" s="444">
        <f>'Traffic Projection'!K22</f>
        <v>1015.1416717263709</v>
      </c>
      <c r="K58" s="444">
        <f>'Traffic Projection'!L22</f>
        <v>855.70454411851142</v>
      </c>
      <c r="L58" s="444">
        <f>'Traffic Projection'!M22</f>
        <v>1490.3842002293727</v>
      </c>
      <c r="M58" s="444">
        <f>'Traffic Projection'!N22</f>
        <v>1256.2412556581032</v>
      </c>
    </row>
    <row r="59" spans="1:13" s="6" customFormat="1" ht="15" thickBot="1" x14ac:dyDescent="0.35">
      <c r="A59" s="443" t="str">
        <f>'Traffic Projection'!B23</f>
        <v>15:00</v>
      </c>
      <c r="B59" s="444">
        <f>'Traffic Projection'!C23</f>
        <v>2066.2098090804834</v>
      </c>
      <c r="C59" s="444">
        <f>'Traffic Projection'!D23</f>
        <v>1688.04796896126</v>
      </c>
      <c r="D59" s="444">
        <f>'Traffic Projection'!E23</f>
        <v>3186.7934965931322</v>
      </c>
      <c r="E59" s="444">
        <f>'Traffic Projection'!F23</f>
        <v>2606.313561812945</v>
      </c>
      <c r="F59" s="444">
        <f>'Traffic Projection'!G23</f>
        <v>1665.9083856169468</v>
      </c>
      <c r="G59" s="444">
        <f>'Traffic Projection'!H23</f>
        <v>1377.89665510552</v>
      </c>
      <c r="H59" s="444">
        <f>'Traffic Projection'!I23</f>
        <v>2477.9457599676184</v>
      </c>
      <c r="I59" s="444">
        <f>'Traffic Projection'!J23</f>
        <v>2049.4056786785022</v>
      </c>
      <c r="J59" s="444">
        <f>'Traffic Projection'!K23</f>
        <v>1437.6826553329286</v>
      </c>
      <c r="K59" s="444">
        <f>'Traffic Projection'!L23</f>
        <v>1194.6881429663158</v>
      </c>
      <c r="L59" s="444">
        <f>'Traffic Projection'!M23</f>
        <v>2110.7393914862037</v>
      </c>
      <c r="M59" s="444">
        <f>'Traffic Projection'!N23</f>
        <v>1753.8957145376521</v>
      </c>
    </row>
    <row r="60" spans="1:13" s="6" customFormat="1" ht="15" thickBot="1" x14ac:dyDescent="0.35">
      <c r="A60" s="443" t="str">
        <f>'Traffic Projection'!B24</f>
        <v>16:00</v>
      </c>
      <c r="B60" s="444">
        <f>'Traffic Projection'!C24</f>
        <v>3222</v>
      </c>
      <c r="C60" s="444">
        <f>'Traffic Projection'!D24</f>
        <v>1792</v>
      </c>
      <c r="D60" s="444">
        <f>'Traffic Projection'!E24</f>
        <v>5280</v>
      </c>
      <c r="E60" s="444">
        <f>'Traffic Projection'!F24</f>
        <v>3195</v>
      </c>
      <c r="F60" s="444">
        <f>'Traffic Projection'!G24</f>
        <v>3140</v>
      </c>
      <c r="G60" s="444">
        <f>'Traffic Projection'!H24</f>
        <v>1120</v>
      </c>
      <c r="H60" s="444">
        <f>'Traffic Projection'!I24</f>
        <v>4935</v>
      </c>
      <c r="I60" s="444">
        <f>'Traffic Projection'!J24</f>
        <v>2010</v>
      </c>
      <c r="J60" s="444">
        <f>'Traffic Projection'!K24</f>
        <v>2580</v>
      </c>
      <c r="K60" s="444">
        <f>'Traffic Projection'!L24</f>
        <v>985</v>
      </c>
      <c r="L60" s="444">
        <f>'Traffic Projection'!M24</f>
        <v>4025</v>
      </c>
      <c r="M60" s="444">
        <f>'Traffic Projection'!N24</f>
        <v>1795</v>
      </c>
    </row>
    <row r="61" spans="1:13" s="6" customFormat="1" ht="15" thickBot="1" x14ac:dyDescent="0.35">
      <c r="A61" s="443" t="str">
        <f>'Traffic Projection'!B25</f>
        <v>17:00</v>
      </c>
      <c r="B61" s="444">
        <f>'Traffic Projection'!C25</f>
        <v>2917.8840990352828</v>
      </c>
      <c r="C61" s="444">
        <f>'Traffic Projection'!D25</f>
        <v>1934.0058785491735</v>
      </c>
      <c r="D61" s="444">
        <f>'Traffic Projection'!E25</f>
        <v>4500.3629494704173</v>
      </c>
      <c r="E61" s="444">
        <f>'Traffic Projection'!F25</f>
        <v>2986.067838457469</v>
      </c>
      <c r="F61" s="444">
        <f>'Traffic Projection'!G25</f>
        <v>2352.5817985562976</v>
      </c>
      <c r="G61" s="444">
        <f>'Traffic Projection'!H25</f>
        <v>1578.663805772735</v>
      </c>
      <c r="H61" s="444">
        <f>'Traffic Projection'!I25</f>
        <v>3499.3341428860554</v>
      </c>
      <c r="I61" s="444">
        <f>'Traffic Projection'!J25</f>
        <v>2348.0154017988361</v>
      </c>
      <c r="J61" s="444">
        <f>'Traffic Projection'!K25</f>
        <v>2030.283343452742</v>
      </c>
      <c r="K61" s="444">
        <f>'Traffic Projection'!L25</f>
        <v>1368.7608018341075</v>
      </c>
      <c r="L61" s="444">
        <f>'Traffic Projection'!M25</f>
        <v>2980.7684004587459</v>
      </c>
      <c r="M61" s="444">
        <f>'Traffic Projection'!N25</f>
        <v>2009.4480042325554</v>
      </c>
    </row>
    <row r="62" spans="1:13" s="6" customFormat="1" ht="15" thickBot="1" x14ac:dyDescent="0.35">
      <c r="A62" s="443" t="str">
        <f>'Traffic Projection'!B26</f>
        <v>18:00</v>
      </c>
      <c r="B62" s="444">
        <f>'Traffic Projection'!C26</f>
        <v>2465.0572758550902</v>
      </c>
      <c r="C62" s="444">
        <f>'Traffic Projection'!D26</f>
        <v>1526.2335547586849</v>
      </c>
      <c r="D62" s="444">
        <f>'Traffic Projection'!E26</f>
        <v>3801.9510220603111</v>
      </c>
      <c r="E62" s="444">
        <f>'Traffic Projection'!F26</f>
        <v>2356.4752219152315</v>
      </c>
      <c r="F62" s="444">
        <f>'Traffic Projection'!G26</f>
        <v>1987.484314916009</v>
      </c>
      <c r="G62" s="444">
        <f>'Traffic Projection'!H26</f>
        <v>1245.8130033507728</v>
      </c>
      <c r="H62" s="444">
        <f>'Traffic Projection'!I26</f>
        <v>2956.2720097146325</v>
      </c>
      <c r="I62" s="444">
        <f>'Traffic Projection'!J26</f>
        <v>1852.951913467756</v>
      </c>
      <c r="J62" s="444">
        <f>'Traffic Projection'!K26</f>
        <v>1715.2034001214327</v>
      </c>
      <c r="K62" s="444">
        <f>'Traffic Projection'!L26</f>
        <v>1080.1666568690846</v>
      </c>
      <c r="L62" s="444">
        <f>'Traffic Projection'!M26</f>
        <v>2518.182554138838</v>
      </c>
      <c r="M62" s="444">
        <f>'Traffic Projection'!N26</f>
        <v>1585.7692081594259</v>
      </c>
    </row>
    <row r="63" spans="1:13" s="6" customFormat="1" ht="15" thickBot="1" x14ac:dyDescent="0.35">
      <c r="A63" s="443" t="str">
        <f>'Traffic Projection'!B27</f>
        <v>19:00</v>
      </c>
      <c r="B63" s="444">
        <f>'Traffic Projection'!C27</f>
        <v>1457.4426229508199</v>
      </c>
      <c r="C63" s="444">
        <f>'Traffic Projection'!D27</f>
        <v>1099.0435012638877</v>
      </c>
      <c r="D63" s="444">
        <f>'Traffic Projection'!E27</f>
        <v>2247.8688524590161</v>
      </c>
      <c r="E63" s="444">
        <f>'Traffic Projection'!F27</f>
        <v>1696.9020045852685</v>
      </c>
      <c r="F63" s="444">
        <f>'Traffic Projection'!G27</f>
        <v>1175.0819672131147</v>
      </c>
      <c r="G63" s="444">
        <f>'Traffic Projection'!H27</f>
        <v>897.11216271824105</v>
      </c>
      <c r="H63" s="444">
        <f>'Traffic Projection'!I27</f>
        <v>1747.8688524590164</v>
      </c>
      <c r="I63" s="444">
        <f>'Traffic Projection'!J27</f>
        <v>1334.3139733113867</v>
      </c>
      <c r="J63" s="444">
        <f>'Traffic Projection'!K27</f>
        <v>1014.0983606557375</v>
      </c>
      <c r="K63" s="444">
        <f>'Traffic Projection'!L27</f>
        <v>777.82993357239434</v>
      </c>
      <c r="L63" s="444">
        <f>'Traffic Projection'!M27</f>
        <v>1488.8524590163931</v>
      </c>
      <c r="M63" s="444">
        <f>'Traffic Projection'!N27</f>
        <v>1141.9152313209099</v>
      </c>
    </row>
    <row r="64" spans="1:13" s="6" customFormat="1" ht="15" thickBot="1" x14ac:dyDescent="0.35">
      <c r="A64" s="443" t="str">
        <f>'Traffic Projection'!B28</f>
        <v>20:00</v>
      </c>
      <c r="B64" s="444">
        <f>'Traffic Projection'!C28</f>
        <v>1120.0716454159081</v>
      </c>
      <c r="C64" s="444">
        <f>'Traffic Projection'!D28</f>
        <v>758.58597378167053</v>
      </c>
      <c r="D64" s="444">
        <f>'Traffic Projection'!E28</f>
        <v>1727.5288403157256</v>
      </c>
      <c r="E64" s="444">
        <f>'Traffic Projection'!F28</f>
        <v>1171.2421374404801</v>
      </c>
      <c r="F64" s="444">
        <f>'Traffic Projection'!G28</f>
        <v>903.07225258044957</v>
      </c>
      <c r="G64" s="444">
        <f>'Traffic Projection'!H28</f>
        <v>619.2081594262537</v>
      </c>
      <c r="H64" s="444">
        <f>'Traffic Projection'!I28</f>
        <v>1343.2695810564664</v>
      </c>
      <c r="I64" s="444">
        <f>'Traffic Projection'!J28</f>
        <v>920.97525130797737</v>
      </c>
      <c r="J64" s="444">
        <f>'Traffic Projection'!K28</f>
        <v>779.35336976320582</v>
      </c>
      <c r="K64" s="444">
        <f>'Traffic Projection'!L28</f>
        <v>536.87672682381992</v>
      </c>
      <c r="L64" s="444">
        <f>'Traffic Projection'!M28</f>
        <v>1144.210686095932</v>
      </c>
      <c r="M64" s="444">
        <f>'Traffic Projection'!N28</f>
        <v>788.1770619011229</v>
      </c>
    </row>
    <row r="65" spans="1:13" s="6" customFormat="1" ht="15" thickBot="1" x14ac:dyDescent="0.35">
      <c r="A65" s="443" t="str">
        <f>'Traffic Projection'!B29</f>
        <v>21:00</v>
      </c>
      <c r="B65" s="444">
        <f>'Traffic Projection'!C29</f>
        <v>937.14160426364447</v>
      </c>
      <c r="C65" s="444">
        <f>'Traffic Projection'!D29</f>
        <v>631.72347304685195</v>
      </c>
      <c r="D65" s="444">
        <f>'Traffic Projection'!E29</f>
        <v>1445.3889226202523</v>
      </c>
      <c r="E65" s="444">
        <f>'Traffic Projection'!F29</f>
        <v>975.36887896067265</v>
      </c>
      <c r="F65" s="444">
        <f>'Traffic Projection'!G29</f>
        <v>755.58254064629307</v>
      </c>
      <c r="G65" s="444">
        <f>'Traffic Projection'!H29</f>
        <v>515.65457645053198</v>
      </c>
      <c r="H65" s="444">
        <f>'Traffic Projection'!I29</f>
        <v>1123.8868650070835</v>
      </c>
      <c r="I65" s="444">
        <f>'Traffic Projection'!J29</f>
        <v>766.95549938275246</v>
      </c>
      <c r="J65" s="444">
        <f>'Traffic Projection'!K29</f>
        <v>652.06941914592187</v>
      </c>
      <c r="K65" s="444">
        <f>'Traffic Projection'!L29</f>
        <v>447.09188172359069</v>
      </c>
      <c r="L65" s="444">
        <f>'Traffic Projection'!M29</f>
        <v>957.33825811239285</v>
      </c>
      <c r="M65" s="444">
        <f>'Traffic Projection'!N29</f>
        <v>656.36588090059377</v>
      </c>
    </row>
    <row r="66" spans="1:13" s="6" customFormat="1" ht="15" thickBot="1" x14ac:dyDescent="0.35">
      <c r="A66" s="443" t="str">
        <f>'Traffic Projection'!B30</f>
        <v>22:00</v>
      </c>
      <c r="B66" s="444">
        <f>'Traffic Projection'!C30</f>
        <v>694.23450043850789</v>
      </c>
      <c r="C66" s="444">
        <f>'Traffic Projection'!D30</f>
        <v>393.5326553406619</v>
      </c>
      <c r="D66" s="444">
        <f>'Traffic Projection'!E30</f>
        <v>1070.7441138770828</v>
      </c>
      <c r="E66" s="444">
        <f>'Traffic Projection'!F30</f>
        <v>607.60684263123869</v>
      </c>
      <c r="F66" s="444">
        <f>'Traffic Projection'!G30</f>
        <v>559.73554611077384</v>
      </c>
      <c r="G66" s="444">
        <f>'Traffic Projection'!H30</f>
        <v>321.22744106754453</v>
      </c>
      <c r="H66" s="444">
        <f>'Traffic Projection'!I30</f>
        <v>832.57538959724752</v>
      </c>
      <c r="I66" s="444">
        <f>'Traffic Projection'!J30</f>
        <v>477.77555699253429</v>
      </c>
      <c r="J66" s="444">
        <f>'Traffic Projection'!K30</f>
        <v>483.05302570329889</v>
      </c>
      <c r="K66" s="444">
        <f>'Traffic Projection'!L30</f>
        <v>278.51625418846629</v>
      </c>
      <c r="L66" s="444">
        <f>'Traffic Projection'!M30</f>
        <v>709.19618160966058</v>
      </c>
      <c r="M66" s="444">
        <f>'Traffic Projection'!N30</f>
        <v>408.88366351184533</v>
      </c>
    </row>
    <row r="67" spans="1:13" s="6" customFormat="1" ht="15" thickBot="1" x14ac:dyDescent="0.35">
      <c r="A67" s="443" t="str">
        <f>'Traffic Projection'!B31</f>
        <v>23:00</v>
      </c>
      <c r="B67" s="444">
        <f>'Traffic Projection'!C31</f>
        <v>529.29757808810632</v>
      </c>
      <c r="C67" s="444">
        <f>'Traffic Projection'!D31</f>
        <v>401.29974722238546</v>
      </c>
      <c r="D67" s="444">
        <f>'Traffic Projection'!E31</f>
        <v>816.35566349591841</v>
      </c>
      <c r="E67" s="444">
        <f>'Traffic Projection'!F31</f>
        <v>619.59908294632896</v>
      </c>
      <c r="F67" s="444">
        <f>'Traffic Projection'!G31</f>
        <v>426.75301895702626</v>
      </c>
      <c r="G67" s="444">
        <f>'Traffic Projection'!H31</f>
        <v>327.56745635177242</v>
      </c>
      <c r="H67" s="444">
        <f>'Traffic Projection'!I31</f>
        <v>634.77130135600078</v>
      </c>
      <c r="I67" s="444">
        <f>'Traffic Projection'!J31</f>
        <v>487.20533772265014</v>
      </c>
      <c r="J67" s="444">
        <f>'Traffic Projection'!K31</f>
        <v>368.28880793361662</v>
      </c>
      <c r="K67" s="444">
        <f>'Traffic Projection'!L31</f>
        <v>284.01328552113347</v>
      </c>
      <c r="L67" s="444">
        <f>'Traffic Projection'!M31</f>
        <v>540.70464818187941</v>
      </c>
      <c r="M67" s="444">
        <f>'Traffic Projection'!N31</f>
        <v>416.95373581800015</v>
      </c>
    </row>
    <row r="68" spans="1:13" s="6" customFormat="1" ht="15" thickBot="1" x14ac:dyDescent="0.35">
      <c r="A68" s="443" t="str">
        <f>'Traffic Projection'!B32</f>
        <v>TOTAL</v>
      </c>
      <c r="B68" s="446">
        <f>'Traffic Projection'!C32</f>
        <v>27040.000000000004</v>
      </c>
      <c r="C68" s="446">
        <f>'Traffic Projection'!D32</f>
        <v>27040</v>
      </c>
      <c r="D68" s="446">
        <f>'Traffic Projection'!E32</f>
        <v>42289.999999999993</v>
      </c>
      <c r="E68" s="446">
        <f>'Traffic Projection'!F32</f>
        <v>42290</v>
      </c>
      <c r="F68" s="446">
        <f>'Traffic Projection'!G32</f>
        <v>22130</v>
      </c>
      <c r="G68" s="446">
        <f>'Traffic Projection'!H32</f>
        <v>22130</v>
      </c>
      <c r="H68" s="446">
        <f>'Traffic Projection'!I32</f>
        <v>33320.000000000007</v>
      </c>
      <c r="I68" s="446">
        <f>'Traffic Projection'!J32</f>
        <v>33320</v>
      </c>
      <c r="J68" s="446">
        <f>'Traffic Projection'!K32</f>
        <v>18979.999999999996</v>
      </c>
      <c r="K68" s="446">
        <f>'Traffic Projection'!L32</f>
        <v>18980</v>
      </c>
      <c r="L68" s="446">
        <f>'Traffic Projection'!M32</f>
        <v>28239.999999999996</v>
      </c>
      <c r="M68" s="446">
        <f>'Traffic Projection'!N32</f>
        <v>28239.999999999996</v>
      </c>
    </row>
    <row r="69" spans="1:13" s="6" customFormat="1" x14ac:dyDescent="0.3">
      <c r="A69" s="417"/>
      <c r="B69" s="417"/>
      <c r="C69" s="418"/>
      <c r="D69" s="419"/>
      <c r="E69" s="419"/>
    </row>
    <row r="70" spans="1:13" s="6" customFormat="1" ht="15" thickBot="1" x14ac:dyDescent="0.35">
      <c r="A70" s="417" t="s">
        <v>543</v>
      </c>
      <c r="B70" s="417"/>
      <c r="C70" s="418"/>
      <c r="D70" s="419"/>
      <c r="E70" s="419"/>
    </row>
    <row r="71" spans="1:13" s="6" customFormat="1" ht="15" thickBot="1" x14ac:dyDescent="0.35">
      <c r="A71" s="448" t="s">
        <v>544</v>
      </c>
      <c r="B71" s="449" t="s">
        <v>545</v>
      </c>
      <c r="C71" s="450" t="s">
        <v>546</v>
      </c>
      <c r="D71" s="450" t="s">
        <v>547</v>
      </c>
      <c r="E71" s="449" t="s">
        <v>13</v>
      </c>
    </row>
    <row r="72" spans="1:13" s="6" customFormat="1" ht="15" thickBot="1" x14ac:dyDescent="0.35">
      <c r="A72" s="447" t="s">
        <v>548</v>
      </c>
      <c r="B72" s="454">
        <v>368</v>
      </c>
      <c r="C72" s="454">
        <v>338</v>
      </c>
      <c r="D72" s="454">
        <v>168</v>
      </c>
      <c r="E72" s="454">
        <v>874</v>
      </c>
    </row>
    <row r="73" spans="1:13" s="6" customFormat="1" ht="15" thickBot="1" x14ac:dyDescent="0.35">
      <c r="A73" s="447" t="s">
        <v>549</v>
      </c>
      <c r="B73" s="454">
        <v>72</v>
      </c>
      <c r="C73" s="454">
        <v>79</v>
      </c>
      <c r="D73" s="454">
        <v>32</v>
      </c>
      <c r="E73" s="454">
        <v>183</v>
      </c>
    </row>
    <row r="74" spans="1:13" s="6" customFormat="1" ht="15" thickBot="1" x14ac:dyDescent="0.35">
      <c r="A74" s="447" t="s">
        <v>550</v>
      </c>
      <c r="B74" s="454">
        <v>42</v>
      </c>
      <c r="C74" s="454">
        <v>48</v>
      </c>
      <c r="D74" s="454">
        <v>28</v>
      </c>
      <c r="E74" s="454">
        <v>118</v>
      </c>
    </row>
    <row r="75" spans="1:13" s="6" customFormat="1" ht="15" thickBot="1" x14ac:dyDescent="0.35">
      <c r="A75" s="447" t="s">
        <v>551</v>
      </c>
      <c r="B75" s="454">
        <v>27</v>
      </c>
      <c r="C75" s="454">
        <v>8</v>
      </c>
      <c r="D75" s="454">
        <v>13</v>
      </c>
      <c r="E75" s="454">
        <v>48</v>
      </c>
    </row>
    <row r="76" spans="1:13" s="6" customFormat="1" ht="15" thickBot="1" x14ac:dyDescent="0.35">
      <c r="A76" s="447" t="s">
        <v>552</v>
      </c>
      <c r="B76" s="454">
        <v>5</v>
      </c>
      <c r="C76" s="454">
        <v>1</v>
      </c>
      <c r="D76" s="454">
        <v>2</v>
      </c>
      <c r="E76" s="454">
        <v>8</v>
      </c>
    </row>
    <row r="77" spans="1:13" s="6" customFormat="1" ht="15" thickBot="1" x14ac:dyDescent="0.35">
      <c r="A77" s="453" t="s">
        <v>553</v>
      </c>
      <c r="B77" s="451">
        <v>514</v>
      </c>
      <c r="C77" s="451">
        <v>474</v>
      </c>
      <c r="D77" s="451">
        <v>243</v>
      </c>
      <c r="E77" s="452">
        <v>1231</v>
      </c>
    </row>
    <row r="78" spans="1:13" s="6" customFormat="1" x14ac:dyDescent="0.3">
      <c r="A78" s="417"/>
      <c r="B78" s="417"/>
      <c r="C78" s="418"/>
      <c r="D78" s="419"/>
      <c r="E78" s="419"/>
    </row>
    <row r="79" spans="1:13" s="6" customFormat="1" ht="15" thickBot="1" x14ac:dyDescent="0.35">
      <c r="A79" s="417" t="s">
        <v>554</v>
      </c>
      <c r="B79" s="417"/>
      <c r="C79" s="418"/>
      <c r="D79" s="419"/>
      <c r="E79" s="419"/>
    </row>
    <row r="80" spans="1:13" s="6" customFormat="1" ht="15" thickBot="1" x14ac:dyDescent="0.35">
      <c r="A80" s="448" t="s">
        <v>555</v>
      </c>
      <c r="B80" s="449" t="s">
        <v>30</v>
      </c>
      <c r="C80" s="450" t="s">
        <v>556</v>
      </c>
      <c r="D80" s="450" t="s">
        <v>557</v>
      </c>
      <c r="E80" s="419"/>
    </row>
    <row r="81" spans="1:5" s="6" customFormat="1" ht="15" thickBot="1" x14ac:dyDescent="0.35">
      <c r="A81" s="456">
        <v>8336</v>
      </c>
      <c r="B81" s="454">
        <f>Inputs!E80</f>
        <v>0.74</v>
      </c>
      <c r="C81" s="455" t="s">
        <v>558</v>
      </c>
      <c r="D81" s="455" t="s">
        <v>559</v>
      </c>
      <c r="E81" s="419"/>
    </row>
    <row r="82" spans="1:5" s="6" customFormat="1" ht="15" thickBot="1" x14ac:dyDescent="0.35">
      <c r="A82" s="456">
        <v>474</v>
      </c>
      <c r="B82" s="454">
        <f>Inputs!E82</f>
        <v>0.89</v>
      </c>
      <c r="C82" s="455" t="s">
        <v>547</v>
      </c>
      <c r="D82" s="455" t="s">
        <v>560</v>
      </c>
      <c r="E82" s="419"/>
    </row>
    <row r="83" spans="1:5" s="6" customFormat="1" ht="15" thickBot="1" x14ac:dyDescent="0.35">
      <c r="A83" s="456">
        <v>475</v>
      </c>
      <c r="B83" s="454">
        <f>Inputs!E81</f>
        <v>0.93</v>
      </c>
      <c r="C83" s="455" t="s">
        <v>547</v>
      </c>
      <c r="D83" s="455" t="s">
        <v>561</v>
      </c>
      <c r="E83" s="419"/>
    </row>
    <row r="84" spans="1:5" s="6" customFormat="1" ht="15" thickBot="1" x14ac:dyDescent="0.35">
      <c r="A84" s="456">
        <v>478</v>
      </c>
      <c r="B84" s="454">
        <f>Inputs!E83</f>
        <v>0.55000000000000004</v>
      </c>
      <c r="C84" s="455" t="s">
        <v>562</v>
      </c>
      <c r="D84" s="455" t="s">
        <v>563</v>
      </c>
      <c r="E84" s="419"/>
    </row>
    <row r="85" spans="1:5" s="6" customFormat="1" x14ac:dyDescent="0.3">
      <c r="A85" s="417"/>
      <c r="B85" s="417"/>
      <c r="C85" s="418"/>
      <c r="D85" s="419"/>
      <c r="E85" s="419"/>
    </row>
    <row r="86" spans="1:5" x14ac:dyDescent="0.3">
      <c r="A86" s="457" t="s">
        <v>564</v>
      </c>
    </row>
    <row r="87" spans="1:5" x14ac:dyDescent="0.3">
      <c r="A87" s="150" t="s">
        <v>0</v>
      </c>
      <c r="B87" s="150" t="s">
        <v>1</v>
      </c>
      <c r="C87" s="151" t="s">
        <v>30</v>
      </c>
      <c r="D87" s="151" t="s">
        <v>14</v>
      </c>
    </row>
    <row r="88" spans="1:5" ht="28.8" x14ac:dyDescent="0.3">
      <c r="A88" s="63" t="str">
        <f>Inputs!B50</f>
        <v xml:space="preserve">   Cost of a Fatality</v>
      </c>
      <c r="B88" s="65" t="str">
        <f>Inputs!D50</f>
        <v>$/fatality</v>
      </c>
      <c r="C88" s="330">
        <f>Inputs!E50</f>
        <v>9600000</v>
      </c>
      <c r="D88" s="64" t="str">
        <f>Inputs!F50</f>
        <v>US DOT BCA Guidance for Discretionary Grant Programs, January 2020; Table A-1.</v>
      </c>
    </row>
    <row r="89" spans="1:5" ht="28.8" x14ac:dyDescent="0.3">
      <c r="A89" s="63" t="str">
        <f>Inputs!B51</f>
        <v xml:space="preserve">   Cost of serious injury (MAIS 3)</v>
      </c>
      <c r="B89" s="65" t="str">
        <f>Inputs!D51</f>
        <v>$/serious Injury</v>
      </c>
      <c r="C89" s="330">
        <f>Inputs!E51</f>
        <v>1008000</v>
      </c>
      <c r="D89" s="64" t="str">
        <f>Inputs!F51</f>
        <v>US DOT BCA Guidance for Discretionary Grant Programs, January 2020; Table A-1.</v>
      </c>
    </row>
    <row r="90" spans="1:5" ht="28.8" x14ac:dyDescent="0.3">
      <c r="A90" s="63" t="str">
        <f>Inputs!B52</f>
        <v xml:space="preserve">   Cost of non-incapacitating injury (MAIS 2)</v>
      </c>
      <c r="B90" s="65" t="str">
        <f>Inputs!D52</f>
        <v>$/non-incapacitating Injury</v>
      </c>
      <c r="C90" s="330">
        <f>Inputs!E52</f>
        <v>451200</v>
      </c>
      <c r="D90" s="64" t="str">
        <f>Inputs!F52</f>
        <v>US DOT BCA Guidance for Discretionary Grant Programs, January 2020; Table A-1.</v>
      </c>
    </row>
    <row r="91" spans="1:5" ht="28.8" x14ac:dyDescent="0.3">
      <c r="A91" s="63" t="str">
        <f>Inputs!B53</f>
        <v xml:space="preserve">   Possible Injury (MAIS 1)</v>
      </c>
      <c r="B91" s="65" t="str">
        <f>Inputs!D53</f>
        <v>$/possible injury</v>
      </c>
      <c r="C91" s="330">
        <f>Inputs!E53</f>
        <v>28800</v>
      </c>
      <c r="D91" s="64" t="str">
        <f>Inputs!F53</f>
        <v>US DOT BCA Guidance for Discretionary Grant Programs, January 2020; Table A-1.</v>
      </c>
    </row>
    <row r="92" spans="1:5" ht="28.8" x14ac:dyDescent="0.3">
      <c r="A92" s="63" t="str">
        <f>Inputs!B54</f>
        <v xml:space="preserve">   Cost of Property Damage Only (PDO)</v>
      </c>
      <c r="B92" s="65" t="str">
        <f>Inputs!D54</f>
        <v>$/PDO</v>
      </c>
      <c r="C92" s="330">
        <f>Inputs!E54</f>
        <v>4400</v>
      </c>
      <c r="D92" s="64" t="str">
        <f>Inputs!F54</f>
        <v>US DOT BCA Guidance for Discretionary Grant Programs, January 2020; Table A-1.</v>
      </c>
    </row>
    <row r="93" spans="1:5" x14ac:dyDescent="0.3">
      <c r="A93" s="63" t="str">
        <f>Inputs!B73</f>
        <v>Average number of victims per accident</v>
      </c>
      <c r="B93" s="64"/>
      <c r="C93" s="65"/>
      <c r="D93" s="65"/>
    </row>
    <row r="94" spans="1:5" ht="28.8" x14ac:dyDescent="0.3">
      <c r="A94" s="63" t="str">
        <f>Inputs!B74</f>
        <v xml:space="preserve">      Fatal Accident </v>
      </c>
      <c r="B94" s="64" t="str">
        <f>Inputs!D74</f>
        <v>Average number of victims/accident</v>
      </c>
      <c r="C94" s="65">
        <f>Inputs!E74</f>
        <v>1</v>
      </c>
      <c r="D94" s="65" t="str">
        <f>Inputs!F74</f>
        <v>Based on crash data at project location, 2009 - 2018</v>
      </c>
    </row>
    <row r="95" spans="1:5" ht="28.8" x14ac:dyDescent="0.3">
      <c r="A95" s="63" t="str">
        <f>Inputs!B75</f>
        <v xml:space="preserve">      Serious Injury</v>
      </c>
      <c r="B95" s="64" t="str">
        <f>Inputs!D75</f>
        <v>Average number of victims/accident</v>
      </c>
      <c r="C95" s="65">
        <f>Inputs!E75</f>
        <v>1.61</v>
      </c>
      <c r="D95" s="65" t="str">
        <f>Inputs!F75</f>
        <v>Based on crash data at project location, 2009 - 2019</v>
      </c>
    </row>
    <row r="96" spans="1:5" ht="28.8" x14ac:dyDescent="0.3">
      <c r="A96" s="63" t="str">
        <f>Inputs!B76</f>
        <v xml:space="preserve">      Non-Incapacitating Injury</v>
      </c>
      <c r="B96" s="64" t="str">
        <f>Inputs!D76</f>
        <v>Average number of victims/accident</v>
      </c>
      <c r="C96" s="65">
        <f>Inputs!E76</f>
        <v>1.1499999999999999</v>
      </c>
      <c r="D96" s="65" t="str">
        <f>Inputs!F76</f>
        <v>Based on crash data at project location, 2009 - 2020</v>
      </c>
    </row>
    <row r="97" spans="1:9" ht="28.8" x14ac:dyDescent="0.3">
      <c r="A97" s="63" t="str">
        <f>Inputs!B77</f>
        <v xml:space="preserve">      Possible Injury</v>
      </c>
      <c r="B97" s="64" t="str">
        <f>Inputs!D77</f>
        <v>Average number of victims/accident</v>
      </c>
      <c r="C97" s="65">
        <f>Inputs!E77</f>
        <v>1.1499999999999999</v>
      </c>
      <c r="D97" s="65" t="str">
        <f>Inputs!F77</f>
        <v>Assumed the same as non-incapacitating injury</v>
      </c>
    </row>
    <row r="98" spans="1:9" ht="28.8" x14ac:dyDescent="0.3">
      <c r="A98" s="63" t="str">
        <f>Inputs!B78</f>
        <v xml:space="preserve">      PDO</v>
      </c>
      <c r="B98" s="64" t="str">
        <f>Inputs!D78</f>
        <v>Average number of victims/accident</v>
      </c>
      <c r="C98" s="65">
        <f>Inputs!E78</f>
        <v>2.0299999999999998</v>
      </c>
      <c r="D98" s="65" t="str">
        <f>Inputs!F78</f>
        <v>California Department of Transportation, TASAS Unit, 2010 to 2013 average</v>
      </c>
    </row>
    <row r="99" spans="1:9" x14ac:dyDescent="0.3">
      <c r="A99" s="329"/>
      <c r="B99" s="94"/>
      <c r="C99" s="328"/>
      <c r="D99" s="94"/>
    </row>
    <row r="100" spans="1:9" x14ac:dyDescent="0.3">
      <c r="A100" s="14"/>
      <c r="B100" s="8"/>
      <c r="C100" s="8"/>
      <c r="D100" s="14"/>
    </row>
    <row r="101" spans="1:9" ht="15" thickBot="1" x14ac:dyDescent="0.35">
      <c r="A101" s="66" t="s">
        <v>31</v>
      </c>
    </row>
    <row r="102" spans="1:9" ht="40.200000000000003" thickBot="1" x14ac:dyDescent="0.35">
      <c r="A102" s="462" t="s">
        <v>41</v>
      </c>
      <c r="B102" s="463" t="s">
        <v>565</v>
      </c>
      <c r="C102" s="442" t="s">
        <v>566</v>
      </c>
      <c r="D102" s="442" t="s">
        <v>567</v>
      </c>
      <c r="E102" s="464" t="s">
        <v>13</v>
      </c>
    </row>
    <row r="103" spans="1:9" ht="15" thickBot="1" x14ac:dyDescent="0.35">
      <c r="A103" s="458">
        <v>2026</v>
      </c>
      <c r="B103" s="459">
        <f>'Project Costs'!C17</f>
        <v>5500000</v>
      </c>
      <c r="C103" s="459">
        <f>'Project Costs'!D17</f>
        <v>2000000</v>
      </c>
      <c r="D103" s="459">
        <f>'Project Costs'!E17</f>
        <v>100000</v>
      </c>
      <c r="E103" s="459">
        <f>'Project Costs'!F17</f>
        <v>7600000</v>
      </c>
    </row>
    <row r="104" spans="1:9" ht="15" thickBot="1" x14ac:dyDescent="0.35">
      <c r="A104" s="458">
        <v>2030</v>
      </c>
      <c r="B104" s="459">
        <f>'Project Costs'!C20</f>
        <v>5500000</v>
      </c>
      <c r="C104" s="459">
        <f>'Project Costs'!D20</f>
        <v>1000000</v>
      </c>
      <c r="D104" s="459">
        <f>'Project Costs'!E20</f>
        <v>100000</v>
      </c>
      <c r="E104" s="459">
        <f>'Project Costs'!F20</f>
        <v>6600000</v>
      </c>
    </row>
    <row r="105" spans="1:9" ht="15" thickBot="1" x14ac:dyDescent="0.35">
      <c r="A105" s="458">
        <v>2035</v>
      </c>
      <c r="B105" s="459">
        <f>'Project Costs'!C21</f>
        <v>5500000</v>
      </c>
      <c r="C105" s="459">
        <f>'Project Costs'!D21</f>
        <v>1000000</v>
      </c>
      <c r="D105" s="459">
        <f>'Project Costs'!E21</f>
        <v>100000</v>
      </c>
      <c r="E105" s="459">
        <f>'Project Costs'!F21</f>
        <v>6600000</v>
      </c>
    </row>
    <row r="106" spans="1:9" ht="15" thickBot="1" x14ac:dyDescent="0.35">
      <c r="A106" s="458">
        <v>2040</v>
      </c>
      <c r="B106" s="459">
        <f>'Project Costs'!C22</f>
        <v>5500000</v>
      </c>
      <c r="C106" s="459"/>
      <c r="D106" s="459">
        <f>'Project Costs'!E22</f>
        <v>100000</v>
      </c>
      <c r="E106" s="459">
        <f>'Project Costs'!F22</f>
        <v>5600000</v>
      </c>
    </row>
    <row r="107" spans="1:9" ht="15" thickBot="1" x14ac:dyDescent="0.35">
      <c r="A107" s="458">
        <v>2045</v>
      </c>
      <c r="B107" s="459">
        <f>'Project Costs'!C24</f>
        <v>5500000</v>
      </c>
      <c r="C107" s="459"/>
      <c r="D107" s="459">
        <f>'Project Costs'!E24</f>
        <v>100000</v>
      </c>
      <c r="E107" s="459">
        <f>'Project Costs'!F24</f>
        <v>5600000</v>
      </c>
    </row>
    <row r="108" spans="1:9" ht="15" thickBot="1" x14ac:dyDescent="0.35">
      <c r="A108" s="461" t="s">
        <v>13</v>
      </c>
      <c r="B108" s="465">
        <f>SUM(B103:B107)</f>
        <v>27500000</v>
      </c>
      <c r="C108" s="465">
        <f t="shared" ref="C108:E108" si="0">SUM(C103:C107)</f>
        <v>4000000</v>
      </c>
      <c r="D108" s="465">
        <f t="shared" si="0"/>
        <v>500000</v>
      </c>
      <c r="E108" s="465">
        <f t="shared" si="0"/>
        <v>32000000</v>
      </c>
    </row>
    <row r="109" spans="1:9" x14ac:dyDescent="0.3">
      <c r="E109" s="495"/>
    </row>
    <row r="110" spans="1:9" ht="15" thickBot="1" x14ac:dyDescent="0.35">
      <c r="A110" s="7" t="s">
        <v>32</v>
      </c>
    </row>
    <row r="111" spans="1:9" ht="15" thickBot="1" x14ac:dyDescent="0.35">
      <c r="A111" s="467"/>
      <c r="B111" s="576">
        <v>2015</v>
      </c>
      <c r="C111" s="582"/>
      <c r="D111" s="582"/>
      <c r="E111" s="577"/>
      <c r="F111" s="576">
        <v>2045</v>
      </c>
      <c r="G111" s="582"/>
      <c r="H111" s="582"/>
      <c r="I111" s="577"/>
    </row>
    <row r="112" spans="1:9" ht="15" thickBot="1" x14ac:dyDescent="0.35">
      <c r="A112" s="468"/>
      <c r="B112" s="576" t="s">
        <v>568</v>
      </c>
      <c r="C112" s="577"/>
      <c r="D112" s="576" t="s">
        <v>569</v>
      </c>
      <c r="E112" s="577"/>
      <c r="F112" s="576" t="s">
        <v>568</v>
      </c>
      <c r="G112" s="577"/>
      <c r="H112" s="576" t="s">
        <v>569</v>
      </c>
      <c r="I112" s="577"/>
    </row>
    <row r="113" spans="1:9" ht="15" thickBot="1" x14ac:dyDescent="0.35">
      <c r="A113" s="468"/>
      <c r="B113" s="464" t="s">
        <v>320</v>
      </c>
      <c r="C113" s="464" t="s">
        <v>321</v>
      </c>
      <c r="D113" s="464" t="s">
        <v>320</v>
      </c>
      <c r="E113" s="464" t="s">
        <v>321</v>
      </c>
      <c r="F113" s="464" t="s">
        <v>320</v>
      </c>
      <c r="G113" s="464" t="s">
        <v>321</v>
      </c>
      <c r="H113" s="464" t="s">
        <v>320</v>
      </c>
      <c r="I113" s="464" t="s">
        <v>321</v>
      </c>
    </row>
    <row r="114" spans="1:9" ht="15" thickBot="1" x14ac:dyDescent="0.35">
      <c r="A114" s="466" t="s">
        <v>570</v>
      </c>
      <c r="B114" s="454">
        <f>'Traffic Projection'!C164</f>
        <v>64.5</v>
      </c>
      <c r="C114" s="454">
        <f>'Traffic Projection'!G164</f>
        <v>63.8</v>
      </c>
      <c r="D114" s="454">
        <f>'Traffic Projection'!K164</f>
        <v>64.3</v>
      </c>
      <c r="E114" s="454">
        <f>'Traffic Projection'!M164</f>
        <v>64.400000000000006</v>
      </c>
      <c r="F114" s="454">
        <f>'Traffic Projection'!G164</f>
        <v>63.8</v>
      </c>
      <c r="G114" s="454">
        <f>'Traffic Projection'!I164</f>
        <v>59.5</v>
      </c>
      <c r="H114" s="454">
        <f>'Traffic Projection'!O164</f>
        <v>28.9</v>
      </c>
      <c r="I114" s="454">
        <f>'Traffic Projection'!Q164</f>
        <v>62.4</v>
      </c>
    </row>
    <row r="115" spans="1:9" ht="15" thickBot="1" x14ac:dyDescent="0.35">
      <c r="A115" s="466" t="s">
        <v>571</v>
      </c>
      <c r="B115" s="454">
        <f>'Traffic Projection'!D164</f>
        <v>66.8</v>
      </c>
      <c r="C115" s="454">
        <f>'Traffic Projection'!F164</f>
        <v>67.3</v>
      </c>
      <c r="D115" s="454">
        <f>'Traffic Projection'!L164</f>
        <v>69.2</v>
      </c>
      <c r="E115" s="454">
        <f>'Traffic Projection'!N164</f>
        <v>68.900000000000006</v>
      </c>
      <c r="F115" s="454">
        <f>'Traffic Projection'!H164</f>
        <v>66.7</v>
      </c>
      <c r="G115" s="454">
        <f>'Traffic Projection'!J164</f>
        <v>64.5</v>
      </c>
      <c r="H115" s="454">
        <f>'Traffic Projection'!P164</f>
        <v>66.8</v>
      </c>
      <c r="I115" s="454">
        <f>'Traffic Projection'!R164</f>
        <v>68.8</v>
      </c>
    </row>
    <row r="117" spans="1:9" ht="15" thickBot="1" x14ac:dyDescent="0.35">
      <c r="A117" s="7" t="s">
        <v>572</v>
      </c>
    </row>
    <row r="118" spans="1:9" ht="15" thickBot="1" x14ac:dyDescent="0.35">
      <c r="A118" s="471"/>
      <c r="B118" s="576">
        <v>2015</v>
      </c>
      <c r="C118" s="577"/>
      <c r="D118" s="576">
        <v>2045</v>
      </c>
      <c r="E118" s="577"/>
    </row>
    <row r="119" spans="1:9" ht="15" thickBot="1" x14ac:dyDescent="0.35">
      <c r="A119" s="472"/>
      <c r="B119" s="464" t="s">
        <v>320</v>
      </c>
      <c r="C119" s="464" t="s">
        <v>321</v>
      </c>
      <c r="D119" s="464" t="s">
        <v>320</v>
      </c>
      <c r="E119" s="464" t="s">
        <v>321</v>
      </c>
    </row>
    <row r="120" spans="1:9" ht="15" thickBot="1" x14ac:dyDescent="0.35">
      <c r="A120" s="469" t="s">
        <v>570</v>
      </c>
      <c r="B120" s="454">
        <v>95</v>
      </c>
      <c r="C120" s="454">
        <v>159</v>
      </c>
      <c r="D120" s="470">
        <v>1146</v>
      </c>
      <c r="E120" s="470">
        <v>2630</v>
      </c>
    </row>
    <row r="121" spans="1:9" ht="15" thickBot="1" x14ac:dyDescent="0.35">
      <c r="A121" s="469" t="s">
        <v>571</v>
      </c>
      <c r="B121" s="454">
        <v>84</v>
      </c>
      <c r="C121" s="454">
        <v>125</v>
      </c>
      <c r="D121" s="454">
        <v>919</v>
      </c>
      <c r="E121" s="470">
        <v>2513</v>
      </c>
    </row>
    <row r="122" spans="1:9" x14ac:dyDescent="0.3">
      <c r="A122" s="332"/>
      <c r="B122" s="333"/>
      <c r="C122" s="334"/>
      <c r="D122" s="333"/>
    </row>
    <row r="123" spans="1:9" x14ac:dyDescent="0.3">
      <c r="A123" s="152"/>
      <c r="B123" s="94"/>
      <c r="C123" s="94"/>
      <c r="D123" s="152"/>
    </row>
    <row r="124" spans="1:9" x14ac:dyDescent="0.3">
      <c r="A124" s="473"/>
      <c r="B124" s="474"/>
      <c r="C124" s="474"/>
      <c r="D124" s="474"/>
    </row>
    <row r="125" spans="1:9" ht="15" thickBot="1" x14ac:dyDescent="0.35">
      <c r="A125" s="473" t="s">
        <v>589</v>
      </c>
      <c r="B125" s="474"/>
      <c r="C125" s="474"/>
      <c r="D125" s="474"/>
    </row>
    <row r="126" spans="1:9" ht="15" thickBot="1" x14ac:dyDescent="0.35">
      <c r="A126" s="478" t="s">
        <v>573</v>
      </c>
      <c r="B126" s="479" t="s">
        <v>1</v>
      </c>
      <c r="C126" s="480" t="s">
        <v>30</v>
      </c>
      <c r="D126" s="479" t="s">
        <v>14</v>
      </c>
    </row>
    <row r="127" spans="1:9" ht="27" thickBot="1" x14ac:dyDescent="0.35">
      <c r="A127" s="475" t="s">
        <v>574</v>
      </c>
      <c r="B127" s="414"/>
      <c r="C127" s="460"/>
      <c r="D127" s="414" t="s">
        <v>575</v>
      </c>
    </row>
    <row r="128" spans="1:9" ht="27" thickBot="1" x14ac:dyDescent="0.35">
      <c r="A128" s="475" t="s">
        <v>576</v>
      </c>
      <c r="B128" s="414" t="s">
        <v>577</v>
      </c>
      <c r="C128" s="476">
        <f>timevalue_auto</f>
        <v>16.600000000000001</v>
      </c>
      <c r="D128" s="414" t="s">
        <v>578</v>
      </c>
    </row>
    <row r="129" spans="1:5" ht="15" thickBot="1" x14ac:dyDescent="0.35">
      <c r="A129" s="475" t="s">
        <v>579</v>
      </c>
      <c r="B129" s="414" t="s">
        <v>580</v>
      </c>
      <c r="C129" s="476">
        <f>timevalue_auto</f>
        <v>16.600000000000001</v>
      </c>
      <c r="D129" s="414"/>
    </row>
    <row r="130" spans="1:5" ht="27" thickBot="1" x14ac:dyDescent="0.35">
      <c r="A130" s="475" t="s">
        <v>581</v>
      </c>
      <c r="B130" s="414" t="s">
        <v>582</v>
      </c>
      <c r="C130" s="477">
        <f>Avg_Veh_Occ</f>
        <v>1.48</v>
      </c>
      <c r="D130" s="414" t="s">
        <v>575</v>
      </c>
    </row>
    <row r="131" spans="1:5" ht="15" thickBot="1" x14ac:dyDescent="0.35">
      <c r="A131" s="475" t="s">
        <v>583</v>
      </c>
      <c r="B131" s="414" t="s">
        <v>5</v>
      </c>
      <c r="C131" s="481">
        <f>ShareTruck</f>
        <v>0.13</v>
      </c>
      <c r="D131" s="414" t="s">
        <v>584</v>
      </c>
    </row>
    <row r="132" spans="1:5" x14ac:dyDescent="0.3">
      <c r="A132" s="473"/>
      <c r="B132" s="474"/>
      <c r="C132" s="474"/>
      <c r="D132" s="474"/>
    </row>
    <row r="134" spans="1:5" x14ac:dyDescent="0.3">
      <c r="A134" s="15" t="s">
        <v>36</v>
      </c>
    </row>
    <row r="135" spans="1:5" x14ac:dyDescent="0.3">
      <c r="A135" s="567" t="s">
        <v>33</v>
      </c>
      <c r="B135" s="578" t="s">
        <v>34</v>
      </c>
      <c r="C135" s="579"/>
      <c r="D135" s="579"/>
    </row>
    <row r="136" spans="1:5" x14ac:dyDescent="0.3">
      <c r="A136" s="567"/>
      <c r="B136" s="149" t="s">
        <v>7</v>
      </c>
      <c r="C136" s="149" t="s">
        <v>35</v>
      </c>
      <c r="D136" s="149" t="s">
        <v>80</v>
      </c>
      <c r="E136" s="177" t="s">
        <v>95</v>
      </c>
    </row>
    <row r="137" spans="1:5" x14ac:dyDescent="0.3">
      <c r="A137" s="13" t="str">
        <f>Results!B7</f>
        <v xml:space="preserve">Reduction in Accident Costs </v>
      </c>
      <c r="B137" s="384">
        <f>Results!D7</f>
        <v>154.56180014065956</v>
      </c>
      <c r="C137" s="384">
        <f>Results!E7</f>
        <v>49.499393561464089</v>
      </c>
      <c r="D137" s="384">
        <f>Results!F7</f>
        <v>92.261462468119234</v>
      </c>
      <c r="E137" s="176">
        <f>C137/$C$142</f>
        <v>0.45666327335457352</v>
      </c>
    </row>
    <row r="138" spans="1:5" x14ac:dyDescent="0.3">
      <c r="A138" s="156" t="str">
        <f>Results!B8</f>
        <v>Travel Time Saving - Mainline</v>
      </c>
      <c r="B138" s="384">
        <f>Results!D8</f>
        <v>95.274052599927856</v>
      </c>
      <c r="C138" s="384">
        <f>Results!E8</f>
        <v>27.76330928225687</v>
      </c>
      <c r="D138" s="384">
        <f>Results!F8</f>
        <v>54.59397660058189</v>
      </c>
      <c r="E138" s="176">
        <f>C138/$C$142</f>
        <v>0.25613412172914374</v>
      </c>
    </row>
    <row r="139" spans="1:5" x14ac:dyDescent="0.3">
      <c r="A139" s="156" t="str">
        <f>Results!B9</f>
        <v>Travel Time Saving - Interchanges</v>
      </c>
      <c r="B139" s="384">
        <f>Results!D9</f>
        <v>28.375572125493456</v>
      </c>
      <c r="C139" s="384">
        <f>Results!E9</f>
        <v>8.1278945021947901</v>
      </c>
      <c r="D139" s="384">
        <f>Results!F9</f>
        <v>16.138640853205136</v>
      </c>
      <c r="E139" s="176">
        <f>C139/$C$142</f>
        <v>7.4984977426926072E-2</v>
      </c>
    </row>
    <row r="140" spans="1:5" x14ac:dyDescent="0.3">
      <c r="A140" s="156" t="str">
        <f>Results!B10</f>
        <v>Residual Value</v>
      </c>
      <c r="B140" s="384">
        <f>Results!D10</f>
        <v>68.690224040925472</v>
      </c>
      <c r="C140" s="384">
        <f>Results!E10</f>
        <v>11.0543429848536</v>
      </c>
      <c r="D140" s="384">
        <f>Results!F10</f>
        <v>30.923587101307522</v>
      </c>
      <c r="E140" s="176">
        <f>C140/$C$142</f>
        <v>0.10198331916893284</v>
      </c>
    </row>
    <row r="141" spans="1:5" x14ac:dyDescent="0.3">
      <c r="A141" s="156" t="str">
        <f>Results!B11</f>
        <v>Agency Cost Saving</v>
      </c>
      <c r="B141" s="384">
        <f>Results!D11</f>
        <v>30.783397279386119</v>
      </c>
      <c r="C141" s="384">
        <f>Results!E11</f>
        <v>11.948697716472026</v>
      </c>
      <c r="D141" s="384">
        <f>Results!F11</f>
        <v>19.881595782621602</v>
      </c>
      <c r="E141" s="176">
        <f>C141/$C$142</f>
        <v>0.11023430832042379</v>
      </c>
    </row>
    <row r="142" spans="1:5" x14ac:dyDescent="0.3">
      <c r="A142" s="142" t="s">
        <v>8</v>
      </c>
      <c r="B142" s="385">
        <f>SUM(B137:B141)</f>
        <v>377.68504618639247</v>
      </c>
      <c r="C142" s="385">
        <f>SUM(C137:C141)</f>
        <v>108.39363804724138</v>
      </c>
      <c r="D142" s="385">
        <f>SUM(D137:D141)</f>
        <v>213.79926280583538</v>
      </c>
      <c r="E142" s="176"/>
    </row>
    <row r="144" spans="1:5" x14ac:dyDescent="0.3">
      <c r="A144" s="7" t="s">
        <v>88</v>
      </c>
    </row>
    <row r="145" spans="1:5" x14ac:dyDescent="0.3">
      <c r="A145" s="149" t="s">
        <v>15</v>
      </c>
      <c r="B145" s="149" t="s">
        <v>7</v>
      </c>
      <c r="C145" s="149" t="s">
        <v>35</v>
      </c>
      <c r="D145" s="149" t="s">
        <v>80</v>
      </c>
    </row>
    <row r="146" spans="1:5" x14ac:dyDescent="0.3">
      <c r="A146" s="9" t="s">
        <v>16</v>
      </c>
      <c r="B146" s="10">
        <f>Results!D19</f>
        <v>377.68504618639247</v>
      </c>
      <c r="C146" s="10">
        <f>Results!E19</f>
        <v>108.39363804724138</v>
      </c>
      <c r="D146" s="10">
        <f>Results!F19</f>
        <v>213.79926280583538</v>
      </c>
    </row>
    <row r="147" spans="1:5" x14ac:dyDescent="0.3">
      <c r="A147" s="9" t="s">
        <v>79</v>
      </c>
      <c r="B147" s="10">
        <f>Results!D20</f>
        <v>6.2528775723753052</v>
      </c>
      <c r="C147" s="10">
        <f>Results!E20</f>
        <v>1.5101420375333863</v>
      </c>
      <c r="D147" s="10">
        <f>Results!F20</f>
        <v>3.2355394868502421</v>
      </c>
    </row>
    <row r="148" spans="1:5" x14ac:dyDescent="0.3">
      <c r="A148" s="9" t="s">
        <v>17</v>
      </c>
      <c r="B148" s="10">
        <f>Results!D21</f>
        <v>108.3308248729882</v>
      </c>
      <c r="C148" s="10">
        <f>Results!E21</f>
        <v>77.178416111609181</v>
      </c>
      <c r="D148" s="10">
        <f>Results!F21</f>
        <v>93.272639967800018</v>
      </c>
    </row>
    <row r="149" spans="1:5" x14ac:dyDescent="0.3">
      <c r="A149" s="11" t="s">
        <v>10</v>
      </c>
      <c r="B149" s="10">
        <f>Results!D22</f>
        <v>269.35422131340425</v>
      </c>
      <c r="C149" s="10">
        <f>Results!E22</f>
        <v>31.215221935632201</v>
      </c>
      <c r="D149" s="10">
        <f>Results!F22</f>
        <v>120.52662283803535</v>
      </c>
    </row>
    <row r="150" spans="1:5" x14ac:dyDescent="0.3">
      <c r="A150" s="11" t="s">
        <v>18</v>
      </c>
      <c r="B150" s="386">
        <f>Results!D24</f>
        <v>3.4286840246024202</v>
      </c>
      <c r="C150" s="386">
        <f>Results!E24</f>
        <v>1.3848884363620748</v>
      </c>
      <c r="D150" s="386">
        <f>Results!F24</f>
        <v>2.2575079186316254</v>
      </c>
    </row>
    <row r="151" spans="1:5" x14ac:dyDescent="0.3">
      <c r="A151" s="9" t="s">
        <v>19</v>
      </c>
      <c r="B151" s="331">
        <f>Results!D26</f>
        <v>0.10536455377264864</v>
      </c>
      <c r="C151" s="580"/>
      <c r="D151" s="581"/>
    </row>
    <row r="152" spans="1:5" x14ac:dyDescent="0.3">
      <c r="A152" s="482"/>
      <c r="B152" s="483"/>
      <c r="C152" s="406"/>
      <c r="D152" s="406"/>
    </row>
    <row r="153" spans="1:5" x14ac:dyDescent="0.3">
      <c r="A153" s="482"/>
      <c r="B153" s="483"/>
    </row>
    <row r="154" spans="1:5" x14ac:dyDescent="0.3">
      <c r="A154" s="565" t="s">
        <v>20</v>
      </c>
      <c r="B154" s="565" t="s">
        <v>21</v>
      </c>
      <c r="C154" s="566"/>
      <c r="D154" s="566"/>
      <c r="E154" s="566"/>
    </row>
    <row r="155" spans="1:5" x14ac:dyDescent="0.3">
      <c r="A155" s="566"/>
      <c r="B155" s="566"/>
      <c r="C155" s="153" t="s">
        <v>22</v>
      </c>
      <c r="D155" s="153" t="s">
        <v>23</v>
      </c>
      <c r="E155" s="153" t="s">
        <v>24</v>
      </c>
    </row>
    <row r="156" spans="1:5" ht="34.200000000000003" x14ac:dyDescent="0.3">
      <c r="A156" s="564" t="s">
        <v>25</v>
      </c>
      <c r="B156" s="12" t="s">
        <v>585</v>
      </c>
      <c r="C156" s="437">
        <v>20.366872967458363</v>
      </c>
      <c r="D156" s="438">
        <f>(C156-Results!$E$15)/Results!$E$15</f>
        <v>-0.34753393682556005</v>
      </c>
      <c r="E156" s="496">
        <v>1.2443264824540567</v>
      </c>
    </row>
    <row r="157" spans="1:5" ht="34.200000000000003" x14ac:dyDescent="0.3">
      <c r="A157" s="564"/>
      <c r="B157" s="12" t="s">
        <v>586</v>
      </c>
      <c r="C157" s="437">
        <v>38.488824570089349</v>
      </c>
      <c r="D157" s="438">
        <f>(C157-Results!$E$15)/Results!$E$15</f>
        <v>0.23301460580532748</v>
      </c>
      <c r="E157" s="496">
        <v>1.4791324361863087</v>
      </c>
    </row>
    <row r="158" spans="1:5" x14ac:dyDescent="0.3">
      <c r="A158" s="564" t="s">
        <v>94</v>
      </c>
      <c r="B158" s="12" t="s">
        <v>26</v>
      </c>
      <c r="C158" s="437">
        <v>50.509825963534496</v>
      </c>
      <c r="D158" s="438">
        <f>(C158-Results!$E$15)/Results!$E$15</f>
        <v>0.61811522813097441</v>
      </c>
      <c r="E158" s="496">
        <v>1.8465179151494331</v>
      </c>
    </row>
    <row r="159" spans="1:5" x14ac:dyDescent="0.3">
      <c r="A159" s="564"/>
      <c r="B159" s="12" t="s">
        <v>27</v>
      </c>
      <c r="C159" s="437">
        <v>11.920617907729904</v>
      </c>
      <c r="D159" s="438">
        <f>(C159-Results!$E$15)/Results!$E$15</f>
        <v>-0.61811522813097441</v>
      </c>
      <c r="E159" s="496">
        <v>1.1079107490896598</v>
      </c>
    </row>
    <row r="160" spans="1:5" ht="24" x14ac:dyDescent="0.3">
      <c r="A160" s="560" t="s">
        <v>537</v>
      </c>
      <c r="B160" s="439" t="s">
        <v>539</v>
      </c>
      <c r="C160" s="561">
        <v>11.857224064137212</v>
      </c>
      <c r="D160" s="563">
        <f>(C160-Results!$E$15)/Results!$E$15</f>
        <v>-0.6201460912695872</v>
      </c>
      <c r="E160" s="568">
        <v>1.1340670429364694</v>
      </c>
    </row>
    <row r="161" spans="1:5" ht="24" x14ac:dyDescent="0.3">
      <c r="A161" s="560"/>
      <c r="B161" s="439" t="s">
        <v>541</v>
      </c>
      <c r="C161" s="562"/>
      <c r="D161" s="563"/>
      <c r="E161" s="569"/>
    </row>
    <row r="162" spans="1:5" ht="22.8" x14ac:dyDescent="0.3">
      <c r="A162" s="423" t="s">
        <v>538</v>
      </c>
      <c r="B162" s="422" t="s">
        <v>602</v>
      </c>
      <c r="C162" s="484">
        <f>Results!G15</f>
        <v>50.86740583102295</v>
      </c>
      <c r="D162" s="440">
        <f>(C162-Results!$E$15)/Results!$E$15</f>
        <v>0.62957053247658523</v>
      </c>
      <c r="E162" s="497">
        <f>Results!G24</f>
        <v>1.6311050030237684</v>
      </c>
    </row>
  </sheetData>
  <mergeCells count="44">
    <mergeCell ref="B135:D135"/>
    <mergeCell ref="C151:D151"/>
    <mergeCell ref="J41:M41"/>
    <mergeCell ref="B42:C42"/>
    <mergeCell ref="D42:E42"/>
    <mergeCell ref="F42:G42"/>
    <mergeCell ref="H42:I42"/>
    <mergeCell ref="J42:K42"/>
    <mergeCell ref="L42:M42"/>
    <mergeCell ref="F41:I41"/>
    <mergeCell ref="B111:E111"/>
    <mergeCell ref="F111:I111"/>
    <mergeCell ref="B112:C112"/>
    <mergeCell ref="D112:E112"/>
    <mergeCell ref="F112:G112"/>
    <mergeCell ref="H112:I112"/>
    <mergeCell ref="A33:A34"/>
    <mergeCell ref="A37:A38"/>
    <mergeCell ref="A160:A161"/>
    <mergeCell ref="C160:C161"/>
    <mergeCell ref="D160:D161"/>
    <mergeCell ref="A158:A159"/>
    <mergeCell ref="A154:A155"/>
    <mergeCell ref="B154:B155"/>
    <mergeCell ref="C154:E154"/>
    <mergeCell ref="A156:A157"/>
    <mergeCell ref="A135:A136"/>
    <mergeCell ref="E160:E161"/>
    <mergeCell ref="A41:A43"/>
    <mergeCell ref="B41:E41"/>
    <mergeCell ref="B118:C118"/>
    <mergeCell ref="D118:E118"/>
    <mergeCell ref="E6:E8"/>
    <mergeCell ref="B19:D19"/>
    <mergeCell ref="A30:A31"/>
    <mergeCell ref="C30:C31"/>
    <mergeCell ref="D30:D31"/>
    <mergeCell ref="E30:E31"/>
    <mergeCell ref="A23:A24"/>
    <mergeCell ref="B23:D23"/>
    <mergeCell ref="A4:A9"/>
    <mergeCell ref="B4:B9"/>
    <mergeCell ref="C6:C8"/>
    <mergeCell ref="D6:D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79998168889431442"/>
  </sheetPr>
  <dimension ref="A1:H83"/>
  <sheetViews>
    <sheetView showGridLines="0" zoomScale="90" zoomScaleNormal="90" workbookViewId="0">
      <pane ySplit="3" topLeftCell="A4" activePane="bottomLeft" state="frozen"/>
      <selection pane="bottomLeft" activeCell="D68" sqref="D68:D72"/>
    </sheetView>
  </sheetViews>
  <sheetFormatPr defaultRowHeight="14.4" x14ac:dyDescent="0.3"/>
  <cols>
    <col min="1" max="1" width="3" customWidth="1"/>
    <col min="2" max="2" width="70.5546875" customWidth="1"/>
    <col min="3" max="3" width="6.6640625" bestFit="1" customWidth="1"/>
    <col min="4" max="4" width="33.109375" customWidth="1"/>
    <col min="5" max="5" width="14.21875" bestFit="1" customWidth="1"/>
    <col min="6" max="6" width="107.6640625" customWidth="1"/>
  </cols>
  <sheetData>
    <row r="1" spans="1:6" ht="17.399999999999999" x14ac:dyDescent="0.3">
      <c r="B1" s="194" t="s">
        <v>127</v>
      </c>
      <c r="C1" s="194"/>
      <c r="D1" s="162"/>
      <c r="E1" s="162"/>
      <c r="F1" s="162"/>
    </row>
    <row r="3" spans="1:6" x14ac:dyDescent="0.3">
      <c r="B3" s="193" t="s">
        <v>126</v>
      </c>
      <c r="C3" s="193" t="s">
        <v>41</v>
      </c>
      <c r="D3" s="193" t="s">
        <v>1</v>
      </c>
      <c r="E3" s="193" t="s">
        <v>30</v>
      </c>
      <c r="F3" s="193" t="s">
        <v>125</v>
      </c>
    </row>
    <row r="4" spans="1:6" x14ac:dyDescent="0.3">
      <c r="B4" s="188" t="s">
        <v>124</v>
      </c>
    </row>
    <row r="5" spans="1:6" x14ac:dyDescent="0.3">
      <c r="B5" s="184" t="s">
        <v>123</v>
      </c>
      <c r="C5" s="184"/>
      <c r="D5" s="183" t="s">
        <v>5</v>
      </c>
      <c r="E5" s="394">
        <v>7.0000000000000007E-2</v>
      </c>
      <c r="F5" s="187" t="s">
        <v>483</v>
      </c>
    </row>
    <row r="6" spans="1:6" x14ac:dyDescent="0.3">
      <c r="B6" s="184" t="s">
        <v>134</v>
      </c>
      <c r="C6" s="184"/>
      <c r="D6" s="183" t="s">
        <v>5</v>
      </c>
      <c r="E6" s="395">
        <v>0.03</v>
      </c>
      <c r="F6" s="187" t="s">
        <v>483</v>
      </c>
    </row>
    <row r="7" spans="1:6" x14ac:dyDescent="0.3">
      <c r="A7" s="181"/>
      <c r="B7" s="184" t="s">
        <v>122</v>
      </c>
      <c r="C7" s="184"/>
      <c r="D7" s="183" t="s">
        <v>121</v>
      </c>
      <c r="E7" s="396">
        <v>20</v>
      </c>
      <c r="F7" s="187" t="s">
        <v>119</v>
      </c>
    </row>
    <row r="8" spans="1:6" x14ac:dyDescent="0.3">
      <c r="A8" s="6"/>
      <c r="B8" s="184" t="s">
        <v>120</v>
      </c>
      <c r="C8" s="184"/>
      <c r="D8" s="183" t="s">
        <v>114</v>
      </c>
      <c r="E8" s="397">
        <f>E7+(YEAR($E$18)-1)</f>
        <v>2046</v>
      </c>
      <c r="F8" s="187" t="s">
        <v>119</v>
      </c>
    </row>
    <row r="9" spans="1:6" x14ac:dyDescent="0.3">
      <c r="A9" s="6"/>
      <c r="B9" s="184" t="s">
        <v>118</v>
      </c>
      <c r="C9" s="184"/>
      <c r="D9" s="183" t="s">
        <v>117</v>
      </c>
      <c r="E9" s="396">
        <v>365</v>
      </c>
      <c r="F9" s="187" t="s">
        <v>116</v>
      </c>
    </row>
    <row r="10" spans="1:6" x14ac:dyDescent="0.3">
      <c r="A10" s="6"/>
      <c r="B10" s="212" t="s">
        <v>269</v>
      </c>
      <c r="C10" s="184"/>
      <c r="D10" s="393" t="s">
        <v>117</v>
      </c>
      <c r="E10" s="398">
        <v>260</v>
      </c>
      <c r="F10" s="187" t="s">
        <v>135</v>
      </c>
    </row>
    <row r="11" spans="1:6" x14ac:dyDescent="0.3">
      <c r="A11" s="6"/>
      <c r="B11" s="212" t="s">
        <v>262</v>
      </c>
      <c r="C11" s="184"/>
      <c r="D11" s="393" t="s">
        <v>263</v>
      </c>
      <c r="E11" s="399">
        <v>3600</v>
      </c>
      <c r="F11" s="187" t="s">
        <v>116</v>
      </c>
    </row>
    <row r="12" spans="1:6" ht="15" x14ac:dyDescent="0.3">
      <c r="A12" s="6"/>
      <c r="B12" s="212" t="s">
        <v>464</v>
      </c>
      <c r="C12" s="184"/>
      <c r="D12" s="393" t="s">
        <v>243</v>
      </c>
      <c r="E12" s="392">
        <f>'Deflation Factors'!C95</f>
        <v>1.0395213923132705</v>
      </c>
      <c r="F12" s="187" t="s">
        <v>244</v>
      </c>
    </row>
    <row r="13" spans="1:6" ht="15" x14ac:dyDescent="0.3">
      <c r="A13" s="6"/>
      <c r="B13" s="212" t="s">
        <v>590</v>
      </c>
      <c r="C13" s="184"/>
      <c r="D13" s="393" t="s">
        <v>243</v>
      </c>
      <c r="E13" s="391">
        <f>'Deflation Factors'!B132</f>
        <v>1.0545</v>
      </c>
      <c r="F13" s="187" t="s">
        <v>483</v>
      </c>
    </row>
    <row r="14" spans="1:6" ht="15" x14ac:dyDescent="0.3">
      <c r="A14" s="6"/>
      <c r="B14" s="212" t="s">
        <v>591</v>
      </c>
      <c r="C14" s="184"/>
      <c r="D14" s="266" t="s">
        <v>243</v>
      </c>
      <c r="E14" s="391">
        <f>'Deflation Factors'!B133</f>
        <v>1.0437000000000001</v>
      </c>
      <c r="F14" s="187" t="s">
        <v>483</v>
      </c>
    </row>
    <row r="15" spans="1:6" ht="15" x14ac:dyDescent="0.3">
      <c r="A15" s="6"/>
      <c r="B15" s="212" t="s">
        <v>591</v>
      </c>
      <c r="C15" s="184"/>
      <c r="D15" s="266" t="s">
        <v>243</v>
      </c>
      <c r="E15" s="392">
        <f>'Deflation Factors'!B134</f>
        <v>1.0244</v>
      </c>
      <c r="F15" s="187" t="s">
        <v>483</v>
      </c>
    </row>
    <row r="16" spans="1:6" ht="15" x14ac:dyDescent="0.3">
      <c r="A16" s="6"/>
      <c r="B16" s="188" t="s">
        <v>115</v>
      </c>
      <c r="C16" s="188"/>
      <c r="D16" s="183"/>
      <c r="E16" s="187"/>
    </row>
    <row r="17" spans="1:6" ht="15" x14ac:dyDescent="0.3">
      <c r="A17" s="6"/>
      <c r="B17" s="184" t="s">
        <v>64</v>
      </c>
      <c r="C17" s="184"/>
      <c r="D17" s="183" t="s">
        <v>114</v>
      </c>
      <c r="E17" s="192">
        <v>2019</v>
      </c>
      <c r="F17" s="187" t="s">
        <v>457</v>
      </c>
    </row>
    <row r="18" spans="1:6" ht="15" x14ac:dyDescent="0.3">
      <c r="A18" s="6"/>
      <c r="B18" s="184" t="s">
        <v>172</v>
      </c>
      <c r="C18" s="184"/>
      <c r="D18" s="183" t="s">
        <v>274</v>
      </c>
      <c r="E18" s="293">
        <v>46388</v>
      </c>
      <c r="F18" s="187" t="s">
        <v>470</v>
      </c>
    </row>
    <row r="19" spans="1:6" ht="15" x14ac:dyDescent="0.3">
      <c r="A19" s="6"/>
      <c r="B19" s="320" t="s">
        <v>304</v>
      </c>
      <c r="C19" s="184"/>
      <c r="D19" s="183"/>
      <c r="E19" s="187"/>
      <c r="F19" s="187"/>
    </row>
    <row r="20" spans="1:6" ht="15" x14ac:dyDescent="0.3">
      <c r="A20" s="6"/>
      <c r="B20" s="184" t="s">
        <v>305</v>
      </c>
      <c r="D20" s="183" t="s">
        <v>465</v>
      </c>
      <c r="E20" s="191">
        <v>0.8</v>
      </c>
      <c r="F20" s="187" t="s">
        <v>113</v>
      </c>
    </row>
    <row r="21" spans="1:6" ht="15" x14ac:dyDescent="0.3">
      <c r="A21" s="6"/>
      <c r="B21" s="184" t="s">
        <v>204</v>
      </c>
      <c r="D21" s="183" t="s">
        <v>465</v>
      </c>
      <c r="E21" s="191">
        <v>3.7</v>
      </c>
      <c r="F21" s="187" t="s">
        <v>113</v>
      </c>
    </row>
    <row r="22" spans="1:6" ht="15" x14ac:dyDescent="0.3">
      <c r="A22" s="6"/>
      <c r="B22" s="246" t="s">
        <v>161</v>
      </c>
      <c r="D22" s="183" t="s">
        <v>465</v>
      </c>
      <c r="E22" s="191">
        <v>1.8</v>
      </c>
      <c r="F22" s="187" t="s">
        <v>113</v>
      </c>
    </row>
    <row r="23" spans="1:6" ht="15" x14ac:dyDescent="0.3">
      <c r="A23" s="6"/>
      <c r="B23" s="213" t="s">
        <v>66</v>
      </c>
      <c r="D23" s="183"/>
      <c r="E23" s="262"/>
    </row>
    <row r="24" spans="1:6" ht="15" x14ac:dyDescent="0.3">
      <c r="A24" s="6"/>
      <c r="B24" s="184" t="s">
        <v>276</v>
      </c>
      <c r="D24" s="183"/>
      <c r="E24" s="187"/>
    </row>
    <row r="25" spans="1:6" ht="15" x14ac:dyDescent="0.3">
      <c r="A25" s="6"/>
      <c r="B25" s="212" t="s">
        <v>157</v>
      </c>
      <c r="C25">
        <v>2015</v>
      </c>
      <c r="D25" s="183" t="s">
        <v>6</v>
      </c>
      <c r="E25" s="268">
        <f>SUM('Traffic Projection'!C8:D31)</f>
        <v>54079.999999999993</v>
      </c>
      <c r="F25" s="210" t="s">
        <v>212</v>
      </c>
    </row>
    <row r="26" spans="1:6" ht="15" x14ac:dyDescent="0.3">
      <c r="A26" s="6"/>
      <c r="B26" s="212" t="s">
        <v>162</v>
      </c>
      <c r="C26">
        <v>2045</v>
      </c>
      <c r="D26" s="183" t="s">
        <v>6</v>
      </c>
      <c r="E26" s="268">
        <f>SUM('Traffic Projection'!E8:F31)</f>
        <v>84580</v>
      </c>
      <c r="F26" s="210" t="s">
        <v>212</v>
      </c>
    </row>
    <row r="27" spans="1:6" ht="15" x14ac:dyDescent="0.3">
      <c r="A27" s="6"/>
      <c r="B27" s="212" t="s">
        <v>67</v>
      </c>
      <c r="D27" s="183" t="s">
        <v>5</v>
      </c>
      <c r="E27" s="267">
        <f>(E26/E25)^(1/(2045-2015))-1</f>
        <v>1.5019455215772526E-2</v>
      </c>
      <c r="F27" s="211" t="s">
        <v>159</v>
      </c>
    </row>
    <row r="28" spans="1:6" ht="15" x14ac:dyDescent="0.3">
      <c r="A28" s="6"/>
      <c r="B28" s="184" t="s">
        <v>160</v>
      </c>
      <c r="D28" s="183"/>
      <c r="E28" s="187"/>
    </row>
    <row r="29" spans="1:6" ht="15" x14ac:dyDescent="0.3">
      <c r="A29" s="6"/>
      <c r="B29" s="212" t="s">
        <v>157</v>
      </c>
      <c r="C29">
        <v>2015</v>
      </c>
      <c r="D29" s="183" t="s">
        <v>6</v>
      </c>
      <c r="E29" s="268">
        <f>SUM('Traffic Projection'!G8:H31)</f>
        <v>44260.000000000007</v>
      </c>
      <c r="F29" s="210" t="s">
        <v>212</v>
      </c>
    </row>
    <row r="30" spans="1:6" ht="15" x14ac:dyDescent="0.3">
      <c r="A30" s="6"/>
      <c r="B30" s="212" t="s">
        <v>162</v>
      </c>
      <c r="C30">
        <v>2045</v>
      </c>
      <c r="D30" s="183" t="s">
        <v>6</v>
      </c>
      <c r="E30" s="268">
        <f>SUM('Traffic Projection'!I8:J31)</f>
        <v>66640.000000000015</v>
      </c>
      <c r="F30" s="210" t="s">
        <v>212</v>
      </c>
    </row>
    <row r="31" spans="1:6" ht="15" x14ac:dyDescent="0.3">
      <c r="A31" s="6"/>
      <c r="B31" s="212" t="s">
        <v>67</v>
      </c>
      <c r="D31" s="183" t="s">
        <v>5</v>
      </c>
      <c r="E31" s="267">
        <f>(E30/E29)^(1/(2045-2015))-1</f>
        <v>1.3734248806402727E-2</v>
      </c>
      <c r="F31" s="211" t="s">
        <v>159</v>
      </c>
    </row>
    <row r="32" spans="1:6" x14ac:dyDescent="0.3">
      <c r="A32" s="6"/>
      <c r="B32" s="184" t="s">
        <v>161</v>
      </c>
      <c r="D32" s="183"/>
      <c r="E32" s="269"/>
      <c r="F32" s="218"/>
    </row>
    <row r="33" spans="1:6" x14ac:dyDescent="0.3">
      <c r="A33" s="6"/>
      <c r="B33" s="212" t="s">
        <v>157</v>
      </c>
      <c r="C33">
        <v>2015</v>
      </c>
      <c r="D33" s="183" t="s">
        <v>6</v>
      </c>
      <c r="E33" s="268">
        <f>SUM('Traffic Projection'!K8:L31)</f>
        <v>37960.000000000007</v>
      </c>
      <c r="F33" s="210" t="s">
        <v>212</v>
      </c>
    </row>
    <row r="34" spans="1:6" x14ac:dyDescent="0.3">
      <c r="A34" s="6"/>
      <c r="B34" s="212" t="s">
        <v>158</v>
      </c>
      <c r="C34">
        <v>2045</v>
      </c>
      <c r="D34" s="183" t="s">
        <v>6</v>
      </c>
      <c r="E34" s="268">
        <f>SUM('Traffic Projection'!M8:N31)</f>
        <v>56479.999999999993</v>
      </c>
      <c r="F34" s="210" t="s">
        <v>212</v>
      </c>
    </row>
    <row r="35" spans="1:6" x14ac:dyDescent="0.3">
      <c r="A35" s="6"/>
      <c r="B35" s="212" t="s">
        <v>67</v>
      </c>
      <c r="D35" s="183" t="s">
        <v>5</v>
      </c>
      <c r="E35" s="267">
        <f>(E34/E33)^(1/(2045-2015))-1</f>
        <v>1.3333225816734906E-2</v>
      </c>
      <c r="F35" s="211" t="s">
        <v>159</v>
      </c>
    </row>
    <row r="36" spans="1:6" x14ac:dyDescent="0.3">
      <c r="A36" s="6"/>
      <c r="B36" s="281" t="s">
        <v>258</v>
      </c>
      <c r="D36" s="183"/>
      <c r="E36" s="211"/>
    </row>
    <row r="37" spans="1:6" x14ac:dyDescent="0.3">
      <c r="A37" s="6"/>
      <c r="B37" s="212" t="s">
        <v>259</v>
      </c>
      <c r="C37">
        <v>2015</v>
      </c>
      <c r="D37" s="183" t="s">
        <v>261</v>
      </c>
      <c r="E37" s="268">
        <v>34400</v>
      </c>
      <c r="F37" s="210" t="s">
        <v>212</v>
      </c>
    </row>
    <row r="38" spans="1:6" x14ac:dyDescent="0.3">
      <c r="A38" s="6"/>
      <c r="B38" s="212" t="s">
        <v>260</v>
      </c>
      <c r="C38">
        <v>2045</v>
      </c>
      <c r="D38" s="183" t="s">
        <v>261</v>
      </c>
      <c r="E38" s="268">
        <v>44160</v>
      </c>
      <c r="F38" s="210" t="s">
        <v>212</v>
      </c>
    </row>
    <row r="39" spans="1:6" x14ac:dyDescent="0.3">
      <c r="A39" s="6"/>
      <c r="B39" s="212" t="s">
        <v>67</v>
      </c>
      <c r="D39" s="183" t="s">
        <v>5</v>
      </c>
      <c r="E39" s="267">
        <f>(E38/E37)^(1/(2045-2015))-1</f>
        <v>8.3601806715674076E-3</v>
      </c>
      <c r="F39" s="211" t="s">
        <v>159</v>
      </c>
    </row>
    <row r="40" spans="1:6" ht="15" x14ac:dyDescent="0.3">
      <c r="A40" s="6"/>
      <c r="B40" s="188" t="s">
        <v>112</v>
      </c>
      <c r="C40" s="188"/>
      <c r="D40" s="183"/>
      <c r="E40" s="187"/>
    </row>
    <row r="41" spans="1:6" ht="15" x14ac:dyDescent="0.3">
      <c r="A41" s="6"/>
      <c r="B41" s="184" t="s">
        <v>111</v>
      </c>
      <c r="C41" s="188"/>
      <c r="D41" s="183"/>
      <c r="E41" s="187"/>
    </row>
    <row r="42" spans="1:6" x14ac:dyDescent="0.3">
      <c r="A42" s="6"/>
      <c r="B42" s="184" t="s">
        <v>106</v>
      </c>
      <c r="C42" s="184"/>
      <c r="D42" s="183" t="s">
        <v>108</v>
      </c>
      <c r="E42" s="261">
        <v>16.600000000000001</v>
      </c>
      <c r="F42" s="187" t="s">
        <v>484</v>
      </c>
    </row>
    <row r="43" spans="1:6" x14ac:dyDescent="0.3">
      <c r="A43" s="6"/>
      <c r="B43" s="184" t="s">
        <v>110</v>
      </c>
      <c r="C43" s="184"/>
      <c r="D43" s="183" t="s">
        <v>109</v>
      </c>
      <c r="E43" s="260">
        <v>29.5</v>
      </c>
      <c r="F43" s="187" t="s">
        <v>484</v>
      </c>
    </row>
    <row r="44" spans="1:6" x14ac:dyDescent="0.3">
      <c r="A44" s="6"/>
      <c r="B44" s="184" t="s">
        <v>107</v>
      </c>
      <c r="C44" s="184"/>
      <c r="D44" s="183"/>
      <c r="E44" s="183"/>
      <c r="F44" s="187"/>
    </row>
    <row r="45" spans="1:6" x14ac:dyDescent="0.3">
      <c r="A45" s="6"/>
      <c r="B45" s="184" t="s">
        <v>106</v>
      </c>
      <c r="C45" s="184"/>
      <c r="D45" s="183" t="s">
        <v>105</v>
      </c>
      <c r="E45" s="190">
        <v>1.48</v>
      </c>
      <c r="F45" s="187" t="s">
        <v>485</v>
      </c>
    </row>
    <row r="46" spans="1:6" x14ac:dyDescent="0.3">
      <c r="A46" s="6"/>
      <c r="B46" s="184" t="s">
        <v>110</v>
      </c>
      <c r="C46" s="184"/>
      <c r="D46" s="183" t="s">
        <v>105</v>
      </c>
      <c r="E46" s="189">
        <v>1</v>
      </c>
      <c r="F46" s="187" t="s">
        <v>104</v>
      </c>
    </row>
    <row r="47" spans="1:6" x14ac:dyDescent="0.3">
      <c r="A47" s="6"/>
      <c r="B47" s="184" t="s">
        <v>103</v>
      </c>
      <c r="C47" s="184"/>
      <c r="D47" s="183" t="s">
        <v>5</v>
      </c>
      <c r="E47" s="282">
        <v>0.13</v>
      </c>
      <c r="F47" s="210" t="s">
        <v>133</v>
      </c>
    </row>
    <row r="48" spans="1:6" x14ac:dyDescent="0.3">
      <c r="B48" s="188" t="s">
        <v>102</v>
      </c>
      <c r="C48" s="188"/>
      <c r="D48" s="183"/>
      <c r="E48" s="187"/>
    </row>
    <row r="49" spans="1:7" x14ac:dyDescent="0.3">
      <c r="B49" s="188" t="s">
        <v>101</v>
      </c>
      <c r="C49" s="188"/>
      <c r="D49" s="183"/>
      <c r="E49" s="187"/>
    </row>
    <row r="50" spans="1:7" x14ac:dyDescent="0.3">
      <c r="A50" s="6"/>
      <c r="B50" s="184" t="s">
        <v>100</v>
      </c>
      <c r="C50" s="184"/>
      <c r="D50" s="183" t="s">
        <v>99</v>
      </c>
      <c r="E50" s="186">
        <v>9600000</v>
      </c>
      <c r="F50" s="187" t="s">
        <v>486</v>
      </c>
    </row>
    <row r="51" spans="1:7" x14ac:dyDescent="0.3">
      <c r="A51" s="6"/>
      <c r="B51" s="184" t="s">
        <v>341</v>
      </c>
      <c r="C51" s="184"/>
      <c r="D51" s="183" t="s">
        <v>340</v>
      </c>
      <c r="E51" s="186">
        <v>1008000</v>
      </c>
      <c r="F51" s="187" t="s">
        <v>486</v>
      </c>
    </row>
    <row r="52" spans="1:7" x14ac:dyDescent="0.3">
      <c r="A52" s="6"/>
      <c r="B52" s="184" t="s">
        <v>342</v>
      </c>
      <c r="C52" s="184"/>
      <c r="D52" s="183" t="s">
        <v>266</v>
      </c>
      <c r="E52" s="186">
        <v>451200</v>
      </c>
      <c r="F52" s="187" t="s">
        <v>486</v>
      </c>
      <c r="G52" s="181"/>
    </row>
    <row r="53" spans="1:7" x14ac:dyDescent="0.3">
      <c r="A53" s="6"/>
      <c r="B53" s="184" t="s">
        <v>343</v>
      </c>
      <c r="C53" s="184"/>
      <c r="D53" s="183" t="s">
        <v>171</v>
      </c>
      <c r="E53" s="186">
        <v>28800</v>
      </c>
      <c r="F53" s="187" t="s">
        <v>486</v>
      </c>
      <c r="G53" s="181"/>
    </row>
    <row r="54" spans="1:7" x14ac:dyDescent="0.3">
      <c r="A54" s="6"/>
      <c r="B54" s="184" t="s">
        <v>169</v>
      </c>
      <c r="C54" s="184"/>
      <c r="D54" s="183" t="s">
        <v>98</v>
      </c>
      <c r="E54" s="186">
        <v>4400</v>
      </c>
      <c r="F54" s="187" t="s">
        <v>486</v>
      </c>
    </row>
    <row r="55" spans="1:7" x14ac:dyDescent="0.3">
      <c r="A55" s="6"/>
      <c r="B55" s="184" t="s">
        <v>605</v>
      </c>
      <c r="C55" s="184"/>
      <c r="D55" s="183"/>
      <c r="E55" s="183"/>
      <c r="F55" s="185"/>
    </row>
    <row r="56" spans="1:7" x14ac:dyDescent="0.3">
      <c r="A56" s="6"/>
      <c r="B56" s="184" t="s">
        <v>143</v>
      </c>
      <c r="C56" s="184"/>
      <c r="D56" s="183" t="s">
        <v>607</v>
      </c>
      <c r="E56" s="214">
        <v>0.5</v>
      </c>
      <c r="F56" s="182" t="s">
        <v>142</v>
      </c>
    </row>
    <row r="57" spans="1:7" x14ac:dyDescent="0.3">
      <c r="A57" s="6"/>
      <c r="B57" s="184" t="s">
        <v>603</v>
      </c>
      <c r="C57" s="184"/>
      <c r="D57" s="183" t="s">
        <v>607</v>
      </c>
      <c r="E57" s="214">
        <v>2.7</v>
      </c>
      <c r="F57" s="182" t="s">
        <v>142</v>
      </c>
    </row>
    <row r="58" spans="1:7" x14ac:dyDescent="0.3">
      <c r="A58" s="6"/>
      <c r="B58" s="184" t="s">
        <v>144</v>
      </c>
      <c r="C58" s="184"/>
      <c r="D58" s="183" t="s">
        <v>607</v>
      </c>
      <c r="E58" s="214">
        <v>4.2</v>
      </c>
      <c r="F58" s="182" t="s">
        <v>142</v>
      </c>
    </row>
    <row r="59" spans="1:7" x14ac:dyDescent="0.3">
      <c r="A59" s="6"/>
      <c r="B59" s="184" t="s">
        <v>145</v>
      </c>
      <c r="C59" s="184"/>
      <c r="D59" s="183" t="s">
        <v>607</v>
      </c>
      <c r="E59" s="214">
        <v>7.2</v>
      </c>
      <c r="F59" s="182" t="s">
        <v>142</v>
      </c>
    </row>
    <row r="60" spans="1:7" x14ac:dyDescent="0.3">
      <c r="A60" s="6"/>
      <c r="B60" s="184" t="s">
        <v>170</v>
      </c>
      <c r="C60" s="215"/>
      <c r="D60" s="183" t="s">
        <v>607</v>
      </c>
      <c r="E60" s="214">
        <v>36.799999999999997</v>
      </c>
      <c r="F60" s="182" t="s">
        <v>142</v>
      </c>
    </row>
    <row r="61" spans="1:7" x14ac:dyDescent="0.3">
      <c r="A61" s="6"/>
      <c r="B61" s="184" t="s">
        <v>604</v>
      </c>
      <c r="C61" s="184"/>
      <c r="D61" s="183"/>
      <c r="E61" s="183"/>
      <c r="F61" s="185"/>
    </row>
    <row r="62" spans="1:7" x14ac:dyDescent="0.3">
      <c r="A62" s="6"/>
      <c r="B62" s="184" t="s">
        <v>143</v>
      </c>
      <c r="C62" s="215"/>
      <c r="D62" s="183" t="s">
        <v>607</v>
      </c>
      <c r="E62" s="214">
        <v>0.2</v>
      </c>
      <c r="F62" s="182" t="s">
        <v>147</v>
      </c>
    </row>
    <row r="63" spans="1:7" x14ac:dyDescent="0.3">
      <c r="A63" s="6"/>
      <c r="B63" s="184" t="s">
        <v>603</v>
      </c>
      <c r="C63" s="184"/>
      <c r="D63" s="183" t="s">
        <v>607</v>
      </c>
      <c r="E63" s="214">
        <v>1.3</v>
      </c>
      <c r="F63" s="182" t="s">
        <v>148</v>
      </c>
    </row>
    <row r="64" spans="1:7" x14ac:dyDescent="0.3">
      <c r="A64" s="6"/>
      <c r="B64" s="184" t="s">
        <v>144</v>
      </c>
      <c r="C64" s="184"/>
      <c r="D64" s="183" t="s">
        <v>607</v>
      </c>
      <c r="E64" s="214">
        <v>2.8</v>
      </c>
      <c r="F64" s="182" t="s">
        <v>149</v>
      </c>
    </row>
    <row r="65" spans="1:8" x14ac:dyDescent="0.3">
      <c r="A65" s="6"/>
      <c r="B65" s="184" t="s">
        <v>145</v>
      </c>
      <c r="C65" s="184"/>
      <c r="D65" s="183" t="s">
        <v>607</v>
      </c>
      <c r="E65" s="214">
        <v>3.2</v>
      </c>
      <c r="F65" s="182" t="s">
        <v>150</v>
      </c>
    </row>
    <row r="66" spans="1:8" x14ac:dyDescent="0.3">
      <c r="A66" s="6"/>
      <c r="B66" s="184" t="s">
        <v>170</v>
      </c>
      <c r="C66" s="215"/>
      <c r="D66" s="183" t="s">
        <v>607</v>
      </c>
      <c r="E66" s="214">
        <v>16.8</v>
      </c>
      <c r="F66" s="182" t="s">
        <v>151</v>
      </c>
    </row>
    <row r="67" spans="1:8" x14ac:dyDescent="0.3">
      <c r="A67" s="6"/>
      <c r="B67" s="184" t="s">
        <v>606</v>
      </c>
      <c r="C67" s="184"/>
      <c r="D67" s="183"/>
      <c r="E67" s="183"/>
      <c r="F67" s="185"/>
    </row>
    <row r="68" spans="1:8" x14ac:dyDescent="0.3">
      <c r="A68" s="6"/>
      <c r="B68" s="184" t="s">
        <v>143</v>
      </c>
      <c r="C68" s="215"/>
      <c r="D68" s="183" t="s">
        <v>607</v>
      </c>
      <c r="E68" s="214">
        <v>0.1</v>
      </c>
      <c r="F68" s="182" t="s">
        <v>152</v>
      </c>
    </row>
    <row r="69" spans="1:8" x14ac:dyDescent="0.3">
      <c r="A69" s="6"/>
      <c r="B69" s="184" t="s">
        <v>603</v>
      </c>
      <c r="C69" s="184"/>
      <c r="D69" s="183" t="s">
        <v>607</v>
      </c>
      <c r="E69" s="214">
        <v>0.8</v>
      </c>
      <c r="F69" s="182" t="s">
        <v>153</v>
      </c>
    </row>
    <row r="70" spans="1:8" x14ac:dyDescent="0.3">
      <c r="A70" s="6"/>
      <c r="B70" s="184" t="s">
        <v>144</v>
      </c>
      <c r="C70" s="184"/>
      <c r="D70" s="183" t="s">
        <v>607</v>
      </c>
      <c r="E70" s="214">
        <v>4.8</v>
      </c>
      <c r="F70" s="182" t="s">
        <v>154</v>
      </c>
    </row>
    <row r="71" spans="1:8" x14ac:dyDescent="0.3">
      <c r="A71" s="6"/>
      <c r="B71" s="184" t="s">
        <v>145</v>
      </c>
      <c r="C71" s="184"/>
      <c r="D71" s="183" t="s">
        <v>607</v>
      </c>
      <c r="E71" s="214">
        <v>7.9</v>
      </c>
      <c r="F71" s="182" t="s">
        <v>155</v>
      </c>
    </row>
    <row r="72" spans="1:8" x14ac:dyDescent="0.3">
      <c r="A72" s="6"/>
      <c r="B72" s="184" t="s">
        <v>170</v>
      </c>
      <c r="C72" s="215"/>
      <c r="D72" s="183" t="s">
        <v>607</v>
      </c>
      <c r="E72" s="214">
        <v>33.799999999999997</v>
      </c>
      <c r="F72" s="182" t="s">
        <v>156</v>
      </c>
    </row>
    <row r="73" spans="1:8" x14ac:dyDescent="0.3">
      <c r="A73" s="6"/>
      <c r="B73" s="184" t="s">
        <v>326</v>
      </c>
      <c r="C73" s="215"/>
      <c r="D73" s="183"/>
      <c r="E73" s="182"/>
    </row>
    <row r="74" spans="1:8" x14ac:dyDescent="0.3">
      <c r="A74" s="6"/>
      <c r="B74" s="184" t="s">
        <v>143</v>
      </c>
      <c r="C74" s="215"/>
      <c r="D74" s="183" t="s">
        <v>327</v>
      </c>
      <c r="E74" s="485">
        <v>1</v>
      </c>
      <c r="F74" s="182" t="s">
        <v>328</v>
      </c>
    </row>
    <row r="75" spans="1:8" x14ac:dyDescent="0.3">
      <c r="A75" s="6"/>
      <c r="B75" s="184" t="s">
        <v>603</v>
      </c>
      <c r="C75" s="184"/>
      <c r="D75" s="183" t="s">
        <v>327</v>
      </c>
      <c r="E75" s="485">
        <v>1.61</v>
      </c>
      <c r="F75" s="182" t="s">
        <v>329</v>
      </c>
    </row>
    <row r="76" spans="1:8" x14ac:dyDescent="0.3">
      <c r="A76" s="6"/>
      <c r="B76" s="184" t="s">
        <v>144</v>
      </c>
      <c r="C76" s="184"/>
      <c r="D76" s="183" t="s">
        <v>327</v>
      </c>
      <c r="E76" s="485">
        <v>1.1499999999999999</v>
      </c>
      <c r="F76" s="182" t="s">
        <v>330</v>
      </c>
    </row>
    <row r="77" spans="1:8" x14ac:dyDescent="0.3">
      <c r="A77" s="6"/>
      <c r="B77" s="184" t="s">
        <v>145</v>
      </c>
      <c r="C77" s="184"/>
      <c r="D77" s="183" t="s">
        <v>327</v>
      </c>
      <c r="E77" s="485">
        <v>1.1499999999999999</v>
      </c>
      <c r="F77" s="182" t="s">
        <v>331</v>
      </c>
    </row>
    <row r="78" spans="1:8" x14ac:dyDescent="0.3">
      <c r="A78" s="6"/>
      <c r="B78" s="184" t="s">
        <v>170</v>
      </c>
      <c r="C78" s="215"/>
      <c r="D78" s="183" t="s">
        <v>327</v>
      </c>
      <c r="E78" s="485">
        <v>2.0299999999999998</v>
      </c>
      <c r="F78" s="182" t="s">
        <v>332</v>
      </c>
    </row>
    <row r="79" spans="1:8" s="162" customFormat="1" x14ac:dyDescent="0.3">
      <c r="A79" s="216"/>
      <c r="B79" s="184" t="s">
        <v>97</v>
      </c>
      <c r="C79" s="184"/>
      <c r="D79" s="183"/>
      <c r="E79" s="183"/>
      <c r="F79" s="182"/>
    </row>
    <row r="80" spans="1:8" s="162" customFormat="1" x14ac:dyDescent="0.3">
      <c r="B80" s="184" t="s">
        <v>138</v>
      </c>
      <c r="D80" s="183"/>
      <c r="E80" s="180">
        <v>0.74</v>
      </c>
      <c r="F80" s="187" t="s">
        <v>136</v>
      </c>
      <c r="G80" s="217"/>
      <c r="H80" s="216"/>
    </row>
    <row r="81" spans="2:8" s="162" customFormat="1" x14ac:dyDescent="0.3">
      <c r="B81" s="184" t="s">
        <v>267</v>
      </c>
      <c r="E81" s="180">
        <v>0.93</v>
      </c>
      <c r="F81" s="187" t="s">
        <v>137</v>
      </c>
    </row>
    <row r="82" spans="2:8" s="162" customFormat="1" x14ac:dyDescent="0.3">
      <c r="B82" s="184" t="s">
        <v>268</v>
      </c>
      <c r="E82" s="180">
        <v>0.89</v>
      </c>
      <c r="F82" s="187" t="s">
        <v>139</v>
      </c>
      <c r="G82" s="217"/>
      <c r="H82" s="216"/>
    </row>
    <row r="83" spans="2:8" s="162" customFormat="1" x14ac:dyDescent="0.3">
      <c r="B83" s="184" t="s">
        <v>140</v>
      </c>
      <c r="E83" s="180">
        <v>0.55000000000000004</v>
      </c>
      <c r="F83" s="187" t="s">
        <v>141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59999389629810485"/>
  </sheetPr>
  <dimension ref="A2:AP113"/>
  <sheetViews>
    <sheetView showGridLines="0" zoomScale="85" zoomScaleNormal="85" workbookViewId="0">
      <pane ySplit="10" topLeftCell="A11" activePane="bottomLeft" state="frozen"/>
      <selection pane="bottomLeft"/>
    </sheetView>
  </sheetViews>
  <sheetFormatPr defaultRowHeight="14.4" outlineLevelCol="1" x14ac:dyDescent="0.3"/>
  <cols>
    <col min="1" max="1" width="46.77734375" customWidth="1"/>
    <col min="2" max="2" width="29.77734375" customWidth="1"/>
    <col min="3" max="3" width="11.33203125" bestFit="1" customWidth="1"/>
    <col min="4" max="4" width="11.33203125" customWidth="1"/>
    <col min="5" max="5" width="13.77734375" customWidth="1"/>
    <col min="6" max="7" width="12.109375" customWidth="1"/>
    <col min="8" max="8" width="14.109375" customWidth="1"/>
    <col min="9" max="27" width="14.33203125" bestFit="1" customWidth="1"/>
    <col min="28" max="31" width="13.109375" customWidth="1"/>
    <col min="32" max="32" width="13.109375" hidden="1" customWidth="1" outlineLevel="1"/>
    <col min="33" max="34" width="12.33203125" hidden="1" customWidth="1" outlineLevel="1"/>
    <col min="35" max="41" width="12.5546875" hidden="1" customWidth="1" outlineLevel="1"/>
    <col min="42" max="42" width="12.5546875" customWidth="1" collapsed="1"/>
  </cols>
  <sheetData>
    <row r="2" spans="1:42" ht="23.4" x14ac:dyDescent="0.45">
      <c r="A2" s="583" t="s">
        <v>12</v>
      </c>
      <c r="B2" s="583"/>
      <c r="C2" s="107"/>
      <c r="D2" s="107"/>
      <c r="E2" s="107"/>
      <c r="F2" s="107"/>
      <c r="G2" s="107"/>
      <c r="H2" s="107"/>
    </row>
    <row r="3" spans="1:42" ht="16.2" customHeight="1" x14ac:dyDescent="0.45">
      <c r="A3" s="486"/>
      <c r="B3" s="486"/>
      <c r="C3" s="107"/>
      <c r="D3" s="107"/>
      <c r="E3" s="107"/>
      <c r="F3" s="107"/>
      <c r="G3" s="107"/>
      <c r="H3" s="107"/>
    </row>
    <row r="4" spans="1:42" x14ac:dyDescent="0.3">
      <c r="A4" s="96"/>
      <c r="B4" s="104" t="s">
        <v>1</v>
      </c>
      <c r="C4" s="105" t="s">
        <v>69</v>
      </c>
      <c r="D4" s="97">
        <f>Base.Year</f>
        <v>2019</v>
      </c>
      <c r="E4" s="97">
        <f t="shared" ref="E4:Y5" si="0">D4+1</f>
        <v>2020</v>
      </c>
      <c r="F4" s="97">
        <f t="shared" si="0"/>
        <v>2021</v>
      </c>
      <c r="G4" s="97">
        <f t="shared" si="0"/>
        <v>2022</v>
      </c>
      <c r="H4" s="97">
        <f t="shared" si="0"/>
        <v>2023</v>
      </c>
      <c r="I4" s="97">
        <f t="shared" si="0"/>
        <v>2024</v>
      </c>
      <c r="J4" s="97">
        <f t="shared" si="0"/>
        <v>2025</v>
      </c>
      <c r="K4" s="97">
        <f t="shared" si="0"/>
        <v>2026</v>
      </c>
      <c r="L4" s="97">
        <f t="shared" si="0"/>
        <v>2027</v>
      </c>
      <c r="M4" s="97">
        <f t="shared" si="0"/>
        <v>2028</v>
      </c>
      <c r="N4" s="97">
        <f t="shared" si="0"/>
        <v>2029</v>
      </c>
      <c r="O4" s="97">
        <f t="shared" si="0"/>
        <v>2030</v>
      </c>
      <c r="P4" s="97">
        <f t="shared" si="0"/>
        <v>2031</v>
      </c>
      <c r="Q4" s="97">
        <f t="shared" si="0"/>
        <v>2032</v>
      </c>
      <c r="R4" s="97">
        <f t="shared" si="0"/>
        <v>2033</v>
      </c>
      <c r="S4" s="97">
        <f t="shared" si="0"/>
        <v>2034</v>
      </c>
      <c r="T4" s="97">
        <f t="shared" si="0"/>
        <v>2035</v>
      </c>
      <c r="U4" s="97">
        <f t="shared" si="0"/>
        <v>2036</v>
      </c>
      <c r="V4" s="97">
        <f t="shared" si="0"/>
        <v>2037</v>
      </c>
      <c r="W4" s="97">
        <f t="shared" si="0"/>
        <v>2038</v>
      </c>
      <c r="X4" s="97">
        <f t="shared" si="0"/>
        <v>2039</v>
      </c>
      <c r="Y4" s="97">
        <f t="shared" si="0"/>
        <v>2040</v>
      </c>
      <c r="Z4" s="97">
        <f t="shared" ref="Z4:Z5" si="1">Y4+1</f>
        <v>2041</v>
      </c>
      <c r="AA4" s="97">
        <f t="shared" ref="AA4:AA5" si="2">Z4+1</f>
        <v>2042</v>
      </c>
      <c r="AB4" s="97">
        <f t="shared" ref="AB4:AB5" si="3">AA4+1</f>
        <v>2043</v>
      </c>
      <c r="AC4" s="97">
        <f t="shared" ref="AC4:AC5" si="4">AB4+1</f>
        <v>2044</v>
      </c>
      <c r="AD4" s="97">
        <f t="shared" ref="AD4:AD5" si="5">AC4+1</f>
        <v>2045</v>
      </c>
      <c r="AE4" s="97">
        <f t="shared" ref="AE4:AE5" si="6">AD4+1</f>
        <v>2046</v>
      </c>
      <c r="AF4" s="97">
        <f t="shared" ref="AF4:AF5" si="7">AE4+1</f>
        <v>2047</v>
      </c>
      <c r="AG4" s="97">
        <f t="shared" ref="AG4:AG5" si="8">AF4+1</f>
        <v>2048</v>
      </c>
      <c r="AH4" s="97">
        <f t="shared" ref="AH4:AH5" si="9">AG4+1</f>
        <v>2049</v>
      </c>
      <c r="AI4" s="97">
        <f t="shared" ref="AI4:AI5" si="10">AH4+1</f>
        <v>2050</v>
      </c>
      <c r="AJ4" s="97">
        <f t="shared" ref="AJ4:AJ5" si="11">AI4+1</f>
        <v>2051</v>
      </c>
      <c r="AK4" s="97">
        <f t="shared" ref="AK4:AK5" si="12">AJ4+1</f>
        <v>2052</v>
      </c>
      <c r="AL4" s="97">
        <f t="shared" ref="AL4:AL5" si="13">AK4+1</f>
        <v>2053</v>
      </c>
      <c r="AM4" s="97">
        <f t="shared" ref="AM4:AM5" si="14">AL4+1</f>
        <v>2054</v>
      </c>
      <c r="AN4" s="97">
        <f t="shared" ref="AN4:AO5" si="15">AM4+1</f>
        <v>2055</v>
      </c>
      <c r="AO4" s="97">
        <f t="shared" si="15"/>
        <v>2056</v>
      </c>
    </row>
    <row r="5" spans="1:42" ht="18" x14ac:dyDescent="0.35">
      <c r="A5" s="98" t="s">
        <v>61</v>
      </c>
      <c r="B5" s="136"/>
      <c r="C5" s="106"/>
      <c r="D5" s="4">
        <v>0</v>
      </c>
      <c r="E5" s="4">
        <v>0</v>
      </c>
      <c r="F5" s="4">
        <v>0</v>
      </c>
      <c r="G5" s="4">
        <v>0</v>
      </c>
      <c r="H5" s="4">
        <v>0</v>
      </c>
      <c r="I5" s="4">
        <v>0</v>
      </c>
      <c r="J5" s="4">
        <v>0</v>
      </c>
      <c r="K5" s="4">
        <v>0</v>
      </c>
      <c r="L5" s="4">
        <v>1</v>
      </c>
      <c r="M5" s="4">
        <f t="shared" si="0"/>
        <v>2</v>
      </c>
      <c r="N5" s="4">
        <f t="shared" si="0"/>
        <v>3</v>
      </c>
      <c r="O5" s="4">
        <f t="shared" si="0"/>
        <v>4</v>
      </c>
      <c r="P5" s="4">
        <f t="shared" si="0"/>
        <v>5</v>
      </c>
      <c r="Q5" s="4">
        <f t="shared" si="0"/>
        <v>6</v>
      </c>
      <c r="R5" s="4">
        <f t="shared" si="0"/>
        <v>7</v>
      </c>
      <c r="S5" s="4">
        <f t="shared" si="0"/>
        <v>8</v>
      </c>
      <c r="T5" s="4">
        <f t="shared" si="0"/>
        <v>9</v>
      </c>
      <c r="U5" s="4">
        <f t="shared" si="0"/>
        <v>10</v>
      </c>
      <c r="V5" s="4">
        <f t="shared" si="0"/>
        <v>11</v>
      </c>
      <c r="W5" s="4">
        <f t="shared" si="0"/>
        <v>12</v>
      </c>
      <c r="X5" s="4">
        <f t="shared" si="0"/>
        <v>13</v>
      </c>
      <c r="Y5" s="4">
        <f t="shared" si="0"/>
        <v>14</v>
      </c>
      <c r="Z5" s="4">
        <f t="shared" si="1"/>
        <v>15</v>
      </c>
      <c r="AA5" s="4">
        <f t="shared" si="2"/>
        <v>16</v>
      </c>
      <c r="AB5" s="4">
        <f t="shared" si="3"/>
        <v>17</v>
      </c>
      <c r="AC5" s="4">
        <f t="shared" si="4"/>
        <v>18</v>
      </c>
      <c r="AD5" s="4">
        <f t="shared" si="5"/>
        <v>19</v>
      </c>
      <c r="AE5" s="4">
        <f t="shared" si="6"/>
        <v>20</v>
      </c>
      <c r="AF5" s="4">
        <f t="shared" si="7"/>
        <v>21</v>
      </c>
      <c r="AG5" s="4">
        <f t="shared" si="8"/>
        <v>22</v>
      </c>
      <c r="AH5" s="4">
        <f t="shared" si="9"/>
        <v>23</v>
      </c>
      <c r="AI5" s="4">
        <f t="shared" si="10"/>
        <v>24</v>
      </c>
      <c r="AJ5" s="4">
        <f t="shared" si="11"/>
        <v>25</v>
      </c>
      <c r="AK5" s="4">
        <f t="shared" si="12"/>
        <v>26</v>
      </c>
      <c r="AL5" s="4">
        <f t="shared" si="13"/>
        <v>27</v>
      </c>
      <c r="AM5" s="4">
        <f t="shared" si="14"/>
        <v>28</v>
      </c>
      <c r="AN5" s="4">
        <f t="shared" si="15"/>
        <v>29</v>
      </c>
      <c r="AO5" s="4">
        <f t="shared" si="15"/>
        <v>30</v>
      </c>
    </row>
    <row r="6" spans="1:42" ht="15" x14ac:dyDescent="0.3">
      <c r="A6" s="98" t="s">
        <v>60</v>
      </c>
      <c r="B6" s="256" t="s">
        <v>5</v>
      </c>
      <c r="C6" s="99">
        <v>7.0000000000000007E-2</v>
      </c>
      <c r="D6" s="100">
        <f t="shared" ref="D6:AN6" si="16">1/(1+Real_discount_rate)^(D4-$D$4)</f>
        <v>1</v>
      </c>
      <c r="E6" s="100">
        <f t="shared" si="16"/>
        <v>0.93457943925233644</v>
      </c>
      <c r="F6" s="100">
        <f t="shared" si="16"/>
        <v>0.87343872827321156</v>
      </c>
      <c r="G6" s="100">
        <f t="shared" si="16"/>
        <v>0.81629787689085187</v>
      </c>
      <c r="H6" s="100">
        <f t="shared" si="16"/>
        <v>0.7628952120475252</v>
      </c>
      <c r="I6" s="100">
        <f t="shared" si="16"/>
        <v>0.71298617948366838</v>
      </c>
      <c r="J6" s="100">
        <f t="shared" si="16"/>
        <v>0.66634222381651254</v>
      </c>
      <c r="K6" s="100">
        <f t="shared" si="16"/>
        <v>0.62274974188459109</v>
      </c>
      <c r="L6" s="100">
        <f t="shared" si="16"/>
        <v>0.5820091045650384</v>
      </c>
      <c r="M6" s="100">
        <f t="shared" si="16"/>
        <v>0.54393374258414806</v>
      </c>
      <c r="N6" s="100">
        <f t="shared" si="16"/>
        <v>0.5083492921347178</v>
      </c>
      <c r="O6" s="100">
        <f t="shared" si="16"/>
        <v>0.47509279638758667</v>
      </c>
      <c r="P6" s="100">
        <f t="shared" si="16"/>
        <v>0.44401195924073528</v>
      </c>
      <c r="Q6" s="100">
        <f t="shared" si="16"/>
        <v>0.41496444788853759</v>
      </c>
      <c r="R6" s="100">
        <f t="shared" si="16"/>
        <v>0.3878172410173249</v>
      </c>
      <c r="S6" s="100">
        <f t="shared" si="16"/>
        <v>0.36244601964235967</v>
      </c>
      <c r="T6" s="100">
        <f t="shared" si="16"/>
        <v>0.33873459779659787</v>
      </c>
      <c r="U6" s="100">
        <f t="shared" si="16"/>
        <v>0.31657439046411018</v>
      </c>
      <c r="V6" s="100">
        <f t="shared" si="16"/>
        <v>0.29586391632159825</v>
      </c>
      <c r="W6" s="100">
        <f t="shared" si="16"/>
        <v>0.27650833301083949</v>
      </c>
      <c r="X6" s="100">
        <f t="shared" si="16"/>
        <v>0.2584190028138687</v>
      </c>
      <c r="Y6" s="100">
        <f t="shared" si="16"/>
        <v>0.24151308674193336</v>
      </c>
      <c r="Z6" s="100">
        <f t="shared" si="16"/>
        <v>0.22571316517937698</v>
      </c>
      <c r="AA6" s="100">
        <f t="shared" si="16"/>
        <v>0.21094688334521211</v>
      </c>
      <c r="AB6" s="100">
        <f t="shared" si="16"/>
        <v>0.19714661994879637</v>
      </c>
      <c r="AC6" s="100">
        <f t="shared" si="16"/>
        <v>0.18424917752223957</v>
      </c>
      <c r="AD6" s="100">
        <f t="shared" si="16"/>
        <v>0.17219549301143888</v>
      </c>
      <c r="AE6" s="100">
        <f t="shared" si="16"/>
        <v>0.16093036730041013</v>
      </c>
      <c r="AF6" s="100">
        <f t="shared" si="16"/>
        <v>0.15040221243028987</v>
      </c>
      <c r="AG6" s="100">
        <f t="shared" si="16"/>
        <v>0.1405628153554111</v>
      </c>
      <c r="AH6" s="100">
        <f t="shared" si="16"/>
        <v>0.13136711715458982</v>
      </c>
      <c r="AI6" s="100">
        <f t="shared" si="16"/>
        <v>0.1227730066865325</v>
      </c>
      <c r="AJ6" s="100">
        <f t="shared" si="16"/>
        <v>0.11474112774442291</v>
      </c>
      <c r="AK6" s="100">
        <f t="shared" si="16"/>
        <v>0.10723469882656347</v>
      </c>
      <c r="AL6" s="100">
        <f t="shared" si="16"/>
        <v>0.10021934469772288</v>
      </c>
      <c r="AM6" s="100">
        <f t="shared" si="16"/>
        <v>9.366293896983445E-2</v>
      </c>
      <c r="AN6" s="100">
        <f t="shared" si="16"/>
        <v>8.7535456981153698E-2</v>
      </c>
      <c r="AO6" s="100">
        <f t="shared" ref="AO6" si="17">1/(1+Real_discount_rate)^(AO4-$D$4)</f>
        <v>8.1808838300143641E-2</v>
      </c>
    </row>
    <row r="7" spans="1:42" ht="15" x14ac:dyDescent="0.3">
      <c r="A7" s="98" t="s">
        <v>60</v>
      </c>
      <c r="B7" s="256" t="s">
        <v>5</v>
      </c>
      <c r="C7" s="99">
        <v>0.03</v>
      </c>
      <c r="D7" s="100">
        <f t="shared" ref="D7:AN7" si="18">1/(1+Real_discount_rate_Sensitivity)^(D4-$D$4)</f>
        <v>1</v>
      </c>
      <c r="E7" s="100">
        <f t="shared" si="18"/>
        <v>0.970873786407767</v>
      </c>
      <c r="F7" s="100">
        <f t="shared" si="18"/>
        <v>0.94259590913375435</v>
      </c>
      <c r="G7" s="100">
        <f t="shared" si="18"/>
        <v>0.91514165935315961</v>
      </c>
      <c r="H7" s="100">
        <f t="shared" si="18"/>
        <v>0.888487047915689</v>
      </c>
      <c r="I7" s="100">
        <f t="shared" si="18"/>
        <v>0.86260878438416411</v>
      </c>
      <c r="J7" s="100">
        <f t="shared" si="18"/>
        <v>0.83748425668365445</v>
      </c>
      <c r="K7" s="100">
        <f t="shared" si="18"/>
        <v>0.81309151134335378</v>
      </c>
      <c r="L7" s="100">
        <f t="shared" si="18"/>
        <v>0.78940923431393573</v>
      </c>
      <c r="M7" s="100">
        <f t="shared" si="18"/>
        <v>0.76641673234362695</v>
      </c>
      <c r="N7" s="100">
        <f t="shared" si="18"/>
        <v>0.74409391489672516</v>
      </c>
      <c r="O7" s="100">
        <f t="shared" si="18"/>
        <v>0.72242127659876232</v>
      </c>
      <c r="P7" s="100">
        <f t="shared" si="18"/>
        <v>0.70137988019297326</v>
      </c>
      <c r="Q7" s="100">
        <f t="shared" si="18"/>
        <v>0.68095133999317792</v>
      </c>
      <c r="R7" s="100">
        <f t="shared" si="18"/>
        <v>0.66111780581861923</v>
      </c>
      <c r="S7" s="100">
        <f t="shared" si="18"/>
        <v>0.64186194739671765</v>
      </c>
      <c r="T7" s="100">
        <f t="shared" si="18"/>
        <v>0.62316693922011435</v>
      </c>
      <c r="U7" s="100">
        <f t="shared" si="18"/>
        <v>0.60501644584477121</v>
      </c>
      <c r="V7" s="100">
        <f t="shared" si="18"/>
        <v>0.5873946076162827</v>
      </c>
      <c r="W7" s="100">
        <f t="shared" si="18"/>
        <v>0.57028602681192497</v>
      </c>
      <c r="X7" s="100">
        <f t="shared" si="18"/>
        <v>0.55367575418633497</v>
      </c>
      <c r="Y7" s="100">
        <f t="shared" si="18"/>
        <v>0.5375492759090631</v>
      </c>
      <c r="Z7" s="100">
        <f t="shared" si="18"/>
        <v>0.52189250088258554</v>
      </c>
      <c r="AA7" s="100">
        <f t="shared" si="18"/>
        <v>0.50669174842969467</v>
      </c>
      <c r="AB7" s="100">
        <f t="shared" si="18"/>
        <v>0.49193373633950943</v>
      </c>
      <c r="AC7" s="100">
        <f t="shared" si="18"/>
        <v>0.47760556926165965</v>
      </c>
      <c r="AD7" s="100">
        <f t="shared" si="18"/>
        <v>0.46369472743850448</v>
      </c>
      <c r="AE7" s="100">
        <f t="shared" si="18"/>
        <v>0.45018905576553836</v>
      </c>
      <c r="AF7" s="100">
        <f t="shared" si="18"/>
        <v>0.4370767531704256</v>
      </c>
      <c r="AG7" s="100">
        <f t="shared" si="18"/>
        <v>0.42434636230138412</v>
      </c>
      <c r="AH7" s="100">
        <f t="shared" si="18"/>
        <v>0.41198675951590691</v>
      </c>
      <c r="AI7" s="100">
        <f t="shared" si="18"/>
        <v>0.39998714516107459</v>
      </c>
      <c r="AJ7" s="100">
        <f t="shared" si="18"/>
        <v>0.38833703413696569</v>
      </c>
      <c r="AK7" s="100">
        <f t="shared" si="18"/>
        <v>0.37702624673491814</v>
      </c>
      <c r="AL7" s="100">
        <f t="shared" si="18"/>
        <v>0.36604489974263904</v>
      </c>
      <c r="AM7" s="100">
        <f t="shared" si="18"/>
        <v>0.35538339780838735</v>
      </c>
      <c r="AN7" s="100">
        <f t="shared" si="18"/>
        <v>0.34503242505668674</v>
      </c>
      <c r="AO7" s="100">
        <f t="shared" ref="AO7" si="19">1/(1+Real_discount_rate_Sensitivity)^(AO4-$D$4)</f>
        <v>0.33498293694823961</v>
      </c>
    </row>
    <row r="8" spans="1:42" x14ac:dyDescent="0.3">
      <c r="B8" s="225"/>
    </row>
    <row r="9" spans="1:42" x14ac:dyDescent="0.3">
      <c r="A9" s="272" t="s">
        <v>273</v>
      </c>
      <c r="B9" s="271">
        <f>(AVERAGE(GrowthRate_Douglas_Anderson,GrowthRate_Anderson_I40))</f>
        <v>1.3533737311568816E-2</v>
      </c>
      <c r="C9" s="121"/>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row>
    <row r="10" spans="1:42" x14ac:dyDescent="0.3">
      <c r="A10" s="101"/>
      <c r="B10" s="135"/>
      <c r="C10" s="95"/>
      <c r="D10" s="245"/>
      <c r="E10" s="95"/>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row>
    <row r="11" spans="1:42" ht="15" x14ac:dyDescent="0.3">
      <c r="A11" s="102" t="s">
        <v>71</v>
      </c>
      <c r="B11" s="104" t="s">
        <v>1</v>
      </c>
      <c r="C11" s="105"/>
      <c r="D11" s="97">
        <f>Base.Year</f>
        <v>2019</v>
      </c>
      <c r="E11" s="97">
        <f t="shared" ref="E11" si="20">D11+1</f>
        <v>2020</v>
      </c>
      <c r="F11" s="97">
        <f t="shared" ref="F11" si="21">E11+1</f>
        <v>2021</v>
      </c>
      <c r="G11" s="97">
        <f t="shared" ref="G11" si="22">F11+1</f>
        <v>2022</v>
      </c>
      <c r="H11" s="97">
        <f t="shared" ref="H11" si="23">G11+1</f>
        <v>2023</v>
      </c>
      <c r="I11" s="97">
        <f t="shared" ref="I11" si="24">H11+1</f>
        <v>2024</v>
      </c>
      <c r="J11" s="97">
        <f t="shared" ref="J11" si="25">I11+1</f>
        <v>2025</v>
      </c>
      <c r="K11" s="97">
        <f t="shared" ref="K11" si="26">J11+1</f>
        <v>2026</v>
      </c>
      <c r="L11" s="97">
        <f t="shared" ref="L11" si="27">K11+1</f>
        <v>2027</v>
      </c>
      <c r="M11" s="97">
        <f t="shared" ref="M11" si="28">L11+1</f>
        <v>2028</v>
      </c>
      <c r="N11" s="97">
        <f t="shared" ref="N11" si="29">M11+1</f>
        <v>2029</v>
      </c>
      <c r="O11" s="97">
        <f t="shared" ref="O11" si="30">N11+1</f>
        <v>2030</v>
      </c>
      <c r="P11" s="97">
        <f t="shared" ref="P11" si="31">O11+1</f>
        <v>2031</v>
      </c>
      <c r="Q11" s="97">
        <f t="shared" ref="Q11" si="32">P11+1</f>
        <v>2032</v>
      </c>
      <c r="R11" s="97">
        <f t="shared" ref="R11" si="33">Q11+1</f>
        <v>2033</v>
      </c>
      <c r="S11" s="97">
        <f t="shared" ref="S11" si="34">R11+1</f>
        <v>2034</v>
      </c>
      <c r="T11" s="97">
        <f t="shared" ref="T11" si="35">S11+1</f>
        <v>2035</v>
      </c>
      <c r="U11" s="97">
        <f t="shared" ref="U11" si="36">T11+1</f>
        <v>2036</v>
      </c>
      <c r="V11" s="97">
        <f t="shared" ref="V11" si="37">U11+1</f>
        <v>2037</v>
      </c>
      <c r="W11" s="97">
        <f t="shared" ref="W11" si="38">V11+1</f>
        <v>2038</v>
      </c>
      <c r="X11" s="97">
        <f t="shared" ref="X11" si="39">W11+1</f>
        <v>2039</v>
      </c>
      <c r="Y11" s="97">
        <f t="shared" ref="Y11" si="40">X11+1</f>
        <v>2040</v>
      </c>
      <c r="Z11" s="97">
        <f t="shared" ref="Z11" si="41">Y11+1</f>
        <v>2041</v>
      </c>
      <c r="AA11" s="97">
        <f t="shared" ref="AA11" si="42">Z11+1</f>
        <v>2042</v>
      </c>
      <c r="AB11" s="97">
        <f t="shared" ref="AB11" si="43">AA11+1</f>
        <v>2043</v>
      </c>
      <c r="AC11" s="97">
        <f t="shared" ref="AC11" si="44">AB11+1</f>
        <v>2044</v>
      </c>
      <c r="AD11" s="97">
        <f t="shared" ref="AD11" si="45">AC11+1</f>
        <v>2045</v>
      </c>
      <c r="AE11" s="97">
        <f t="shared" ref="AE11" si="46">AD11+1</f>
        <v>2046</v>
      </c>
      <c r="AF11" s="97">
        <f t="shared" ref="AF11" si="47">AE11+1</f>
        <v>2047</v>
      </c>
      <c r="AG11" s="97">
        <f t="shared" ref="AG11" si="48">AF11+1</f>
        <v>2048</v>
      </c>
      <c r="AH11" s="97">
        <f t="shared" ref="AH11" si="49">AG11+1</f>
        <v>2049</v>
      </c>
      <c r="AI11" s="97">
        <f t="shared" ref="AI11" si="50">AH11+1</f>
        <v>2050</v>
      </c>
      <c r="AJ11" s="97">
        <f t="shared" ref="AJ11" si="51">AI11+1</f>
        <v>2051</v>
      </c>
      <c r="AK11" s="97">
        <f t="shared" ref="AK11" si="52">AJ11+1</f>
        <v>2052</v>
      </c>
      <c r="AL11" s="97">
        <f t="shared" ref="AL11" si="53">AK11+1</f>
        <v>2053</v>
      </c>
      <c r="AM11" s="97">
        <f t="shared" ref="AM11" si="54">AL11+1</f>
        <v>2054</v>
      </c>
      <c r="AN11" s="97">
        <f t="shared" ref="AN11:AO11" si="55">AM11+1</f>
        <v>2055</v>
      </c>
      <c r="AO11" s="97">
        <f t="shared" si="55"/>
        <v>2056</v>
      </c>
    </row>
    <row r="12" spans="1:42" s="126" customFormat="1" x14ac:dyDescent="0.3">
      <c r="A12" s="219" t="s">
        <v>335</v>
      </c>
      <c r="B12" s="132"/>
      <c r="C12" s="124"/>
      <c r="D12" s="124"/>
      <c r="E12" s="128"/>
      <c r="F12" s="128"/>
      <c r="G12" s="128"/>
      <c r="H12" s="128"/>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row>
    <row r="13" spans="1:42" s="126" customFormat="1" x14ac:dyDescent="0.3">
      <c r="A13" s="126" t="s">
        <v>143</v>
      </c>
      <c r="B13" s="132" t="s">
        <v>146</v>
      </c>
      <c r="C13" s="124"/>
      <c r="D13" s="223">
        <f>Acc_Fatal_Mainlanes*(1+$B$9)</f>
        <v>0.50676686865578446</v>
      </c>
      <c r="E13" s="223">
        <f>D13*(1+$B$9)</f>
        <v>0.51362531833437819</v>
      </c>
      <c r="F13" s="223">
        <f>E13*(1+$B$9)</f>
        <v>0.52057658846928667</v>
      </c>
      <c r="G13" s="223">
        <f t="shared" ref="G13:AF17" si="56">F13*(1+$B$9)</f>
        <v>0.52762193526818268</v>
      </c>
      <c r="H13" s="223">
        <f t="shared" si="56"/>
        <v>0.5347626319399239</v>
      </c>
      <c r="I13" s="223">
        <f t="shared" si="56"/>
        <v>0.54199996892464208</v>
      </c>
      <c r="J13" s="223">
        <f t="shared" si="56"/>
        <v>0.54933525412694673</v>
      </c>
      <c r="K13" s="223">
        <f>J13*(1+$B$9)</f>
        <v>0.5567698131522848</v>
      </c>
      <c r="L13" s="223">
        <f t="shared" si="56"/>
        <v>0.5643049895464991</v>
      </c>
      <c r="M13" s="223">
        <f t="shared" si="56"/>
        <v>0.57194214503862906</v>
      </c>
      <c r="N13" s="223">
        <f t="shared" si="56"/>
        <v>0.57968265978699707</v>
      </c>
      <c r="O13" s="223">
        <f t="shared" si="56"/>
        <v>0.5875279326286259</v>
      </c>
      <c r="P13" s="223">
        <f t="shared" si="56"/>
        <v>0.59547938133203093</v>
      </c>
      <c r="Q13" s="223">
        <f t="shared" si="56"/>
        <v>0.60353844285343428</v>
      </c>
      <c r="R13" s="223">
        <f t="shared" si="56"/>
        <v>0.61170657359644598</v>
      </c>
      <c r="S13" s="223">
        <f t="shared" si="56"/>
        <v>0.61998524967526014</v>
      </c>
      <c r="T13" s="223">
        <f t="shared" si="56"/>
        <v>0.62837596718141264</v>
      </c>
      <c r="U13" s="223">
        <f t="shared" si="56"/>
        <v>0.63688024245414898</v>
      </c>
      <c r="V13" s="223">
        <f t="shared" si="56"/>
        <v>0.64549961235445175</v>
      </c>
      <c r="W13" s="223">
        <f t="shared" si="56"/>
        <v>0.65423563454277645</v>
      </c>
      <c r="X13" s="223">
        <f t="shared" si="56"/>
        <v>0.663089887760546</v>
      </c>
      <c r="Y13" s="223">
        <f t="shared" si="56"/>
        <v>0.67206397211545499</v>
      </c>
      <c r="Z13" s="223">
        <f t="shared" si="56"/>
        <v>0.68115950937063519</v>
      </c>
      <c r="AA13" s="223">
        <f t="shared" si="56"/>
        <v>0.6903781432377345</v>
      </c>
      <c r="AB13" s="223">
        <f t="shared" si="56"/>
        <v>0.69972153967396267</v>
      </c>
      <c r="AC13" s="223">
        <f t="shared" si="56"/>
        <v>0.70919138718315666</v>
      </c>
      <c r="AD13" s="223">
        <f t="shared" si="56"/>
        <v>0.71878939712092071</v>
      </c>
      <c r="AE13" s="223">
        <f t="shared" si="56"/>
        <v>0.72851730400389625</v>
      </c>
      <c r="AF13" s="223">
        <f t="shared" si="56"/>
        <v>0.73837686582321738</v>
      </c>
      <c r="AG13" s="223">
        <f t="shared" ref="AG13:AG17" si="57">AF13*(1+$B$9)</f>
        <v>0.74836986436220843</v>
      </c>
      <c r="AH13" s="223">
        <f t="shared" ref="AH13:AH17" si="58">AG13*(1+$B$9)</f>
        <v>0.75849810551838104</v>
      </c>
      <c r="AI13" s="223">
        <f t="shared" ref="AI13:AI17" si="59">AH13*(1+$B$9)</f>
        <v>0.76876341962978945</v>
      </c>
      <c r="AJ13" s="223">
        <f t="shared" ref="AJ13:AJ17" si="60">AI13*(1+$B$9)</f>
        <v>0.77916766180580244</v>
      </c>
      <c r="AK13" s="223">
        <f t="shared" ref="AK13:AK17" si="61">AJ13*(1+$B$9)</f>
        <v>0.78971271226235151</v>
      </c>
      <c r="AL13" s="223">
        <f t="shared" ref="AL13:AL17" si="62">AK13*(1+$B$9)</f>
        <v>0.80040047666171676</v>
      </c>
      <c r="AM13" s="223">
        <f t="shared" ref="AM13:AM17" si="63">AL13*(1+$B$9)</f>
        <v>0.81123288645691094</v>
      </c>
      <c r="AN13" s="223">
        <f t="shared" ref="AN13:AO17" si="64">AM13*(1+$B$9)</f>
        <v>0.82221189924072458</v>
      </c>
      <c r="AO13" s="223">
        <f t="shared" si="64"/>
        <v>0.83333949909949467</v>
      </c>
    </row>
    <row r="14" spans="1:42" s="126" customFormat="1" x14ac:dyDescent="0.3">
      <c r="A14" s="126" t="s">
        <v>344</v>
      </c>
      <c r="B14" s="132" t="s">
        <v>146</v>
      </c>
      <c r="C14" s="124"/>
      <c r="D14" s="223">
        <f>Acc_IncapacitatingInj_Mailanes*(1+$B$9)</f>
        <v>2.7365410907412362</v>
      </c>
      <c r="E14" s="223">
        <f t="shared" ref="E14:T17" si="65">D14*(1+$B$9)</f>
        <v>2.7735767190056424</v>
      </c>
      <c r="F14" s="223">
        <f>E14*(1+$B$9)</f>
        <v>2.8111135777341478</v>
      </c>
      <c r="G14" s="223">
        <f t="shared" si="65"/>
        <v>2.8491584504481864</v>
      </c>
      <c r="H14" s="223">
        <f t="shared" si="65"/>
        <v>2.8877182124755891</v>
      </c>
      <c r="I14" s="223">
        <f t="shared" si="65"/>
        <v>2.9267998321930673</v>
      </c>
      <c r="J14" s="223">
        <f t="shared" si="65"/>
        <v>2.9664103722855124</v>
      </c>
      <c r="K14" s="223">
        <f t="shared" si="65"/>
        <v>3.0065569910223378</v>
      </c>
      <c r="L14" s="223">
        <f t="shared" si="65"/>
        <v>3.0472469435510954</v>
      </c>
      <c r="M14" s="223">
        <f t="shared" si="65"/>
        <v>3.0884875832085972</v>
      </c>
      <c r="N14" s="223">
        <f t="shared" si="65"/>
        <v>3.1302863628497848</v>
      </c>
      <c r="O14" s="223">
        <f t="shared" si="65"/>
        <v>3.1726508361945802</v>
      </c>
      <c r="P14" s="223">
        <f t="shared" si="65"/>
        <v>3.2155886591929672</v>
      </c>
      <c r="Q14" s="223">
        <f t="shared" si="65"/>
        <v>3.259107591408545</v>
      </c>
      <c r="R14" s="223">
        <f t="shared" si="65"/>
        <v>3.3032154974208083</v>
      </c>
      <c r="S14" s="223">
        <f t="shared" si="65"/>
        <v>3.3479203482464048</v>
      </c>
      <c r="T14" s="223">
        <f t="shared" si="65"/>
        <v>3.393230222779628</v>
      </c>
      <c r="U14" s="223">
        <f t="shared" si="56"/>
        <v>3.4391533092524043</v>
      </c>
      <c r="V14" s="223">
        <f t="shared" si="56"/>
        <v>3.4856979067140395</v>
      </c>
      <c r="W14" s="223">
        <f t="shared" si="56"/>
        <v>3.532872426530993</v>
      </c>
      <c r="X14" s="223">
        <f t="shared" si="56"/>
        <v>3.5806853939069487</v>
      </c>
      <c r="Y14" s="223">
        <f t="shared" si="56"/>
        <v>3.629145449423457</v>
      </c>
      <c r="Z14" s="223">
        <f t="shared" si="56"/>
        <v>3.6782613506014297</v>
      </c>
      <c r="AA14" s="223">
        <f t="shared" si="56"/>
        <v>3.7280419734837662</v>
      </c>
      <c r="AB14" s="223">
        <f t="shared" si="56"/>
        <v>3.7784963142393986</v>
      </c>
      <c r="AC14" s="223">
        <f t="shared" si="56"/>
        <v>3.8296334907890461</v>
      </c>
      <c r="AD14" s="223">
        <f t="shared" si="56"/>
        <v>3.8814627444529717</v>
      </c>
      <c r="AE14" s="223">
        <f t="shared" si="56"/>
        <v>3.9339934416210398</v>
      </c>
      <c r="AF14" s="223">
        <f t="shared" si="56"/>
        <v>3.987235075445374</v>
      </c>
      <c r="AG14" s="223">
        <f t="shared" si="57"/>
        <v>4.0411972675559253</v>
      </c>
      <c r="AH14" s="223">
        <f t="shared" si="58"/>
        <v>4.0958897697992578</v>
      </c>
      <c r="AI14" s="223">
        <f t="shared" si="59"/>
        <v>4.1513224660008632</v>
      </c>
      <c r="AJ14" s="223">
        <f t="shared" si="60"/>
        <v>4.2075053737513333</v>
      </c>
      <c r="AK14" s="223">
        <f t="shared" si="61"/>
        <v>4.2644486462166986</v>
      </c>
      <c r="AL14" s="223">
        <f t="shared" si="62"/>
        <v>4.3221625739732712</v>
      </c>
      <c r="AM14" s="223">
        <f t="shared" si="63"/>
        <v>4.3806575868673203</v>
      </c>
      <c r="AN14" s="223">
        <f t="shared" si="64"/>
        <v>4.4399442558999143</v>
      </c>
      <c r="AO14" s="223">
        <f t="shared" si="64"/>
        <v>4.500033295137273</v>
      </c>
    </row>
    <row r="15" spans="1:42" s="126" customFormat="1" x14ac:dyDescent="0.3">
      <c r="A15" s="126" t="s">
        <v>345</v>
      </c>
      <c r="B15" s="132" t="s">
        <v>146</v>
      </c>
      <c r="C15" s="124"/>
      <c r="D15" s="223">
        <f>Acc_NonIncapacitatingInj_mainlanes*(1+$B$9)</f>
        <v>4.25684169670859</v>
      </c>
      <c r="E15" s="223">
        <f t="shared" si="65"/>
        <v>4.3144526740087779</v>
      </c>
      <c r="F15" s="223">
        <f>E15*(1+$B$9)</f>
        <v>4.3728433431420086</v>
      </c>
      <c r="G15" s="223">
        <f t="shared" si="56"/>
        <v>4.4320242562527357</v>
      </c>
      <c r="H15" s="223">
        <f t="shared" si="56"/>
        <v>4.492006108295362</v>
      </c>
      <c r="I15" s="223">
        <f t="shared" si="56"/>
        <v>4.5527997389669945</v>
      </c>
      <c r="J15" s="223">
        <f t="shared" si="56"/>
        <v>4.614416134666353</v>
      </c>
      <c r="K15" s="223">
        <f t="shared" si="56"/>
        <v>4.6768664304791931</v>
      </c>
      <c r="L15" s="223">
        <f t="shared" si="56"/>
        <v>4.7401619121905938</v>
      </c>
      <c r="M15" s="223">
        <f t="shared" si="56"/>
        <v>4.8043140183244857</v>
      </c>
      <c r="N15" s="223">
        <f t="shared" si="56"/>
        <v>4.8693343422107773</v>
      </c>
      <c r="O15" s="223">
        <f t="shared" si="56"/>
        <v>4.9352346340804596</v>
      </c>
      <c r="P15" s="223">
        <f t="shared" si="56"/>
        <v>5.0020268031890618</v>
      </c>
      <c r="Q15" s="223">
        <f t="shared" si="56"/>
        <v>5.0697229199688492</v>
      </c>
      <c r="R15" s="223">
        <f t="shared" si="56"/>
        <v>5.1383352182101474</v>
      </c>
      <c r="S15" s="223">
        <f t="shared" si="56"/>
        <v>5.2078760972721865</v>
      </c>
      <c r="T15" s="223">
        <f t="shared" si="56"/>
        <v>5.2783581243238666</v>
      </c>
      <c r="U15" s="223">
        <f t="shared" si="56"/>
        <v>5.3497940366148518</v>
      </c>
      <c r="V15" s="223">
        <f t="shared" si="56"/>
        <v>5.4221967437773948</v>
      </c>
      <c r="W15" s="223">
        <f t="shared" si="56"/>
        <v>5.4955793301593223</v>
      </c>
      <c r="X15" s="223">
        <f t="shared" si="56"/>
        <v>5.5699550571885865</v>
      </c>
      <c r="Y15" s="223">
        <f t="shared" si="56"/>
        <v>5.645337365769822</v>
      </c>
      <c r="Z15" s="223">
        <f t="shared" si="56"/>
        <v>5.7217398787133353</v>
      </c>
      <c r="AA15" s="223">
        <f t="shared" si="56"/>
        <v>5.7991764031969701</v>
      </c>
      <c r="AB15" s="223">
        <f t="shared" si="56"/>
        <v>5.8776609332612875</v>
      </c>
      <c r="AC15" s="223">
        <f t="shared" si="56"/>
        <v>5.9572076523385169</v>
      </c>
      <c r="AD15" s="223">
        <f t="shared" si="56"/>
        <v>6.0378309358157347</v>
      </c>
      <c r="AE15" s="223">
        <f t="shared" si="56"/>
        <v>6.1195453536327289</v>
      </c>
      <c r="AF15" s="223">
        <f t="shared" si="56"/>
        <v>6.2023656729150263</v>
      </c>
      <c r="AG15" s="223">
        <f t="shared" si="57"/>
        <v>6.2863068606425507</v>
      </c>
      <c r="AH15" s="223">
        <f t="shared" si="58"/>
        <v>6.3713840863544009</v>
      </c>
      <c r="AI15" s="223">
        <f t="shared" si="59"/>
        <v>6.4576127248902315</v>
      </c>
      <c r="AJ15" s="223">
        <f t="shared" si="60"/>
        <v>6.5450083591687411</v>
      </c>
      <c r="AK15" s="223">
        <f t="shared" si="61"/>
        <v>6.6335867830037536</v>
      </c>
      <c r="AL15" s="223">
        <f t="shared" si="62"/>
        <v>6.7233640039584222</v>
      </c>
      <c r="AM15" s="223">
        <f t="shared" si="63"/>
        <v>6.814356246238054</v>
      </c>
      <c r="AN15" s="223">
        <f t="shared" si="64"/>
        <v>6.9065799536220887</v>
      </c>
      <c r="AO15" s="223">
        <f t="shared" si="64"/>
        <v>7.0000517924357579</v>
      </c>
    </row>
    <row r="16" spans="1:42" s="126" customFormat="1" x14ac:dyDescent="0.3">
      <c r="A16" s="126" t="s">
        <v>346</v>
      </c>
      <c r="B16" s="132" t="s">
        <v>146</v>
      </c>
      <c r="C16" s="124"/>
      <c r="D16" s="223">
        <f>Acc_PossibleInj_Mainlanes*(1+$B$9)</f>
        <v>7.2974429086432968</v>
      </c>
      <c r="E16" s="223">
        <f t="shared" si="65"/>
        <v>7.396204584015047</v>
      </c>
      <c r="F16" s="223">
        <f>E16*(1+$B$9)</f>
        <v>7.4963028739577284</v>
      </c>
      <c r="G16" s="223">
        <f t="shared" si="56"/>
        <v>7.5977558678618315</v>
      </c>
      <c r="H16" s="223">
        <f t="shared" si="56"/>
        <v>7.7005818999349049</v>
      </c>
      <c r="I16" s="223">
        <f t="shared" si="56"/>
        <v>7.8047995525148464</v>
      </c>
      <c r="J16" s="223">
        <f t="shared" si="56"/>
        <v>7.9104276594280334</v>
      </c>
      <c r="K16" s="223">
        <f t="shared" si="56"/>
        <v>8.0174853093929013</v>
      </c>
      <c r="L16" s="223">
        <f t="shared" si="56"/>
        <v>8.1259918494695871</v>
      </c>
      <c r="M16" s="223">
        <f t="shared" si="56"/>
        <v>8.2359668885562591</v>
      </c>
      <c r="N16" s="223">
        <f t="shared" si="56"/>
        <v>8.3474303009327588</v>
      </c>
      <c r="O16" s="223">
        <f t="shared" si="56"/>
        <v>8.4604022298522139</v>
      </c>
      <c r="P16" s="223">
        <f t="shared" si="56"/>
        <v>8.5749030911812465</v>
      </c>
      <c r="Q16" s="223">
        <f t="shared" si="56"/>
        <v>8.6909535770894539</v>
      </c>
      <c r="R16" s="223">
        <f t="shared" si="56"/>
        <v>8.8085746597888228</v>
      </c>
      <c r="S16" s="223">
        <f t="shared" si="56"/>
        <v>8.927787595323748</v>
      </c>
      <c r="T16" s="223">
        <f t="shared" si="56"/>
        <v>9.0486139274123438</v>
      </c>
      <c r="U16" s="223">
        <f t="shared" si="56"/>
        <v>9.1710754913397459</v>
      </c>
      <c r="V16" s="223">
        <f t="shared" si="56"/>
        <v>9.2951944179041064</v>
      </c>
      <c r="W16" s="223">
        <f t="shared" si="56"/>
        <v>9.4209931374159819</v>
      </c>
      <c r="X16" s="223">
        <f t="shared" si="56"/>
        <v>9.5484943837518639</v>
      </c>
      <c r="Y16" s="223">
        <f t="shared" si="56"/>
        <v>9.6777211984625531</v>
      </c>
      <c r="Z16" s="223">
        <f t="shared" si="56"/>
        <v>9.8086969349371476</v>
      </c>
      <c r="AA16" s="223">
        <f t="shared" si="56"/>
        <v>9.9414452626233789</v>
      </c>
      <c r="AB16" s="223">
        <f t="shared" si="56"/>
        <v>10.075990171305065</v>
      </c>
      <c r="AC16" s="223">
        <f t="shared" si="56"/>
        <v>10.212355975437458</v>
      </c>
      <c r="AD16" s="223">
        <f t="shared" si="56"/>
        <v>10.350567318541259</v>
      </c>
      <c r="AE16" s="223">
        <f t="shared" si="56"/>
        <v>10.490649177656106</v>
      </c>
      <c r="AF16" s="223">
        <f t="shared" si="56"/>
        <v>10.632626867854331</v>
      </c>
      <c r="AG16" s="223">
        <f t="shared" si="57"/>
        <v>10.776526046815802</v>
      </c>
      <c r="AH16" s="223">
        <f t="shared" si="58"/>
        <v>10.922372719464686</v>
      </c>
      <c r="AI16" s="223">
        <f t="shared" si="59"/>
        <v>11.070193242668967</v>
      </c>
      <c r="AJ16" s="223">
        <f t="shared" si="60"/>
        <v>11.220014330003554</v>
      </c>
      <c r="AK16" s="223">
        <f t="shared" si="61"/>
        <v>11.371863056577862</v>
      </c>
      <c r="AL16" s="223">
        <f t="shared" si="62"/>
        <v>11.525766863928721</v>
      </c>
      <c r="AM16" s="223">
        <f t="shared" si="63"/>
        <v>11.681753564979518</v>
      </c>
      <c r="AN16" s="223">
        <f t="shared" si="64"/>
        <v>11.839851349066434</v>
      </c>
      <c r="AO16" s="223">
        <f t="shared" si="64"/>
        <v>12.000088787032723</v>
      </c>
    </row>
    <row r="17" spans="1:41" s="126" customFormat="1" x14ac:dyDescent="0.3">
      <c r="A17" s="126" t="s">
        <v>347</v>
      </c>
      <c r="B17" s="132" t="s">
        <v>146</v>
      </c>
      <c r="C17" s="124"/>
      <c r="D17" s="223">
        <f>Acc_PDO_Mainlanes*(1+$B$9)</f>
        <v>37.298041533065735</v>
      </c>
      <c r="E17" s="223">
        <f t="shared" si="65"/>
        <v>37.802823429410232</v>
      </c>
      <c r="F17" s="223">
        <f>E17*(1+$B$9)</f>
        <v>38.314436911339492</v>
      </c>
      <c r="G17" s="223">
        <f t="shared" si="56"/>
        <v>38.832974435738244</v>
      </c>
      <c r="H17" s="223">
        <f t="shared" si="56"/>
        <v>39.358529710778399</v>
      </c>
      <c r="I17" s="223">
        <f t="shared" si="56"/>
        <v>39.891197712853653</v>
      </c>
      <c r="J17" s="223">
        <f t="shared" si="56"/>
        <v>40.431074703743271</v>
      </c>
      <c r="K17" s="223">
        <f t="shared" si="56"/>
        <v>40.978258248008153</v>
      </c>
      <c r="L17" s="223">
        <f t="shared" si="56"/>
        <v>41.53284723062233</v>
      </c>
      <c r="M17" s="223">
        <f t="shared" si="56"/>
        <v>42.094941874843094</v>
      </c>
      <c r="N17" s="223">
        <f t="shared" si="56"/>
        <v>42.664643760322981</v>
      </c>
      <c r="O17" s="223">
        <f t="shared" si="56"/>
        <v>43.242055841466858</v>
      </c>
      <c r="P17" s="223">
        <f t="shared" si="56"/>
        <v>43.827282466037467</v>
      </c>
      <c r="Q17" s="223">
        <f t="shared" si="56"/>
        <v>44.42042939401275</v>
      </c>
      <c r="R17" s="223">
        <f t="shared" si="56"/>
        <v>45.021603816698416</v>
      </c>
      <c r="S17" s="223">
        <f t="shared" si="56"/>
        <v>45.630914376099142</v>
      </c>
      <c r="T17" s="223">
        <f t="shared" si="56"/>
        <v>46.24847118455196</v>
      </c>
      <c r="U17" s="223">
        <f t="shared" si="56"/>
        <v>46.874385844625351</v>
      </c>
      <c r="V17" s="223">
        <f t="shared" si="56"/>
        <v>47.508771469287638</v>
      </c>
      <c r="W17" s="223">
        <f t="shared" si="56"/>
        <v>48.151742702348336</v>
      </c>
      <c r="X17" s="223">
        <f t="shared" si="56"/>
        <v>48.803415739176174</v>
      </c>
      <c r="Y17" s="223">
        <f t="shared" si="56"/>
        <v>49.463908347697476</v>
      </c>
      <c r="Z17" s="223">
        <f t="shared" si="56"/>
        <v>50.133339889678737</v>
      </c>
      <c r="AA17" s="223">
        <f t="shared" si="56"/>
        <v>50.811831342297246</v>
      </c>
      <c r="AB17" s="223">
        <f t="shared" si="56"/>
        <v>51.499505320003642</v>
      </c>
      <c r="AC17" s="223">
        <f t="shared" si="56"/>
        <v>52.196486096680317</v>
      </c>
      <c r="AD17" s="223">
        <f t="shared" si="56"/>
        <v>52.902899628099746</v>
      </c>
      <c r="AE17" s="223">
        <f t="shared" si="56"/>
        <v>53.618873574686745</v>
      </c>
      <c r="AF17" s="223">
        <f t="shared" si="56"/>
        <v>54.344537324588778</v>
      </c>
      <c r="AG17" s="223">
        <f t="shared" si="57"/>
        <v>55.080022017058518</v>
      </c>
      <c r="AH17" s="223">
        <f t="shared" si="58"/>
        <v>55.82546056615282</v>
      </c>
      <c r="AI17" s="223">
        <f t="shared" si="59"/>
        <v>56.580987684752479</v>
      </c>
      <c r="AJ17" s="223">
        <f t="shared" si="60"/>
        <v>57.346739908907033</v>
      </c>
      <c r="AK17" s="223">
        <f t="shared" si="61"/>
        <v>58.12285562250905</v>
      </c>
      <c r="AL17" s="223">
        <f t="shared" si="62"/>
        <v>58.909475082302336</v>
      </c>
      <c r="AM17" s="223">
        <f t="shared" si="63"/>
        <v>59.706740443228632</v>
      </c>
      <c r="AN17" s="223">
        <f t="shared" si="64"/>
        <v>60.514795784117318</v>
      </c>
      <c r="AO17" s="223">
        <f t="shared" si="64"/>
        <v>61.333787133722801</v>
      </c>
    </row>
    <row r="18" spans="1:41" s="126" customFormat="1" ht="15" x14ac:dyDescent="0.3">
      <c r="B18" s="132"/>
      <c r="C18" s="124"/>
      <c r="D18" s="128"/>
      <c r="E18" s="128"/>
      <c r="F18" s="128"/>
      <c r="G18" s="128"/>
      <c r="H18" s="128"/>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row>
    <row r="19" spans="1:41" s="126" customFormat="1" ht="15" x14ac:dyDescent="0.3">
      <c r="A19" s="219" t="s">
        <v>163</v>
      </c>
      <c r="B19" s="132"/>
      <c r="C19" s="124"/>
      <c r="D19" s="128"/>
      <c r="E19" s="128"/>
      <c r="F19" s="128"/>
      <c r="G19" s="128"/>
      <c r="H19" s="128"/>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row>
    <row r="20" spans="1:41" s="126" customFormat="1" x14ac:dyDescent="0.3">
      <c r="A20" s="126" t="s">
        <v>143</v>
      </c>
      <c r="B20" s="132" t="s">
        <v>146</v>
      </c>
      <c r="C20" s="124"/>
      <c r="D20" s="222">
        <f>Acc_Fatal_AndersonInt*(1+$B$9)</f>
        <v>0.20270674746231379</v>
      </c>
      <c r="E20" s="222">
        <f>D20*(1+$B$9)</f>
        <v>0.20545012733375129</v>
      </c>
      <c r="F20" s="222">
        <f>E20*(1+$B$9)</f>
        <v>0.20823063538771466</v>
      </c>
      <c r="G20" s="222">
        <f t="shared" ref="G20:AF24" si="66">F20*(1+$B$9)</f>
        <v>0.21104877410727307</v>
      </c>
      <c r="H20" s="222">
        <f t="shared" si="66"/>
        <v>0.21390505277596955</v>
      </c>
      <c r="I20" s="222">
        <f t="shared" si="66"/>
        <v>0.2167999875698568</v>
      </c>
      <c r="J20" s="222">
        <f t="shared" si="66"/>
        <v>0.21973410165077864</v>
      </c>
      <c r="K20" s="222">
        <f t="shared" si="66"/>
        <v>0.22270792526091387</v>
      </c>
      <c r="L20" s="222">
        <f t="shared" si="66"/>
        <v>0.22572199581859961</v>
      </c>
      <c r="M20" s="222">
        <f t="shared" si="66"/>
        <v>0.22877685801545161</v>
      </c>
      <c r="N20" s="222">
        <f t="shared" si="66"/>
        <v>0.23187306391479884</v>
      </c>
      <c r="O20" s="222">
        <f t="shared" si="66"/>
        <v>0.23501117305145036</v>
      </c>
      <c r="P20" s="222">
        <f t="shared" si="66"/>
        <v>0.23819175253281236</v>
      </c>
      <c r="Q20" s="222">
        <f t="shared" si="66"/>
        <v>0.24141537714137368</v>
      </c>
      <c r="R20" s="222">
        <f t="shared" si="66"/>
        <v>0.24468262943857838</v>
      </c>
      <c r="S20" s="222">
        <f t="shared" si="66"/>
        <v>0.24799409987010407</v>
      </c>
      <c r="T20" s="222">
        <f t="shared" si="66"/>
        <v>0.25135038687256506</v>
      </c>
      <c r="U20" s="222">
        <f t="shared" si="66"/>
        <v>0.25475209698165957</v>
      </c>
      <c r="V20" s="222">
        <f t="shared" si="66"/>
        <v>0.25819984494178067</v>
      </c>
      <c r="W20" s="222">
        <f t="shared" si="66"/>
        <v>0.26169425381711053</v>
      </c>
      <c r="X20" s="222">
        <f t="shared" si="66"/>
        <v>0.26523595510421838</v>
      </c>
      <c r="Y20" s="222">
        <f t="shared" si="66"/>
        <v>0.26882558884618196</v>
      </c>
      <c r="Z20" s="222">
        <f t="shared" si="66"/>
        <v>0.27246380374825402</v>
      </c>
      <c r="AA20" s="222">
        <f t="shared" si="66"/>
        <v>0.27615125729509377</v>
      </c>
      <c r="AB20" s="222">
        <f t="shared" si="66"/>
        <v>0.27988861586958502</v>
      </c>
      <c r="AC20" s="222">
        <f t="shared" si="66"/>
        <v>0.2836765548732626</v>
      </c>
      <c r="AD20" s="222">
        <f t="shared" si="66"/>
        <v>0.28751575884836822</v>
      </c>
      <c r="AE20" s="222">
        <f t="shared" si="66"/>
        <v>0.29140692160155846</v>
      </c>
      <c r="AF20" s="222">
        <f t="shared" si="66"/>
        <v>0.29535074632928693</v>
      </c>
      <c r="AG20" s="222">
        <f t="shared" ref="AG20:AG24" si="67">AF20*(1+$B$9)</f>
        <v>0.29934794574488333</v>
      </c>
      <c r="AH20" s="222">
        <f t="shared" ref="AH20:AH24" si="68">AG20*(1+$B$9)</f>
        <v>0.30339924220735237</v>
      </c>
      <c r="AI20" s="222">
        <f t="shared" ref="AI20:AI24" si="69">AH20*(1+$B$9)</f>
        <v>0.30750536785191573</v>
      </c>
      <c r="AJ20" s="222">
        <f t="shared" ref="AJ20:AJ24" si="70">AI20*(1+$B$9)</f>
        <v>0.31166706472232092</v>
      </c>
      <c r="AK20" s="222">
        <f t="shared" ref="AK20:AK24" si="71">AJ20*(1+$B$9)</f>
        <v>0.31588508490494055</v>
      </c>
      <c r="AL20" s="222">
        <f t="shared" ref="AL20:AL24" si="72">AK20*(1+$B$9)</f>
        <v>0.32016019066468665</v>
      </c>
      <c r="AM20" s="222">
        <f t="shared" ref="AM20:AM24" si="73">AL20*(1+$B$9)</f>
        <v>0.32449315458276434</v>
      </c>
      <c r="AN20" s="222">
        <f t="shared" ref="AN20:AO24" si="74">AM20*(1+$B$9)</f>
        <v>0.32888475969628983</v>
      </c>
      <c r="AO20" s="222">
        <f t="shared" si="74"/>
        <v>0.33333579963979787</v>
      </c>
    </row>
    <row r="21" spans="1:41" s="126" customFormat="1" x14ac:dyDescent="0.3">
      <c r="A21" s="126" t="s">
        <v>344</v>
      </c>
      <c r="B21" s="132" t="s">
        <v>146</v>
      </c>
      <c r="C21" s="124"/>
      <c r="D21" s="222">
        <f>Acc_IncapacitatingInj_Anderson_Int*(1+$B$9)</f>
        <v>1.3175938585050397</v>
      </c>
      <c r="E21" s="222">
        <f t="shared" ref="E21:T24" si="75">D21*(1+$B$9)</f>
        <v>1.3354258276693836</v>
      </c>
      <c r="F21" s="222">
        <f>E21*(1+$B$9)</f>
        <v>1.3534991300201455</v>
      </c>
      <c r="G21" s="222">
        <f t="shared" si="75"/>
        <v>1.3718170316972753</v>
      </c>
      <c r="H21" s="222">
        <f t="shared" si="75"/>
        <v>1.3903828430438026</v>
      </c>
      <c r="I21" s="222">
        <f t="shared" si="75"/>
        <v>1.4091999192040698</v>
      </c>
      <c r="J21" s="222">
        <f t="shared" si="75"/>
        <v>1.4282716607300618</v>
      </c>
      <c r="K21" s="222">
        <f t="shared" si="75"/>
        <v>1.4476015141959409</v>
      </c>
      <c r="L21" s="222">
        <f t="shared" si="75"/>
        <v>1.4671929728208981</v>
      </c>
      <c r="M21" s="222">
        <f t="shared" si="75"/>
        <v>1.4870495771004359</v>
      </c>
      <c r="N21" s="222">
        <f t="shared" si="75"/>
        <v>1.5071749154461929</v>
      </c>
      <c r="O21" s="222">
        <f t="shared" si="75"/>
        <v>1.5275726248344277</v>
      </c>
      <c r="P21" s="222">
        <f t="shared" si="75"/>
        <v>1.5482463914632807</v>
      </c>
      <c r="Q21" s="222">
        <f t="shared" si="75"/>
        <v>1.5691999514189292</v>
      </c>
      <c r="R21" s="222">
        <f t="shared" si="75"/>
        <v>1.5904370913507597</v>
      </c>
      <c r="S21" s="222">
        <f t="shared" si="75"/>
        <v>1.6119616491556767</v>
      </c>
      <c r="T21" s="222">
        <f t="shared" si="75"/>
        <v>1.6337775146716731</v>
      </c>
      <c r="U21" s="222">
        <f t="shared" si="66"/>
        <v>1.6558886303807874</v>
      </c>
      <c r="V21" s="222">
        <f t="shared" si="66"/>
        <v>1.6782989921215745</v>
      </c>
      <c r="W21" s="222">
        <f t="shared" si="66"/>
        <v>1.7010126498112188</v>
      </c>
      <c r="X21" s="222">
        <f t="shared" si="66"/>
        <v>1.7240337081774195</v>
      </c>
      <c r="Y21" s="222">
        <f t="shared" si="66"/>
        <v>1.7473663275001827</v>
      </c>
      <c r="Z21" s="222">
        <f t="shared" si="66"/>
        <v>1.7710147243636511</v>
      </c>
      <c r="AA21" s="222">
        <f t="shared" si="66"/>
        <v>1.7949831724181096</v>
      </c>
      <c r="AB21" s="222">
        <f t="shared" si="66"/>
        <v>1.819276003152303</v>
      </c>
      <c r="AC21" s="222">
        <f t="shared" si="66"/>
        <v>1.8438976066762074</v>
      </c>
      <c r="AD21" s="222">
        <f t="shared" si="66"/>
        <v>1.8688524325143938</v>
      </c>
      <c r="AE21" s="222">
        <f t="shared" si="66"/>
        <v>1.8941449904101302</v>
      </c>
      <c r="AF21" s="222">
        <f t="shared" si="66"/>
        <v>1.9197798511403652</v>
      </c>
      <c r="AG21" s="222">
        <f t="shared" si="67"/>
        <v>1.9457616473417418</v>
      </c>
      <c r="AH21" s="222">
        <f t="shared" si="68"/>
        <v>1.9720950743477905</v>
      </c>
      <c r="AI21" s="222">
        <f t="shared" si="69"/>
        <v>1.9987848910374526</v>
      </c>
      <c r="AJ21" s="222">
        <f t="shared" si="70"/>
        <v>2.0258359206950862</v>
      </c>
      <c r="AK21" s="222">
        <f t="shared" si="71"/>
        <v>2.0532530518821139</v>
      </c>
      <c r="AL21" s="222">
        <f t="shared" si="72"/>
        <v>2.0810412393204638</v>
      </c>
      <c r="AM21" s="222">
        <f t="shared" si="73"/>
        <v>2.109205504787969</v>
      </c>
      <c r="AN21" s="222">
        <f t="shared" si="74"/>
        <v>2.1377509380258846</v>
      </c>
      <c r="AO21" s="222">
        <f t="shared" si="74"/>
        <v>2.166682697658687</v>
      </c>
    </row>
    <row r="22" spans="1:41" s="126" customFormat="1" x14ac:dyDescent="0.3">
      <c r="A22" s="126" t="s">
        <v>345</v>
      </c>
      <c r="B22" s="132" t="s">
        <v>146</v>
      </c>
      <c r="C22" s="124"/>
      <c r="D22" s="222">
        <f>Acc_NonIncapacitatingInj_AndersonInt*(1+$B$9)</f>
        <v>2.8378944644723929</v>
      </c>
      <c r="E22" s="222">
        <f t="shared" si="75"/>
        <v>2.8763017826725177</v>
      </c>
      <c r="F22" s="222">
        <f>E22*(1+$B$9)</f>
        <v>2.915228895428005</v>
      </c>
      <c r="G22" s="222">
        <f t="shared" si="66"/>
        <v>2.954682837501823</v>
      </c>
      <c r="H22" s="222">
        <f t="shared" si="66"/>
        <v>2.9946707388635736</v>
      </c>
      <c r="I22" s="222">
        <f t="shared" si="66"/>
        <v>3.0351998259779953</v>
      </c>
      <c r="J22" s="222">
        <f t="shared" si="66"/>
        <v>3.0762774231109011</v>
      </c>
      <c r="K22" s="222">
        <f t="shared" si="66"/>
        <v>3.1179109536527942</v>
      </c>
      <c r="L22" s="222">
        <f t="shared" si="66"/>
        <v>3.1601079414603945</v>
      </c>
      <c r="M22" s="222">
        <f t="shared" si="66"/>
        <v>3.2028760122163225</v>
      </c>
      <c r="N22" s="222">
        <f t="shared" si="66"/>
        <v>3.2462228948071834</v>
      </c>
      <c r="O22" s="222">
        <f t="shared" si="66"/>
        <v>3.2901564227203046</v>
      </c>
      <c r="P22" s="222">
        <f t="shared" si="66"/>
        <v>3.3346845354593726</v>
      </c>
      <c r="Q22" s="222">
        <f t="shared" si="66"/>
        <v>3.3798152799792311</v>
      </c>
      <c r="R22" s="222">
        <f t="shared" si="66"/>
        <v>3.4255568121400968</v>
      </c>
      <c r="S22" s="222">
        <f t="shared" si="66"/>
        <v>3.4719173981814562</v>
      </c>
      <c r="T22" s="222">
        <f t="shared" si="66"/>
        <v>3.5189054162159099</v>
      </c>
      <c r="U22" s="222">
        <f t="shared" si="66"/>
        <v>3.5665293577432333</v>
      </c>
      <c r="V22" s="222">
        <f t="shared" si="66"/>
        <v>3.614797829184929</v>
      </c>
      <c r="W22" s="222">
        <f t="shared" si="66"/>
        <v>3.6637195534395475</v>
      </c>
      <c r="X22" s="222">
        <f t="shared" si="66"/>
        <v>3.7133033714590571</v>
      </c>
      <c r="Y22" s="222">
        <f t="shared" si="66"/>
        <v>3.7635582438465471</v>
      </c>
      <c r="Z22" s="222">
        <f t="shared" si="66"/>
        <v>3.8144932524755562</v>
      </c>
      <c r="AA22" s="222">
        <f t="shared" si="66"/>
        <v>3.8661176021313124</v>
      </c>
      <c r="AB22" s="222">
        <f t="shared" si="66"/>
        <v>3.9184406221741903</v>
      </c>
      <c r="AC22" s="222">
        <f t="shared" si="66"/>
        <v>3.9714717682256766</v>
      </c>
      <c r="AD22" s="222">
        <f t="shared" si="66"/>
        <v>4.0252206238771553</v>
      </c>
      <c r="AE22" s="222">
        <f t="shared" si="66"/>
        <v>4.0796969024218184</v>
      </c>
      <c r="AF22" s="222">
        <f t="shared" si="66"/>
        <v>4.1349104486100163</v>
      </c>
      <c r="AG22" s="222">
        <f t="shared" si="67"/>
        <v>4.1908712404283657</v>
      </c>
      <c r="AH22" s="222">
        <f t="shared" si="68"/>
        <v>4.2475893909029319</v>
      </c>
      <c r="AI22" s="222">
        <f t="shared" si="69"/>
        <v>4.3050751499268189</v>
      </c>
      <c r="AJ22" s="222">
        <f t="shared" si="70"/>
        <v>4.3633389061124914</v>
      </c>
      <c r="AK22" s="222">
        <f t="shared" si="71"/>
        <v>4.4223911886691667</v>
      </c>
      <c r="AL22" s="222">
        <f t="shared" si="72"/>
        <v>4.4822426693056121</v>
      </c>
      <c r="AM22" s="222">
        <f t="shared" si="73"/>
        <v>4.5429041641587</v>
      </c>
      <c r="AN22" s="222">
        <f t="shared" si="74"/>
        <v>4.6043866357480567</v>
      </c>
      <c r="AO22" s="222">
        <f t="shared" si="74"/>
        <v>4.6667011949571693</v>
      </c>
    </row>
    <row r="23" spans="1:41" s="126" customFormat="1" x14ac:dyDescent="0.3">
      <c r="A23" s="126" t="s">
        <v>346</v>
      </c>
      <c r="B23" s="132" t="s">
        <v>146</v>
      </c>
      <c r="C23" s="124"/>
      <c r="D23" s="222">
        <f>Acc_PossibleInj_AndersonInt*(1+$B$9)</f>
        <v>3.2433079593970207</v>
      </c>
      <c r="E23" s="222">
        <f t="shared" si="75"/>
        <v>3.2872020373400206</v>
      </c>
      <c r="F23" s="222">
        <f>E23*(1+$B$9)</f>
        <v>3.3316901662034346</v>
      </c>
      <c r="G23" s="222">
        <f t="shared" si="66"/>
        <v>3.3767803857163692</v>
      </c>
      <c r="H23" s="222">
        <f t="shared" si="66"/>
        <v>3.4224808444155128</v>
      </c>
      <c r="I23" s="222">
        <f t="shared" si="66"/>
        <v>3.4687998011177088</v>
      </c>
      <c r="J23" s="222">
        <f t="shared" si="66"/>
        <v>3.5157456264124582</v>
      </c>
      <c r="K23" s="222">
        <f t="shared" si="66"/>
        <v>3.563326804174622</v>
      </c>
      <c r="L23" s="222">
        <f t="shared" si="66"/>
        <v>3.6115519330975938</v>
      </c>
      <c r="M23" s="222">
        <f t="shared" si="66"/>
        <v>3.6604297282472258</v>
      </c>
      <c r="N23" s="222">
        <f t="shared" si="66"/>
        <v>3.7099690226367814</v>
      </c>
      <c r="O23" s="222">
        <f t="shared" si="66"/>
        <v>3.7601787688232058</v>
      </c>
      <c r="P23" s="222">
        <f t="shared" si="66"/>
        <v>3.8110680405249977</v>
      </c>
      <c r="Q23" s="222">
        <f t="shared" si="66"/>
        <v>3.8626460342619788</v>
      </c>
      <c r="R23" s="222">
        <f t="shared" si="66"/>
        <v>3.9149220710172541</v>
      </c>
      <c r="S23" s="222">
        <f t="shared" si="66"/>
        <v>3.9679055979216651</v>
      </c>
      <c r="T23" s="222">
        <f t="shared" si="66"/>
        <v>4.0216061899610409</v>
      </c>
      <c r="U23" s="222">
        <f t="shared" si="66"/>
        <v>4.0760335517065531</v>
      </c>
      <c r="V23" s="222">
        <f t="shared" si="66"/>
        <v>4.1311975190684906</v>
      </c>
      <c r="W23" s="222">
        <f t="shared" si="66"/>
        <v>4.1871080610737685</v>
      </c>
      <c r="X23" s="222">
        <f t="shared" si="66"/>
        <v>4.2437752816674941</v>
      </c>
      <c r="Y23" s="222">
        <f t="shared" si="66"/>
        <v>4.3012094215389114</v>
      </c>
      <c r="Z23" s="222">
        <f t="shared" si="66"/>
        <v>4.3594208599720643</v>
      </c>
      <c r="AA23" s="222">
        <f t="shared" si="66"/>
        <v>4.4184201167215003</v>
      </c>
      <c r="AB23" s="222">
        <f t="shared" si="66"/>
        <v>4.4782178539133604</v>
      </c>
      <c r="AC23" s="222">
        <f t="shared" si="66"/>
        <v>4.5388248779722016</v>
      </c>
      <c r="AD23" s="222">
        <f t="shared" si="66"/>
        <v>4.6002521415738915</v>
      </c>
      <c r="AE23" s="222">
        <f t="shared" si="66"/>
        <v>4.6625107456249353</v>
      </c>
      <c r="AF23" s="222">
        <f t="shared" si="66"/>
        <v>4.7256119412685909</v>
      </c>
      <c r="AG23" s="222">
        <f t="shared" si="67"/>
        <v>4.7895671319181332</v>
      </c>
      <c r="AH23" s="222">
        <f t="shared" si="68"/>
        <v>4.8543878753176379</v>
      </c>
      <c r="AI23" s="222">
        <f t="shared" si="69"/>
        <v>4.9200858856306517</v>
      </c>
      <c r="AJ23" s="222">
        <f t="shared" si="70"/>
        <v>4.9866730355571347</v>
      </c>
      <c r="AK23" s="222">
        <f t="shared" si="71"/>
        <v>5.0541613584790488</v>
      </c>
      <c r="AL23" s="222">
        <f t="shared" si="72"/>
        <v>5.1225630506349864</v>
      </c>
      <c r="AM23" s="222">
        <f t="shared" si="73"/>
        <v>5.1918904733242295</v>
      </c>
      <c r="AN23" s="222">
        <f t="shared" si="74"/>
        <v>5.2621561551406373</v>
      </c>
      <c r="AO23" s="222">
        <f t="shared" si="74"/>
        <v>5.3333727942367659</v>
      </c>
    </row>
    <row r="24" spans="1:41" s="126" customFormat="1" x14ac:dyDescent="0.3">
      <c r="A24" s="126" t="s">
        <v>347</v>
      </c>
      <c r="B24" s="132" t="s">
        <v>146</v>
      </c>
      <c r="C24" s="124"/>
      <c r="D24" s="222">
        <f>Acc_PDO_AndersonInt*(1+$B$9)</f>
        <v>17.02736678683436</v>
      </c>
      <c r="E24" s="222">
        <f t="shared" si="75"/>
        <v>17.257810696035111</v>
      </c>
      <c r="F24" s="222">
        <f>E24*(1+$B$9)</f>
        <v>17.491373372568034</v>
      </c>
      <c r="G24" s="222">
        <f t="shared" si="66"/>
        <v>17.728097025010943</v>
      </c>
      <c r="H24" s="222">
        <f t="shared" si="66"/>
        <v>17.968024433181448</v>
      </c>
      <c r="I24" s="222">
        <f t="shared" si="66"/>
        <v>18.211198955867978</v>
      </c>
      <c r="J24" s="222">
        <f t="shared" si="66"/>
        <v>18.457664538665412</v>
      </c>
      <c r="K24" s="222">
        <f t="shared" si="66"/>
        <v>18.707465721916773</v>
      </c>
      <c r="L24" s="222">
        <f t="shared" si="66"/>
        <v>18.960647648762375</v>
      </c>
      <c r="M24" s="222">
        <f t="shared" si="66"/>
        <v>19.217256073297943</v>
      </c>
      <c r="N24" s="222">
        <f t="shared" si="66"/>
        <v>19.477337368843109</v>
      </c>
      <c r="O24" s="222">
        <f t="shared" si="66"/>
        <v>19.740938536321838</v>
      </c>
      <c r="P24" s="222">
        <f t="shared" si="66"/>
        <v>20.008107212756247</v>
      </c>
      <c r="Q24" s="222">
        <f t="shared" si="66"/>
        <v>20.278891679875397</v>
      </c>
      <c r="R24" s="222">
        <f t="shared" si="66"/>
        <v>20.55334087284059</v>
      </c>
      <c r="S24" s="222">
        <f t="shared" si="66"/>
        <v>20.831504389088746</v>
      </c>
      <c r="T24" s="222">
        <f t="shared" si="66"/>
        <v>21.113432497295467</v>
      </c>
      <c r="U24" s="222">
        <f t="shared" si="66"/>
        <v>21.399176146459407</v>
      </c>
      <c r="V24" s="222">
        <f t="shared" si="66"/>
        <v>21.688786975109579</v>
      </c>
      <c r="W24" s="222">
        <f t="shared" si="66"/>
        <v>21.982317320637289</v>
      </c>
      <c r="X24" s="222">
        <f t="shared" si="66"/>
        <v>22.279820228754346</v>
      </c>
      <c r="Y24" s="222">
        <f t="shared" si="66"/>
        <v>22.581349463079288</v>
      </c>
      <c r="Z24" s="222">
        <f t="shared" si="66"/>
        <v>22.886959514853341</v>
      </c>
      <c r="AA24" s="222">
        <f t="shared" si="66"/>
        <v>23.196705612787881</v>
      </c>
      <c r="AB24" s="222">
        <f t="shared" si="66"/>
        <v>23.51064373304515</v>
      </c>
      <c r="AC24" s="222">
        <f t="shared" si="66"/>
        <v>23.828830609354068</v>
      </c>
      <c r="AD24" s="222">
        <f t="shared" si="66"/>
        <v>24.151323743262939</v>
      </c>
      <c r="AE24" s="222">
        <f t="shared" si="66"/>
        <v>24.478181414530916</v>
      </c>
      <c r="AF24" s="222">
        <f t="shared" si="66"/>
        <v>24.809462691660105</v>
      </c>
      <c r="AG24" s="222">
        <f t="shared" si="67"/>
        <v>25.145227442570203</v>
      </c>
      <c r="AH24" s="222">
        <f t="shared" si="68"/>
        <v>25.485536345417604</v>
      </c>
      <c r="AI24" s="222">
        <f t="shared" si="69"/>
        <v>25.830450899560926</v>
      </c>
      <c r="AJ24" s="222">
        <f t="shared" si="70"/>
        <v>26.180033436674965</v>
      </c>
      <c r="AK24" s="222">
        <f t="shared" si="71"/>
        <v>26.534347132015014</v>
      </c>
      <c r="AL24" s="222">
        <f t="shared" si="72"/>
        <v>26.893456015833689</v>
      </c>
      <c r="AM24" s="222">
        <f t="shared" si="73"/>
        <v>27.257424984952216</v>
      </c>
      <c r="AN24" s="222">
        <f t="shared" si="74"/>
        <v>27.626319814488355</v>
      </c>
      <c r="AO24" s="222">
        <f t="shared" si="74"/>
        <v>28.000207169743032</v>
      </c>
    </row>
    <row r="25" spans="1:41" s="126" customFormat="1" ht="15" x14ac:dyDescent="0.3">
      <c r="B25" s="132"/>
      <c r="C25" s="124"/>
      <c r="D25" s="128"/>
      <c r="E25" s="128"/>
      <c r="F25" s="128"/>
      <c r="G25" s="128"/>
      <c r="H25" s="128"/>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row>
    <row r="26" spans="1:41" s="126" customFormat="1" ht="15" x14ac:dyDescent="0.3">
      <c r="A26" s="219" t="s">
        <v>164</v>
      </c>
      <c r="B26" s="132"/>
      <c r="C26" s="124"/>
      <c r="D26" s="128"/>
      <c r="E26" s="128"/>
      <c r="F26" s="128"/>
      <c r="G26" s="128"/>
      <c r="H26" s="128"/>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row>
    <row r="27" spans="1:41" s="126" customFormat="1" x14ac:dyDescent="0.3">
      <c r="A27" s="126" t="s">
        <v>348</v>
      </c>
      <c r="B27" s="132" t="s">
        <v>146</v>
      </c>
      <c r="C27" s="124"/>
      <c r="D27" s="222">
        <f>Acc_Fatal_DouglasInt*(1+$B$9)</f>
        <v>0.1013533737311569</v>
      </c>
      <c r="E27" s="222">
        <f>D27*(1+$B$9)</f>
        <v>0.10272506366687564</v>
      </c>
      <c r="F27" s="222">
        <f>E27*(1+$B$9)</f>
        <v>0.10411531769385733</v>
      </c>
      <c r="G27" s="222">
        <f t="shared" ref="G27:AF31" si="76">F27*(1+$B$9)</f>
        <v>0.10552438705363654</v>
      </c>
      <c r="H27" s="222">
        <f t="shared" si="76"/>
        <v>0.10695252638798478</v>
      </c>
      <c r="I27" s="222">
        <f t="shared" si="76"/>
        <v>0.1083999937849284</v>
      </c>
      <c r="J27" s="222">
        <f t="shared" si="76"/>
        <v>0.10986705082538932</v>
      </c>
      <c r="K27" s="222">
        <f t="shared" si="76"/>
        <v>0.11135396263045694</v>
      </c>
      <c r="L27" s="222">
        <f t="shared" si="76"/>
        <v>0.11286099790929981</v>
      </c>
      <c r="M27" s="222">
        <f t="shared" si="76"/>
        <v>0.11438842900772581</v>
      </c>
      <c r="N27" s="222">
        <f t="shared" si="76"/>
        <v>0.11593653195739942</v>
      </c>
      <c r="O27" s="222">
        <f t="shared" si="76"/>
        <v>0.11750558652572518</v>
      </c>
      <c r="P27" s="222">
        <f t="shared" si="76"/>
        <v>0.11909587626640618</v>
      </c>
      <c r="Q27" s="222">
        <f t="shared" si="76"/>
        <v>0.12070768857068684</v>
      </c>
      <c r="R27" s="222">
        <f t="shared" si="76"/>
        <v>0.12234131471928919</v>
      </c>
      <c r="S27" s="222">
        <f t="shared" si="76"/>
        <v>0.12399704993505203</v>
      </c>
      <c r="T27" s="222">
        <f t="shared" si="76"/>
        <v>0.12567519343628253</v>
      </c>
      <c r="U27" s="222">
        <f t="shared" si="76"/>
        <v>0.12737604849082979</v>
      </c>
      <c r="V27" s="222">
        <f t="shared" si="76"/>
        <v>0.12909992247089033</v>
      </c>
      <c r="W27" s="222">
        <f t="shared" si="76"/>
        <v>0.13084712690855527</v>
      </c>
      <c r="X27" s="222">
        <f t="shared" si="76"/>
        <v>0.13261797755210919</v>
      </c>
      <c r="Y27" s="222">
        <f t="shared" si="76"/>
        <v>0.13441279442309098</v>
      </c>
      <c r="Z27" s="222">
        <f t="shared" si="76"/>
        <v>0.13623190187412701</v>
      </c>
      <c r="AA27" s="222">
        <f t="shared" si="76"/>
        <v>0.13807562864754688</v>
      </c>
      <c r="AB27" s="222">
        <f t="shared" si="76"/>
        <v>0.13994430793479251</v>
      </c>
      <c r="AC27" s="222">
        <f t="shared" si="76"/>
        <v>0.1418382774366313</v>
      </c>
      <c r="AD27" s="222">
        <f t="shared" si="76"/>
        <v>0.14375787942418411</v>
      </c>
      <c r="AE27" s="222">
        <f t="shared" si="76"/>
        <v>0.14570346080077923</v>
      </c>
      <c r="AF27" s="222">
        <f t="shared" si="76"/>
        <v>0.14767537316464346</v>
      </c>
      <c r="AG27" s="222">
        <f t="shared" ref="AG27:AG31" si="77">AF27*(1+$B$9)</f>
        <v>0.14967397287244166</v>
      </c>
      <c r="AH27" s="222">
        <f t="shared" ref="AH27:AH31" si="78">AG27*(1+$B$9)</f>
        <v>0.15169962110367619</v>
      </c>
      <c r="AI27" s="222">
        <f t="shared" ref="AI27:AI31" si="79">AH27*(1+$B$9)</f>
        <v>0.15375268392595787</v>
      </c>
      <c r="AJ27" s="222">
        <f t="shared" ref="AJ27:AJ31" si="80">AI27*(1+$B$9)</f>
        <v>0.15583353236116046</v>
      </c>
      <c r="AK27" s="222">
        <f t="shared" ref="AK27:AK31" si="81">AJ27*(1+$B$9)</f>
        <v>0.15794254245247027</v>
      </c>
      <c r="AL27" s="222">
        <f t="shared" ref="AL27:AL31" si="82">AK27*(1+$B$9)</f>
        <v>0.16008009533234333</v>
      </c>
      <c r="AM27" s="222">
        <f t="shared" ref="AM27:AM31" si="83">AL27*(1+$B$9)</f>
        <v>0.16224657729138217</v>
      </c>
      <c r="AN27" s="222">
        <f t="shared" ref="AN27:AO31" si="84">AM27*(1+$B$9)</f>
        <v>0.16444237984814492</v>
      </c>
      <c r="AO27" s="222">
        <f t="shared" si="84"/>
        <v>0.16666789981989893</v>
      </c>
    </row>
    <row r="28" spans="1:41" s="126" customFormat="1" x14ac:dyDescent="0.3">
      <c r="A28" s="126" t="s">
        <v>344</v>
      </c>
      <c r="B28" s="132" t="s">
        <v>146</v>
      </c>
      <c r="C28" s="124"/>
      <c r="D28" s="222">
        <f>Acc_IncapacitatingInj_DouglasInt*(1+$B$9)</f>
        <v>0.81082698984925516</v>
      </c>
      <c r="E28" s="222">
        <f t="shared" ref="E28:T31" si="85">D28*(1+$B$9)</f>
        <v>0.82180050933500515</v>
      </c>
      <c r="F28" s="222">
        <f>E28*(1+$B$9)</f>
        <v>0.83292254155085865</v>
      </c>
      <c r="G28" s="222">
        <f t="shared" si="85"/>
        <v>0.8441950964290923</v>
      </c>
      <c r="H28" s="222">
        <f t="shared" si="85"/>
        <v>0.8556202111038782</v>
      </c>
      <c r="I28" s="222">
        <f t="shared" si="85"/>
        <v>0.8671999502794272</v>
      </c>
      <c r="J28" s="222">
        <f t="shared" si="85"/>
        <v>0.87893640660311456</v>
      </c>
      <c r="K28" s="222">
        <f t="shared" si="85"/>
        <v>0.8908317010436555</v>
      </c>
      <c r="L28" s="222">
        <f t="shared" si="85"/>
        <v>0.90288798327439845</v>
      </c>
      <c r="M28" s="222">
        <f t="shared" si="85"/>
        <v>0.91510743206180645</v>
      </c>
      <c r="N28" s="222">
        <f t="shared" si="85"/>
        <v>0.92749225565919535</v>
      </c>
      <c r="O28" s="222">
        <f t="shared" si="85"/>
        <v>0.94004469220580145</v>
      </c>
      <c r="P28" s="222">
        <f t="shared" si="85"/>
        <v>0.95276701013124943</v>
      </c>
      <c r="Q28" s="222">
        <f t="shared" si="85"/>
        <v>0.96566150856549471</v>
      </c>
      <c r="R28" s="222">
        <f t="shared" si="85"/>
        <v>0.97873051775431352</v>
      </c>
      <c r="S28" s="222">
        <f t="shared" si="85"/>
        <v>0.99197639948041627</v>
      </c>
      <c r="T28" s="222">
        <f t="shared" si="85"/>
        <v>1.0054015474902602</v>
      </c>
      <c r="U28" s="222">
        <f t="shared" si="76"/>
        <v>1.0190083879266383</v>
      </c>
      <c r="V28" s="222">
        <f t="shared" si="76"/>
        <v>1.0327993797671227</v>
      </c>
      <c r="W28" s="222">
        <f t="shared" si="76"/>
        <v>1.0467770152684421</v>
      </c>
      <c r="X28" s="222">
        <f t="shared" si="76"/>
        <v>1.0609438204168735</v>
      </c>
      <c r="Y28" s="222">
        <f t="shared" si="76"/>
        <v>1.0753023553847278</v>
      </c>
      <c r="Z28" s="222">
        <f t="shared" si="76"/>
        <v>1.0898552149930161</v>
      </c>
      <c r="AA28" s="222">
        <f t="shared" si="76"/>
        <v>1.1046050291803751</v>
      </c>
      <c r="AB28" s="222">
        <f t="shared" si="76"/>
        <v>1.1195544634783401</v>
      </c>
      <c r="AC28" s="222">
        <f t="shared" si="76"/>
        <v>1.1347062194930504</v>
      </c>
      <c r="AD28" s="222">
        <f t="shared" si="76"/>
        <v>1.1500630353934729</v>
      </c>
      <c r="AE28" s="222">
        <f t="shared" si="76"/>
        <v>1.1656276864062338</v>
      </c>
      <c r="AF28" s="222">
        <f t="shared" si="76"/>
        <v>1.1814029853171477</v>
      </c>
      <c r="AG28" s="222">
        <f t="shared" si="77"/>
        <v>1.1973917829795333</v>
      </c>
      <c r="AH28" s="222">
        <f t="shared" si="78"/>
        <v>1.2135969688294095</v>
      </c>
      <c r="AI28" s="222">
        <f t="shared" si="79"/>
        <v>1.2300214714076629</v>
      </c>
      <c r="AJ28" s="222">
        <f t="shared" si="80"/>
        <v>1.2466682588892837</v>
      </c>
      <c r="AK28" s="222">
        <f t="shared" si="81"/>
        <v>1.2635403396197622</v>
      </c>
      <c r="AL28" s="222">
        <f t="shared" si="82"/>
        <v>1.2806407626587466</v>
      </c>
      <c r="AM28" s="222">
        <f t="shared" si="83"/>
        <v>1.2979726183310574</v>
      </c>
      <c r="AN28" s="222">
        <f t="shared" si="84"/>
        <v>1.3155390387851593</v>
      </c>
      <c r="AO28" s="222">
        <f t="shared" si="84"/>
        <v>1.3333431985591915</v>
      </c>
    </row>
    <row r="29" spans="1:41" s="126" customFormat="1" x14ac:dyDescent="0.3">
      <c r="A29" s="126" t="s">
        <v>345</v>
      </c>
      <c r="B29" s="132" t="s">
        <v>146</v>
      </c>
      <c r="C29" s="124"/>
      <c r="D29" s="222">
        <f>Acc_NonIncapacitatingInj_DouglasInt*(1+$B$9)</f>
        <v>4.8649619390955303</v>
      </c>
      <c r="E29" s="222">
        <f t="shared" si="85"/>
        <v>4.9308030560100304</v>
      </c>
      <c r="F29" s="222">
        <f>E29*(1+$B$9)</f>
        <v>4.9975352493051517</v>
      </c>
      <c r="G29" s="222">
        <f t="shared" si="76"/>
        <v>5.0651705785745538</v>
      </c>
      <c r="H29" s="222">
        <f t="shared" si="76"/>
        <v>5.1337212666232697</v>
      </c>
      <c r="I29" s="222">
        <f t="shared" si="76"/>
        <v>5.2031997016765636</v>
      </c>
      <c r="J29" s="222">
        <f t="shared" si="76"/>
        <v>5.273618439618688</v>
      </c>
      <c r="K29" s="222">
        <f t="shared" si="76"/>
        <v>5.344990206261933</v>
      </c>
      <c r="L29" s="222">
        <f t="shared" si="76"/>
        <v>5.4173278996463905</v>
      </c>
      <c r="M29" s="222">
        <f t="shared" si="76"/>
        <v>5.4906445923708382</v>
      </c>
      <c r="N29" s="222">
        <f t="shared" si="76"/>
        <v>5.5649535339551717</v>
      </c>
      <c r="O29" s="222">
        <f t="shared" si="76"/>
        <v>5.6402681532348078</v>
      </c>
      <c r="P29" s="222">
        <f t="shared" si="76"/>
        <v>5.7166020607874959</v>
      </c>
      <c r="Q29" s="222">
        <f t="shared" si="76"/>
        <v>5.7939690513929678</v>
      </c>
      <c r="R29" s="222">
        <f t="shared" si="76"/>
        <v>5.8723831065258807</v>
      </c>
      <c r="S29" s="222">
        <f t="shared" si="76"/>
        <v>5.9518583968824972</v>
      </c>
      <c r="T29" s="222">
        <f t="shared" si="76"/>
        <v>6.0324092849415605</v>
      </c>
      <c r="U29" s="222">
        <f t="shared" si="76"/>
        <v>6.1140503275598288</v>
      </c>
      <c r="V29" s="222">
        <f t="shared" si="76"/>
        <v>6.1967962786027355</v>
      </c>
      <c r="W29" s="222">
        <f t="shared" si="76"/>
        <v>6.2806620916106528</v>
      </c>
      <c r="X29" s="222">
        <f t="shared" si="76"/>
        <v>6.3656629225012402</v>
      </c>
      <c r="Y29" s="222">
        <f t="shared" si="76"/>
        <v>6.4518141323083658</v>
      </c>
      <c r="Z29" s="222">
        <f t="shared" si="76"/>
        <v>6.5391312899580951</v>
      </c>
      <c r="AA29" s="222">
        <f t="shared" si="76"/>
        <v>6.6276301750822491</v>
      </c>
      <c r="AB29" s="222">
        <f t="shared" si="76"/>
        <v>6.7173267808700396</v>
      </c>
      <c r="AC29" s="222">
        <f t="shared" si="76"/>
        <v>6.8082373169583015</v>
      </c>
      <c r="AD29" s="222">
        <f t="shared" si="76"/>
        <v>6.9003782123608364</v>
      </c>
      <c r="AE29" s="222">
        <f t="shared" si="76"/>
        <v>6.9937661184374011</v>
      </c>
      <c r="AF29" s="222">
        <f t="shared" si="76"/>
        <v>7.0884179119028836</v>
      </c>
      <c r="AG29" s="222">
        <f t="shared" si="77"/>
        <v>7.1843506978771972</v>
      </c>
      <c r="AH29" s="222">
        <f t="shared" si="78"/>
        <v>7.2815818129764542</v>
      </c>
      <c r="AI29" s="222">
        <f t="shared" si="79"/>
        <v>7.380128828445975</v>
      </c>
      <c r="AJ29" s="222">
        <f t="shared" si="80"/>
        <v>7.4800095533356998</v>
      </c>
      <c r="AK29" s="222">
        <f t="shared" si="81"/>
        <v>7.581242037718571</v>
      </c>
      <c r="AL29" s="222">
        <f t="shared" si="82"/>
        <v>7.6838445759524774</v>
      </c>
      <c r="AM29" s="222">
        <f t="shared" si="83"/>
        <v>7.787835709986342</v>
      </c>
      <c r="AN29" s="222">
        <f t="shared" si="84"/>
        <v>7.8932342327109533</v>
      </c>
      <c r="AO29" s="222">
        <f t="shared" si="84"/>
        <v>8.0000591913551471</v>
      </c>
    </row>
    <row r="30" spans="1:41" s="126" customFormat="1" x14ac:dyDescent="0.3">
      <c r="A30" s="126" t="s">
        <v>346</v>
      </c>
      <c r="B30" s="132" t="s">
        <v>146</v>
      </c>
      <c r="C30" s="124"/>
      <c r="D30" s="222">
        <f>Acc_PossibleInj_DouglasInt*(1+$B$9)</f>
        <v>8.0069165247613956</v>
      </c>
      <c r="E30" s="222">
        <f t="shared" si="85"/>
        <v>8.1152800296831771</v>
      </c>
      <c r="F30" s="222">
        <f>E30*(1+$B$9)</f>
        <v>8.2251100978147313</v>
      </c>
      <c r="G30" s="222">
        <f t="shared" si="76"/>
        <v>8.3364265772372885</v>
      </c>
      <c r="H30" s="222">
        <f t="shared" si="76"/>
        <v>8.4492495846507989</v>
      </c>
      <c r="I30" s="222">
        <f t="shared" si="76"/>
        <v>8.5635995090093449</v>
      </c>
      <c r="J30" s="222">
        <f t="shared" si="76"/>
        <v>8.679497015205758</v>
      </c>
      <c r="K30" s="222">
        <f t="shared" si="76"/>
        <v>8.7969630478060985</v>
      </c>
      <c r="L30" s="222">
        <f t="shared" si="76"/>
        <v>8.9160188348346843</v>
      </c>
      <c r="M30" s="222">
        <f t="shared" si="76"/>
        <v>9.0366858916103379</v>
      </c>
      <c r="N30" s="222">
        <f t="shared" si="76"/>
        <v>9.1589860246345527</v>
      </c>
      <c r="O30" s="222">
        <f t="shared" si="76"/>
        <v>9.2829413355322874</v>
      </c>
      <c r="P30" s="222">
        <f t="shared" si="76"/>
        <v>9.4085742250460864</v>
      </c>
      <c r="Q30" s="222">
        <f t="shared" si="76"/>
        <v>9.5359073970842587</v>
      </c>
      <c r="R30" s="222">
        <f t="shared" si="76"/>
        <v>9.6649638628238446</v>
      </c>
      <c r="S30" s="222">
        <f t="shared" si="76"/>
        <v>9.7957669448691096</v>
      </c>
      <c r="T30" s="222">
        <f t="shared" si="76"/>
        <v>9.9283402814663191</v>
      </c>
      <c r="U30" s="222">
        <f t="shared" si="76"/>
        <v>10.062707830775553</v>
      </c>
      <c r="V30" s="222">
        <f t="shared" si="76"/>
        <v>10.198893875200337</v>
      </c>
      <c r="W30" s="222">
        <f t="shared" si="76"/>
        <v>10.336923025775867</v>
      </c>
      <c r="X30" s="222">
        <f t="shared" si="76"/>
        <v>10.476820226616626</v>
      </c>
      <c r="Y30" s="222">
        <f t="shared" si="76"/>
        <v>10.618610759424188</v>
      </c>
      <c r="Z30" s="222">
        <f t="shared" si="76"/>
        <v>10.762320248056033</v>
      </c>
      <c r="AA30" s="222">
        <f t="shared" si="76"/>
        <v>10.907974663156203</v>
      </c>
      <c r="AB30" s="222">
        <f t="shared" si="76"/>
        <v>11.055600326848609</v>
      </c>
      <c r="AC30" s="222">
        <f t="shared" si="76"/>
        <v>11.205223917493873</v>
      </c>
      <c r="AD30" s="222">
        <f t="shared" si="76"/>
        <v>11.356872474510544</v>
      </c>
      <c r="AE30" s="222">
        <f t="shared" si="76"/>
        <v>11.510573403261557</v>
      </c>
      <c r="AF30" s="222">
        <f t="shared" si="76"/>
        <v>11.666354480006831</v>
      </c>
      <c r="AG30" s="222">
        <f t="shared" si="77"/>
        <v>11.824243856922889</v>
      </c>
      <c r="AH30" s="222">
        <f t="shared" si="78"/>
        <v>11.984270067190415</v>
      </c>
      <c r="AI30" s="222">
        <f t="shared" si="79"/>
        <v>12.146462030150669</v>
      </c>
      <c r="AJ30" s="222">
        <f t="shared" si="80"/>
        <v>12.310849056531675</v>
      </c>
      <c r="AK30" s="222">
        <f t="shared" si="81"/>
        <v>12.47746085374515</v>
      </c>
      <c r="AL30" s="222">
        <f t="shared" si="82"/>
        <v>12.646327531255121</v>
      </c>
      <c r="AM30" s="222">
        <f t="shared" si="83"/>
        <v>12.817479606019189</v>
      </c>
      <c r="AN30" s="222">
        <f t="shared" si="84"/>
        <v>12.990948008003445</v>
      </c>
      <c r="AO30" s="222">
        <f t="shared" si="84"/>
        <v>13.166764085772012</v>
      </c>
    </row>
    <row r="31" spans="1:41" s="126" customFormat="1" x14ac:dyDescent="0.3">
      <c r="A31" s="126" t="s">
        <v>347</v>
      </c>
      <c r="B31" s="132" t="s">
        <v>146</v>
      </c>
      <c r="C31" s="124"/>
      <c r="D31" s="222">
        <f>Acc_PDO_DouglasInt*(1+$B$9)</f>
        <v>34.257440321131028</v>
      </c>
      <c r="E31" s="222">
        <f t="shared" si="85"/>
        <v>34.721071519403964</v>
      </c>
      <c r="F31" s="222">
        <f>E31*(1+$B$9)</f>
        <v>35.190977380523776</v>
      </c>
      <c r="G31" s="222">
        <f t="shared" si="76"/>
        <v>35.667242824129147</v>
      </c>
      <c r="H31" s="222">
        <f t="shared" si="76"/>
        <v>36.149953919138852</v>
      </c>
      <c r="I31" s="222">
        <f t="shared" si="76"/>
        <v>36.639197899305799</v>
      </c>
      <c r="J31" s="222">
        <f t="shared" si="76"/>
        <v>37.135063178981589</v>
      </c>
      <c r="K31" s="222">
        <f t="shared" si="76"/>
        <v>37.637639369094444</v>
      </c>
      <c r="L31" s="222">
        <f t="shared" si="76"/>
        <v>38.147017293343332</v>
      </c>
      <c r="M31" s="222">
        <f t="shared" si="76"/>
        <v>38.663289004611315</v>
      </c>
      <c r="N31" s="222">
        <f t="shared" si="76"/>
        <v>39.186547801600994</v>
      </c>
      <c r="O31" s="222">
        <f t="shared" si="76"/>
        <v>39.716888245695102</v>
      </c>
      <c r="P31" s="222">
        <f t="shared" si="76"/>
        <v>40.254406178045279</v>
      </c>
      <c r="Q31" s="222">
        <f t="shared" si="76"/>
        <v>40.799198736892144</v>
      </c>
      <c r="R31" s="222">
        <f t="shared" si="76"/>
        <v>41.351364375119736</v>
      </c>
      <c r="S31" s="222">
        <f t="shared" si="76"/>
        <v>41.911002878047576</v>
      </c>
      <c r="T31" s="222">
        <f t="shared" si="76"/>
        <v>42.478215381463478</v>
      </c>
      <c r="U31" s="222">
        <f t="shared" si="76"/>
        <v>43.053104389900454</v>
      </c>
      <c r="V31" s="222">
        <f t="shared" si="76"/>
        <v>43.635773795160922</v>
      </c>
      <c r="W31" s="222">
        <f t="shared" si="76"/>
        <v>44.226328895091676</v>
      </c>
      <c r="X31" s="222">
        <f t="shared" si="76"/>
        <v>44.824876412612895</v>
      </c>
      <c r="Y31" s="222">
        <f t="shared" si="76"/>
        <v>45.431524515004739</v>
      </c>
      <c r="Z31" s="222">
        <f t="shared" si="76"/>
        <v>46.046382833454913</v>
      </c>
      <c r="AA31" s="222">
        <f t="shared" si="76"/>
        <v>46.66956248287083</v>
      </c>
      <c r="AB31" s="222">
        <f t="shared" si="76"/>
        <v>47.301176081959859</v>
      </c>
      <c r="AC31" s="222">
        <f t="shared" si="76"/>
        <v>47.941337773581374</v>
      </c>
      <c r="AD31" s="222">
        <f t="shared" si="76"/>
        <v>48.590163245374221</v>
      </c>
      <c r="AE31" s="222">
        <f t="shared" si="76"/>
        <v>49.247769750663366</v>
      </c>
      <c r="AF31" s="222">
        <f t="shared" si="76"/>
        <v>49.914276129649473</v>
      </c>
      <c r="AG31" s="222">
        <f t="shared" si="77"/>
        <v>50.589802830885262</v>
      </c>
      <c r="AH31" s="222">
        <f t="shared" si="78"/>
        <v>51.274471933042527</v>
      </c>
      <c r="AI31" s="222">
        <f t="shared" si="79"/>
        <v>51.968407166973741</v>
      </c>
      <c r="AJ31" s="222">
        <f t="shared" si="80"/>
        <v>52.671733938072222</v>
      </c>
      <c r="AK31" s="222">
        <f t="shared" si="81"/>
        <v>53.384579348934942</v>
      </c>
      <c r="AL31" s="222">
        <f t="shared" si="82"/>
        <v>54.107072222332036</v>
      </c>
      <c r="AM31" s="222">
        <f t="shared" si="83"/>
        <v>54.839343124487165</v>
      </c>
      <c r="AN31" s="222">
        <f t="shared" si="84"/>
        <v>55.581524388672968</v>
      </c>
      <c r="AO31" s="222">
        <f t="shared" si="84"/>
        <v>56.333750139125826</v>
      </c>
    </row>
    <row r="32" spans="1:41" s="6" customFormat="1" ht="15" x14ac:dyDescent="0.3">
      <c r="A32" s="122"/>
      <c r="B32" s="123"/>
      <c r="C32" s="141"/>
      <c r="D32" s="141"/>
      <c r="E32" s="141"/>
      <c r="F32" s="125"/>
      <c r="G32" s="125"/>
      <c r="H32" s="127"/>
      <c r="I32" s="127"/>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row>
    <row r="33" spans="1:41" s="126" customFormat="1" ht="15" x14ac:dyDescent="0.3">
      <c r="A33" s="219" t="s">
        <v>336</v>
      </c>
      <c r="B33" s="132"/>
      <c r="C33" s="124"/>
      <c r="D33" s="128"/>
      <c r="E33" s="128"/>
      <c r="F33" s="128"/>
      <c r="G33" s="128"/>
      <c r="H33" s="128"/>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row>
    <row r="34" spans="1:41" s="126" customFormat="1" x14ac:dyDescent="0.3">
      <c r="A34" s="126" t="s">
        <v>348</v>
      </c>
      <c r="B34" s="133" t="s">
        <v>78</v>
      </c>
      <c r="C34" s="124"/>
      <c r="D34" s="128">
        <f t="shared" ref="D34:AN34" si="86">D13*number_of_victims_accident_Fatality*AccidentCost_Fatality</f>
        <v>4864961.9390955307</v>
      </c>
      <c r="E34" s="128">
        <f t="shared" si="86"/>
        <v>4930803.0560100302</v>
      </c>
      <c r="F34" s="128">
        <f t="shared" si="86"/>
        <v>4997535.2493051523</v>
      </c>
      <c r="G34" s="128">
        <f t="shared" si="86"/>
        <v>5065170.5785745541</v>
      </c>
      <c r="H34" s="128">
        <f t="shared" si="86"/>
        <v>5133721.2666232698</v>
      </c>
      <c r="I34" s="128">
        <f t="shared" si="86"/>
        <v>5203199.7016765643</v>
      </c>
      <c r="J34" s="128">
        <f t="shared" si="86"/>
        <v>5273618.439618689</v>
      </c>
      <c r="K34" s="128">
        <f t="shared" si="86"/>
        <v>5344990.2062619338</v>
      </c>
      <c r="L34" s="128">
        <f t="shared" si="86"/>
        <v>5417327.8996463912</v>
      </c>
      <c r="M34" s="128">
        <f t="shared" si="86"/>
        <v>5490644.5923708389</v>
      </c>
      <c r="N34" s="128">
        <f t="shared" si="86"/>
        <v>5564953.5339551717</v>
      </c>
      <c r="O34" s="128">
        <f t="shared" si="86"/>
        <v>5640268.1532348087</v>
      </c>
      <c r="P34" s="128">
        <f t="shared" si="86"/>
        <v>5716602.0607874971</v>
      </c>
      <c r="Q34" s="128">
        <f t="shared" si="86"/>
        <v>5793969.0513929687</v>
      </c>
      <c r="R34" s="128">
        <f t="shared" si="86"/>
        <v>5872383.1065258812</v>
      </c>
      <c r="S34" s="128">
        <f t="shared" si="86"/>
        <v>5951858.3968824977</v>
      </c>
      <c r="T34" s="128">
        <f t="shared" si="86"/>
        <v>6032409.2849415615</v>
      </c>
      <c r="U34" s="128">
        <f t="shared" si="86"/>
        <v>6114050.3275598306</v>
      </c>
      <c r="V34" s="128">
        <f t="shared" si="86"/>
        <v>6196796.278602737</v>
      </c>
      <c r="W34" s="128">
        <f t="shared" si="86"/>
        <v>6280662.0916106543</v>
      </c>
      <c r="X34" s="128">
        <f t="shared" si="86"/>
        <v>6365662.9225012418</v>
      </c>
      <c r="Y34" s="128">
        <f t="shared" si="86"/>
        <v>6451814.1323083676</v>
      </c>
      <c r="Z34" s="128">
        <f t="shared" si="86"/>
        <v>6539131.289958098</v>
      </c>
      <c r="AA34" s="128">
        <f t="shared" si="86"/>
        <v>6627630.1750822514</v>
      </c>
      <c r="AB34" s="128">
        <f t="shared" si="86"/>
        <v>6717326.7808700418</v>
      </c>
      <c r="AC34" s="128">
        <f t="shared" si="86"/>
        <v>6808237.3169583036</v>
      </c>
      <c r="AD34" s="128">
        <f t="shared" si="86"/>
        <v>6900378.2123608384</v>
      </c>
      <c r="AE34" s="128">
        <f t="shared" si="86"/>
        <v>6993766.1184374038</v>
      </c>
      <c r="AF34" s="128">
        <f t="shared" si="86"/>
        <v>7088417.9119028868</v>
      </c>
      <c r="AG34" s="128">
        <f t="shared" si="86"/>
        <v>7184350.6978772013</v>
      </c>
      <c r="AH34" s="128">
        <f t="shared" si="86"/>
        <v>7281581.8129764581</v>
      </c>
      <c r="AI34" s="128">
        <f t="shared" si="86"/>
        <v>7380128.8284459785</v>
      </c>
      <c r="AJ34" s="128">
        <f t="shared" si="86"/>
        <v>7480009.553335703</v>
      </c>
      <c r="AK34" s="128">
        <f t="shared" si="86"/>
        <v>7581242.0377185745</v>
      </c>
      <c r="AL34" s="128">
        <f t="shared" si="86"/>
        <v>7683844.5759524805</v>
      </c>
      <c r="AM34" s="128">
        <f t="shared" si="86"/>
        <v>7787835.7099863449</v>
      </c>
      <c r="AN34" s="128">
        <f t="shared" si="86"/>
        <v>7893234.2327109557</v>
      </c>
      <c r="AO34" s="128">
        <f t="shared" ref="AO34" si="87">AO13*number_of_victims_accident_Fatality*AccidentCost_Fatality</f>
        <v>8000059.1913551493</v>
      </c>
    </row>
    <row r="35" spans="1:41" s="126" customFormat="1" x14ac:dyDescent="0.3">
      <c r="A35" s="126" t="s">
        <v>344</v>
      </c>
      <c r="B35" s="133" t="s">
        <v>78</v>
      </c>
      <c r="C35" s="124"/>
      <c r="D35" s="128">
        <f t="shared" ref="D35:AN35" si="88">D14*number_of_victims_accident_incapacitating*AccidentCost_IncapacitatingInjury</f>
        <v>4441077.8053421378</v>
      </c>
      <c r="E35" s="128">
        <f t="shared" si="88"/>
        <v>4501182.1857398767</v>
      </c>
      <c r="F35" s="128">
        <f t="shared" si="88"/>
        <v>4562100.0030331938</v>
      </c>
      <c r="G35" s="128">
        <f t="shared" si="88"/>
        <v>4623842.266063353</v>
      </c>
      <c r="H35" s="128">
        <f t="shared" si="88"/>
        <v>4686420.1326623848</v>
      </c>
      <c r="I35" s="128">
        <f t="shared" si="88"/>
        <v>4749844.9116694853</v>
      </c>
      <c r="J35" s="128">
        <f t="shared" si="88"/>
        <v>4814128.0649747122</v>
      </c>
      <c r="K35" s="128">
        <f t="shared" si="88"/>
        <v>4879281.2095903317</v>
      </c>
      <c r="L35" s="128">
        <f t="shared" si="88"/>
        <v>4945316.1197502017</v>
      </c>
      <c r="M35" s="128">
        <f t="shared" si="88"/>
        <v>5012244.7290375689</v>
      </c>
      <c r="N35" s="128">
        <f t="shared" si="88"/>
        <v>5080079.1325416593</v>
      </c>
      <c r="O35" s="128">
        <f t="shared" si="88"/>
        <v>5148831.5890434599</v>
      </c>
      <c r="P35" s="128">
        <f t="shared" si="88"/>
        <v>5218514.5232310826</v>
      </c>
      <c r="Q35" s="128">
        <f t="shared" si="88"/>
        <v>5289140.5279450994</v>
      </c>
      <c r="R35" s="128">
        <f t="shared" si="88"/>
        <v>5360722.3664542818</v>
      </c>
      <c r="S35" s="128">
        <f t="shared" si="88"/>
        <v>5433272.9747621259</v>
      </c>
      <c r="T35" s="128">
        <f t="shared" si="88"/>
        <v>5506805.4639446028</v>
      </c>
      <c r="U35" s="128">
        <f t="shared" si="88"/>
        <v>5581333.1225195425</v>
      </c>
      <c r="V35" s="128">
        <f t="shared" si="88"/>
        <v>5656869.4188480806</v>
      </c>
      <c r="W35" s="128">
        <f t="shared" si="88"/>
        <v>5733428.0035686186</v>
      </c>
      <c r="X35" s="128">
        <f t="shared" si="88"/>
        <v>5811022.7120637093</v>
      </c>
      <c r="Y35" s="128">
        <f t="shared" si="88"/>
        <v>5889667.5669603404</v>
      </c>
      <c r="Z35" s="128">
        <f t="shared" si="88"/>
        <v>5969376.7806640491</v>
      </c>
      <c r="AA35" s="128">
        <f t="shared" si="88"/>
        <v>6050164.7579273349</v>
      </c>
      <c r="AB35" s="128">
        <f t="shared" si="88"/>
        <v>6132046.0984528353</v>
      </c>
      <c r="AC35" s="128">
        <f t="shared" si="88"/>
        <v>6215035.5995317269</v>
      </c>
      <c r="AD35" s="128">
        <f t="shared" si="88"/>
        <v>6299148.2587178387</v>
      </c>
      <c r="AE35" s="128">
        <f t="shared" si="88"/>
        <v>6384399.2765379539</v>
      </c>
      <c r="AF35" s="128">
        <f t="shared" si="88"/>
        <v>6470804.0592387896</v>
      </c>
      <c r="AG35" s="128">
        <f t="shared" si="88"/>
        <v>6558378.2215711605</v>
      </c>
      <c r="AH35" s="128">
        <f t="shared" si="88"/>
        <v>6647137.589611819</v>
      </c>
      <c r="AI35" s="128">
        <f t="shared" si="88"/>
        <v>6737098.2036234811</v>
      </c>
      <c r="AJ35" s="128">
        <f t="shared" si="88"/>
        <v>6828276.3209535647</v>
      </c>
      <c r="AK35" s="128">
        <f t="shared" si="88"/>
        <v>6920688.418972156</v>
      </c>
      <c r="AL35" s="128">
        <f t="shared" si="88"/>
        <v>7014351.1980497427</v>
      </c>
      <c r="AM35" s="128">
        <f t="shared" si="88"/>
        <v>7109281.5845752377</v>
      </c>
      <c r="AN35" s="128">
        <f t="shared" si="88"/>
        <v>7205496.7340148529</v>
      </c>
      <c r="AO35" s="128">
        <f t="shared" ref="AO35" si="89">AO14*number_of_victims_accident_incapacitating*AccidentCost_IncapacitatingInjury</f>
        <v>7303014.0340123782</v>
      </c>
    </row>
    <row r="36" spans="1:41" s="126" customFormat="1" x14ac:dyDescent="0.3">
      <c r="A36" s="126" t="s">
        <v>345</v>
      </c>
      <c r="B36" s="133" t="s">
        <v>78</v>
      </c>
      <c r="C36" s="124"/>
      <c r="D36" s="128">
        <f t="shared" ref="D36:AN36" si="90">D15*number_of_victims_accident_nonincapacitating*AccidentCost_NonIncapacitating_Injury</f>
        <v>2208790.0195881529</v>
      </c>
      <c r="E36" s="128">
        <f t="shared" si="90"/>
        <v>2238683.2034896747</v>
      </c>
      <c r="F36" s="128">
        <f t="shared" si="90"/>
        <v>2268980.9538895255</v>
      </c>
      <c r="G36" s="128">
        <f t="shared" si="90"/>
        <v>2299688.7460844191</v>
      </c>
      <c r="H36" s="128">
        <f t="shared" si="90"/>
        <v>2330812.1294722972</v>
      </c>
      <c r="I36" s="128">
        <f t="shared" si="90"/>
        <v>2362356.7285551941</v>
      </c>
      <c r="J36" s="128">
        <f t="shared" si="90"/>
        <v>2394328.2439556774</v>
      </c>
      <c r="K36" s="128">
        <f t="shared" si="90"/>
        <v>2426732.4534470434</v>
      </c>
      <c r="L36" s="128">
        <f t="shared" si="90"/>
        <v>2459575.2129974551</v>
      </c>
      <c r="M36" s="128">
        <f t="shared" si="90"/>
        <v>2492862.4578282088</v>
      </c>
      <c r="N36" s="128">
        <f t="shared" si="90"/>
        <v>2526600.203486328</v>
      </c>
      <c r="O36" s="128">
        <f t="shared" si="90"/>
        <v>2560794.5469316687</v>
      </c>
      <c r="P36" s="128">
        <f t="shared" si="90"/>
        <v>2595451.66763874</v>
      </c>
      <c r="Q36" s="128">
        <f t="shared" si="90"/>
        <v>2630577.8287134361</v>
      </c>
      <c r="R36" s="128">
        <f t="shared" si="90"/>
        <v>2666179.3780248808</v>
      </c>
      <c r="S36" s="128">
        <f t="shared" si="90"/>
        <v>2702262.749352592</v>
      </c>
      <c r="T36" s="128">
        <f t="shared" si="90"/>
        <v>2738834.4635491678</v>
      </c>
      <c r="U36" s="128">
        <f t="shared" si="90"/>
        <v>2775901.1297187144</v>
      </c>
      <c r="V36" s="128">
        <f t="shared" si="90"/>
        <v>2813469.4464112143</v>
      </c>
      <c r="W36" s="128">
        <f t="shared" si="90"/>
        <v>2851546.202833069</v>
      </c>
      <c r="X36" s="128">
        <f t="shared" si="90"/>
        <v>2890138.2800740134</v>
      </c>
      <c r="Y36" s="128">
        <f t="shared" si="90"/>
        <v>2929252.652350645</v>
      </c>
      <c r="Z36" s="128">
        <f t="shared" si="90"/>
        <v>2968896.3882667753</v>
      </c>
      <c r="AA36" s="128">
        <f t="shared" si="90"/>
        <v>3009076.6520908438</v>
      </c>
      <c r="AB36" s="128">
        <f t="shared" si="90"/>
        <v>3049800.705050617</v>
      </c>
      <c r="AC36" s="128">
        <f t="shared" si="90"/>
        <v>3091075.9066454093</v>
      </c>
      <c r="AD36" s="128">
        <f t="shared" si="90"/>
        <v>3132909.7159760683</v>
      </c>
      <c r="AE36" s="128">
        <f t="shared" si="90"/>
        <v>3175309.6930929502</v>
      </c>
      <c r="AF36" s="128">
        <f t="shared" si="90"/>
        <v>3218283.5003621485</v>
      </c>
      <c r="AG36" s="128">
        <f t="shared" si="90"/>
        <v>3261838.9038502066</v>
      </c>
      <c r="AH36" s="128">
        <f t="shared" si="90"/>
        <v>3305983.7747275713</v>
      </c>
      <c r="AI36" s="128">
        <f t="shared" si="90"/>
        <v>3350726.0906910431</v>
      </c>
      <c r="AJ36" s="128">
        <f t="shared" si="90"/>
        <v>3396073.9374054759</v>
      </c>
      <c r="AK36" s="128">
        <f t="shared" si="90"/>
        <v>3442035.5099649876</v>
      </c>
      <c r="AL36" s="128">
        <f t="shared" si="90"/>
        <v>3488619.1143739456</v>
      </c>
      <c r="AM36" s="128">
        <f t="shared" si="90"/>
        <v>3535833.1690480011</v>
      </c>
      <c r="AN36" s="128">
        <f t="shared" si="90"/>
        <v>3583686.2063354291</v>
      </c>
      <c r="AO36" s="128">
        <f t="shared" ref="AO36" si="91">AO15*number_of_victims_accident_nonincapacitating*AccidentCost_NonIncapacitating_Injury</f>
        <v>3632186.8740590657</v>
      </c>
    </row>
    <row r="37" spans="1:41" s="126" customFormat="1" x14ac:dyDescent="0.3">
      <c r="A37" s="126" t="s">
        <v>346</v>
      </c>
      <c r="B37" s="133" t="s">
        <v>78</v>
      </c>
      <c r="C37" s="124"/>
      <c r="D37" s="128">
        <f t="shared" ref="D37:AN37" si="92">D16*number_of_victims_accident_possibleInjry*AccidentCost_PossibleInjury</f>
        <v>241691.30913426596</v>
      </c>
      <c r="E37" s="128">
        <f t="shared" si="92"/>
        <v>244962.29582257831</v>
      </c>
      <c r="F37" s="128">
        <f t="shared" si="92"/>
        <v>248277.55118547997</v>
      </c>
      <c r="G37" s="128">
        <f t="shared" si="92"/>
        <v>251637.67434358381</v>
      </c>
      <c r="H37" s="128">
        <f t="shared" si="92"/>
        <v>255043.27252584405</v>
      </c>
      <c r="I37" s="128">
        <f t="shared" si="92"/>
        <v>258494.96117929171</v>
      </c>
      <c r="J37" s="128">
        <f t="shared" si="92"/>
        <v>261993.36408025646</v>
      </c>
      <c r="K37" s="128">
        <f t="shared" si="92"/>
        <v>265539.11344709288</v>
      </c>
      <c r="L37" s="128">
        <f t="shared" si="92"/>
        <v>269132.8500544327</v>
      </c>
      <c r="M37" s="128">
        <f t="shared" si="92"/>
        <v>272775.22334898327</v>
      </c>
      <c r="N37" s="128">
        <f t="shared" si="92"/>
        <v>276466.89156689291</v>
      </c>
      <c r="O37" s="128">
        <f t="shared" si="92"/>
        <v>280208.52185270534</v>
      </c>
      <c r="P37" s="128">
        <f t="shared" si="92"/>
        <v>284000.7903799229</v>
      </c>
      <c r="Q37" s="128">
        <f t="shared" si="92"/>
        <v>287844.38247320271</v>
      </c>
      <c r="R37" s="128">
        <f t="shared" si="92"/>
        <v>291739.99273220584</v>
      </c>
      <c r="S37" s="128">
        <f t="shared" si="92"/>
        <v>295688.32515712251</v>
      </c>
      <c r="T37" s="128">
        <f t="shared" si="92"/>
        <v>299690.0932758968</v>
      </c>
      <c r="U37" s="128">
        <f t="shared" si="92"/>
        <v>303746.02027317235</v>
      </c>
      <c r="V37" s="128">
        <f t="shared" si="92"/>
        <v>307856.83912098396</v>
      </c>
      <c r="W37" s="128">
        <f t="shared" si="92"/>
        <v>312023.29271121731</v>
      </c>
      <c r="X37" s="128">
        <f t="shared" si="92"/>
        <v>316246.1339898617</v>
      </c>
      <c r="Y37" s="128">
        <f t="shared" si="92"/>
        <v>320526.12609307974</v>
      </c>
      <c r="Z37" s="128">
        <f t="shared" si="92"/>
        <v>324864.04248511826</v>
      </c>
      <c r="AA37" s="128">
        <f t="shared" si="92"/>
        <v>329260.66709808633</v>
      </c>
      <c r="AB37" s="128">
        <f t="shared" si="92"/>
        <v>333716.79447362374</v>
      </c>
      <c r="AC37" s="128">
        <f t="shared" si="92"/>
        <v>338233.22990648862</v>
      </c>
      <c r="AD37" s="128">
        <f t="shared" si="92"/>
        <v>342810.7895900865</v>
      </c>
      <c r="AE37" s="128">
        <f t="shared" si="92"/>
        <v>347450.30076397018</v>
      </c>
      <c r="AF37" s="128">
        <f t="shared" si="92"/>
        <v>352152.60186333541</v>
      </c>
      <c r="AG37" s="128">
        <f t="shared" si="92"/>
        <v>356918.54267053929</v>
      </c>
      <c r="AH37" s="128">
        <f t="shared" si="92"/>
        <v>361748.98446867039</v>
      </c>
      <c r="AI37" s="128">
        <f t="shared" si="92"/>
        <v>366644.80019719613</v>
      </c>
      <c r="AJ37" s="128">
        <f t="shared" si="92"/>
        <v>371606.87460971769</v>
      </c>
      <c r="AK37" s="128">
        <f t="shared" si="92"/>
        <v>376636.10443385871</v>
      </c>
      <c r="AL37" s="128">
        <f t="shared" si="92"/>
        <v>381733.39853331924</v>
      </c>
      <c r="AM37" s="128">
        <f t="shared" si="92"/>
        <v>386899.67807212158</v>
      </c>
      <c r="AN37" s="128">
        <f t="shared" si="92"/>
        <v>392135.87668108026</v>
      </c>
      <c r="AO37" s="128">
        <f t="shared" ref="AO37" si="93">AO16*number_of_victims_accident_possibleInjry*AccidentCost_PossibleInjury</f>
        <v>397442.94062652375</v>
      </c>
    </row>
    <row r="38" spans="1:41" s="126" customFormat="1" x14ac:dyDescent="0.3">
      <c r="A38" s="126" t="s">
        <v>347</v>
      </c>
      <c r="B38" s="133" t="s">
        <v>78</v>
      </c>
      <c r="C38" s="124"/>
      <c r="D38" s="128">
        <f t="shared" ref="D38:AN38" si="94">D17*number_of_victims_accident_PDO*AccidentCost_PDO</f>
        <v>333146.10697334312</v>
      </c>
      <c r="E38" s="128">
        <f t="shared" si="94"/>
        <v>337654.81887149217</v>
      </c>
      <c r="F38" s="128">
        <f t="shared" si="94"/>
        <v>342224.55049208429</v>
      </c>
      <c r="G38" s="128">
        <f t="shared" si="94"/>
        <v>346856.12766001391</v>
      </c>
      <c r="H38" s="128">
        <f t="shared" si="94"/>
        <v>351550.38737667265</v>
      </c>
      <c r="I38" s="128">
        <f t="shared" si="94"/>
        <v>356308.17797120882</v>
      </c>
      <c r="J38" s="128">
        <f t="shared" si="94"/>
        <v>361130.35925383482</v>
      </c>
      <c r="K38" s="128">
        <f t="shared" si="94"/>
        <v>366017.8026712088</v>
      </c>
      <c r="L38" s="128">
        <f t="shared" si="94"/>
        <v>370971.39146391861</v>
      </c>
      <c r="M38" s="128">
        <f t="shared" si="94"/>
        <v>375992.02082609851</v>
      </c>
      <c r="N38" s="128">
        <f t="shared" si="94"/>
        <v>381080.59806720488</v>
      </c>
      <c r="O38" s="128">
        <f t="shared" si="94"/>
        <v>386238.04277598194</v>
      </c>
      <c r="P38" s="128">
        <f t="shared" si="94"/>
        <v>391465.28698664665</v>
      </c>
      <c r="Q38" s="128">
        <f t="shared" si="94"/>
        <v>396763.27534732182</v>
      </c>
      <c r="R38" s="128">
        <f t="shared" si="94"/>
        <v>402132.9652907502</v>
      </c>
      <c r="S38" s="128">
        <f t="shared" si="94"/>
        <v>407575.32720731752</v>
      </c>
      <c r="T38" s="128">
        <f t="shared" si="94"/>
        <v>413091.34462041804</v>
      </c>
      <c r="U38" s="128">
        <f t="shared" si="94"/>
        <v>418682.0143641936</v>
      </c>
      <c r="V38" s="128">
        <f t="shared" si="94"/>
        <v>424348.34676367708</v>
      </c>
      <c r="W38" s="128">
        <f t="shared" si="94"/>
        <v>430091.36581737531</v>
      </c>
      <c r="X38" s="128">
        <f t="shared" si="94"/>
        <v>435912.10938232153</v>
      </c>
      <c r="Y38" s="128">
        <f t="shared" si="94"/>
        <v>441811.62936163385</v>
      </c>
      <c r="Z38" s="128">
        <f t="shared" si="94"/>
        <v>447790.99189461046</v>
      </c>
      <c r="AA38" s="128">
        <f t="shared" si="94"/>
        <v>453851.27754939895</v>
      </c>
      <c r="AB38" s="128">
        <f t="shared" si="94"/>
        <v>459993.58151827252</v>
      </c>
      <c r="AC38" s="128">
        <f t="shared" si="94"/>
        <v>466219.01381554856</v>
      </c>
      <c r="AD38" s="128">
        <f t="shared" si="94"/>
        <v>472528.6994781869</v>
      </c>
      <c r="AE38" s="128">
        <f t="shared" si="94"/>
        <v>478923.77876910195</v>
      </c>
      <c r="AF38" s="128">
        <f t="shared" si="94"/>
        <v>485405.40738322691</v>
      </c>
      <c r="AG38" s="128">
        <f t="shared" si="94"/>
        <v>491974.75665636663</v>
      </c>
      <c r="AH38" s="128">
        <f t="shared" si="94"/>
        <v>498633.01377687696</v>
      </c>
      <c r="AI38" s="128">
        <f t="shared" si="94"/>
        <v>505381.38200020907</v>
      </c>
      <c r="AJ38" s="128">
        <f t="shared" si="94"/>
        <v>512221.0808663576</v>
      </c>
      <c r="AK38" s="128">
        <f t="shared" si="94"/>
        <v>519153.34642025077</v>
      </c>
      <c r="AL38" s="128">
        <f t="shared" si="94"/>
        <v>526179.43143512437</v>
      </c>
      <c r="AM38" s="128">
        <f t="shared" si="94"/>
        <v>533300.60563891812</v>
      </c>
      <c r="AN38" s="128">
        <f t="shared" si="94"/>
        <v>540518.15594373585</v>
      </c>
      <c r="AO38" s="128">
        <f t="shared" ref="AO38" si="95">AO17*number_of_victims_accident_PDO*AccidentCost_PDO</f>
        <v>547833.38667841197</v>
      </c>
    </row>
    <row r="39" spans="1:41" s="126" customFormat="1" x14ac:dyDescent="0.3">
      <c r="B39" s="132"/>
      <c r="C39" s="124"/>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row>
    <row r="40" spans="1:41" s="126" customFormat="1" ht="15" x14ac:dyDescent="0.3">
      <c r="A40" s="219" t="s">
        <v>165</v>
      </c>
      <c r="B40" s="132"/>
      <c r="C40" s="124"/>
      <c r="D40" s="128"/>
      <c r="E40" s="128"/>
      <c r="F40" s="128"/>
      <c r="G40" s="128"/>
      <c r="H40" s="128"/>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row>
    <row r="41" spans="1:41" s="126" customFormat="1" x14ac:dyDescent="0.3">
      <c r="A41" s="126" t="s">
        <v>348</v>
      </c>
      <c r="B41" s="133" t="s">
        <v>78</v>
      </c>
      <c r="C41" s="124"/>
      <c r="D41" s="128">
        <f t="shared" ref="D41:AN41" si="96">D20*number_of_victims_accident_Fatality*AccidentCost_Fatality</f>
        <v>1945984.7756382124</v>
      </c>
      <c r="E41" s="128">
        <f t="shared" si="96"/>
        <v>1972321.2224040125</v>
      </c>
      <c r="F41" s="128">
        <f t="shared" si="96"/>
        <v>1999014.0997220608</v>
      </c>
      <c r="G41" s="128">
        <f t="shared" si="96"/>
        <v>2026068.2314298216</v>
      </c>
      <c r="H41" s="128">
        <f t="shared" si="96"/>
        <v>2053488.5066493077</v>
      </c>
      <c r="I41" s="128">
        <f t="shared" si="96"/>
        <v>2081279.8806706253</v>
      </c>
      <c r="J41" s="128">
        <f t="shared" si="96"/>
        <v>2109447.3758474751</v>
      </c>
      <c r="K41" s="128">
        <f t="shared" si="96"/>
        <v>2137996.082504773</v>
      </c>
      <c r="L41" s="128">
        <f t="shared" si="96"/>
        <v>2166931.1598585565</v>
      </c>
      <c r="M41" s="128">
        <f t="shared" si="96"/>
        <v>2196257.8369483356</v>
      </c>
      <c r="N41" s="128">
        <f t="shared" si="96"/>
        <v>2225981.4135820689</v>
      </c>
      <c r="O41" s="128">
        <f t="shared" si="96"/>
        <v>2256107.2612939235</v>
      </c>
      <c r="P41" s="128">
        <f t="shared" si="96"/>
        <v>2286640.8243149985</v>
      </c>
      <c r="Q41" s="128">
        <f t="shared" si="96"/>
        <v>2317587.6205571871</v>
      </c>
      <c r="R41" s="128">
        <f t="shared" si="96"/>
        <v>2348953.2426103526</v>
      </c>
      <c r="S41" s="128">
        <f t="shared" si="96"/>
        <v>2380743.358752999</v>
      </c>
      <c r="T41" s="128">
        <f t="shared" si="96"/>
        <v>2412963.7139766244</v>
      </c>
      <c r="U41" s="128">
        <f t="shared" si="96"/>
        <v>2445620.1310239318</v>
      </c>
      <c r="V41" s="128">
        <f t="shared" si="96"/>
        <v>2478718.5114410943</v>
      </c>
      <c r="W41" s="128">
        <f t="shared" si="96"/>
        <v>2512264.8366442611</v>
      </c>
      <c r="X41" s="128">
        <f t="shared" si="96"/>
        <v>2546265.1690004966</v>
      </c>
      <c r="Y41" s="128">
        <f t="shared" si="96"/>
        <v>2580725.652923347</v>
      </c>
      <c r="Z41" s="128">
        <f t="shared" si="96"/>
        <v>2615652.5159832384</v>
      </c>
      <c r="AA41" s="128">
        <f t="shared" si="96"/>
        <v>2651052.0700329002</v>
      </c>
      <c r="AB41" s="128">
        <f t="shared" si="96"/>
        <v>2686930.7123480164</v>
      </c>
      <c r="AC41" s="128">
        <f t="shared" si="96"/>
        <v>2723294.926783321</v>
      </c>
      <c r="AD41" s="128">
        <f t="shared" si="96"/>
        <v>2760151.284944335</v>
      </c>
      <c r="AE41" s="128">
        <f t="shared" si="96"/>
        <v>2797506.4473749613</v>
      </c>
      <c r="AF41" s="128">
        <f t="shared" si="96"/>
        <v>2835367.1647611544</v>
      </c>
      <c r="AG41" s="128">
        <f t="shared" si="96"/>
        <v>2873740.2791508799</v>
      </c>
      <c r="AH41" s="128">
        <f t="shared" si="96"/>
        <v>2912632.7251905827</v>
      </c>
      <c r="AI41" s="128">
        <f t="shared" si="96"/>
        <v>2952051.5313783912</v>
      </c>
      <c r="AJ41" s="128">
        <f t="shared" si="96"/>
        <v>2992003.821334281</v>
      </c>
      <c r="AK41" s="128">
        <f t="shared" si="96"/>
        <v>3032496.8150874292</v>
      </c>
      <c r="AL41" s="128">
        <f t="shared" si="96"/>
        <v>3073537.830380992</v>
      </c>
      <c r="AM41" s="128">
        <f t="shared" si="96"/>
        <v>3115134.2839945378</v>
      </c>
      <c r="AN41" s="128">
        <f t="shared" si="96"/>
        <v>3157293.6930843825</v>
      </c>
      <c r="AO41" s="128">
        <f t="shared" ref="AO41" si="97">AO20*number_of_victims_accident_Fatality*AccidentCost_Fatality</f>
        <v>3200023.6765420595</v>
      </c>
    </row>
    <row r="42" spans="1:41" s="126" customFormat="1" x14ac:dyDescent="0.3">
      <c r="A42" s="126" t="s">
        <v>344</v>
      </c>
      <c r="B42" s="133" t="s">
        <v>78</v>
      </c>
      <c r="C42" s="124"/>
      <c r="D42" s="128">
        <f t="shared" ref="D42:AN42" si="98">D21*number_of_victims_accident_incapacitating*AccidentCost_IncapacitatingInjury</f>
        <v>2138296.721090659</v>
      </c>
      <c r="E42" s="128">
        <f t="shared" si="98"/>
        <v>2167235.8672080892</v>
      </c>
      <c r="F42" s="128">
        <f t="shared" si="98"/>
        <v>2196566.6681270939</v>
      </c>
      <c r="G42" s="128">
        <f t="shared" si="98"/>
        <v>2226294.4244008744</v>
      </c>
      <c r="H42" s="128">
        <f t="shared" si="98"/>
        <v>2256424.5083189262</v>
      </c>
      <c r="I42" s="128">
        <f t="shared" si="98"/>
        <v>2286962.364877901</v>
      </c>
      <c r="J42" s="128">
        <f t="shared" si="98"/>
        <v>2317913.5127656031</v>
      </c>
      <c r="K42" s="128">
        <f t="shared" si="98"/>
        <v>2349283.5453583086</v>
      </c>
      <c r="L42" s="128">
        <f t="shared" si="98"/>
        <v>2381078.1317315791</v>
      </c>
      <c r="M42" s="128">
        <f t="shared" si="98"/>
        <v>2413303.0176847558</v>
      </c>
      <c r="N42" s="128">
        <f t="shared" si="98"/>
        <v>2445964.0267793178</v>
      </c>
      <c r="O42" s="128">
        <f t="shared" si="98"/>
        <v>2479067.0613912963</v>
      </c>
      <c r="P42" s="128">
        <f t="shared" si="98"/>
        <v>2512618.1037779292</v>
      </c>
      <c r="Q42" s="128">
        <f t="shared" si="98"/>
        <v>2546623.217158752</v>
      </c>
      <c r="R42" s="128">
        <f t="shared" si="98"/>
        <v>2581088.5468113208</v>
      </c>
      <c r="S42" s="128">
        <f t="shared" si="98"/>
        <v>2616020.3211817648</v>
      </c>
      <c r="T42" s="128">
        <f t="shared" si="98"/>
        <v>2651424.8530103648</v>
      </c>
      <c r="U42" s="128">
        <f t="shared" si="98"/>
        <v>2687308.5404723724</v>
      </c>
      <c r="V42" s="128">
        <f t="shared" si="98"/>
        <v>2723677.8683342612</v>
      </c>
      <c r="W42" s="128">
        <f t="shared" si="98"/>
        <v>2760539.4091256312</v>
      </c>
      <c r="X42" s="128">
        <f t="shared" si="98"/>
        <v>2797899.8243269706</v>
      </c>
      <c r="Y42" s="128">
        <f t="shared" si="98"/>
        <v>2835765.8655734966</v>
      </c>
      <c r="Z42" s="128">
        <f t="shared" si="98"/>
        <v>2874144.3758752821</v>
      </c>
      <c r="AA42" s="128">
        <f t="shared" si="98"/>
        <v>2913042.2908539018</v>
      </c>
      <c r="AB42" s="128">
        <f t="shared" si="98"/>
        <v>2952466.6399958096</v>
      </c>
      <c r="AC42" s="128">
        <f t="shared" si="98"/>
        <v>2992424.5479226839</v>
      </c>
      <c r="AD42" s="128">
        <f t="shared" si="98"/>
        <v>3032923.2356789596</v>
      </c>
      <c r="AE42" s="128">
        <f t="shared" si="98"/>
        <v>3073970.0220367922</v>
      </c>
      <c r="AF42" s="128">
        <f t="shared" si="98"/>
        <v>3115572.3248186759</v>
      </c>
      <c r="AG42" s="128">
        <f t="shared" si="98"/>
        <v>3157737.6622379664</v>
      </c>
      <c r="AH42" s="128">
        <f t="shared" si="98"/>
        <v>3200473.6542575425</v>
      </c>
      <c r="AI42" s="128">
        <f t="shared" si="98"/>
        <v>3243788.0239668614</v>
      </c>
      <c r="AJ42" s="128">
        <f t="shared" si="98"/>
        <v>3287688.5989776417</v>
      </c>
      <c r="AK42" s="128">
        <f t="shared" si="98"/>
        <v>3332183.3128384454</v>
      </c>
      <c r="AL42" s="128">
        <f t="shared" si="98"/>
        <v>3377280.2064683945</v>
      </c>
      <c r="AM42" s="128">
        <f t="shared" si="98"/>
        <v>3422987.4296102994</v>
      </c>
      <c r="AN42" s="128">
        <f t="shared" si="98"/>
        <v>3469313.2423034478</v>
      </c>
      <c r="AO42" s="128">
        <f t="shared" ref="AO42" si="99">AO21*number_of_victims_accident_incapacitating*AccidentCost_IncapacitatingInjury</f>
        <v>3516266.0163763301</v>
      </c>
    </row>
    <row r="43" spans="1:41" s="126" customFormat="1" x14ac:dyDescent="0.3">
      <c r="A43" s="126" t="s">
        <v>345</v>
      </c>
      <c r="B43" s="133" t="s">
        <v>78</v>
      </c>
      <c r="C43" s="124"/>
      <c r="D43" s="128">
        <f t="shared" ref="D43:AN43" si="100">D22*number_of_victims_accident_nonincapacitating*AccidentCost_NonIncapacitating_Injury</f>
        <v>1472526.6797254351</v>
      </c>
      <c r="E43" s="128">
        <f t="shared" si="100"/>
        <v>1492455.4689931159</v>
      </c>
      <c r="F43" s="128">
        <f t="shared" si="100"/>
        <v>1512653.969259683</v>
      </c>
      <c r="G43" s="128">
        <f t="shared" si="100"/>
        <v>1533125.8307229457</v>
      </c>
      <c r="H43" s="128">
        <f t="shared" si="100"/>
        <v>1553874.752981531</v>
      </c>
      <c r="I43" s="128">
        <f t="shared" si="100"/>
        <v>1574904.485703462</v>
      </c>
      <c r="J43" s="128">
        <f t="shared" si="100"/>
        <v>1596218.8293037843</v>
      </c>
      <c r="K43" s="128">
        <f t="shared" si="100"/>
        <v>1617821.6356313617</v>
      </c>
      <c r="L43" s="128">
        <f t="shared" si="100"/>
        <v>1639716.8086649694</v>
      </c>
      <c r="M43" s="128">
        <f t="shared" si="100"/>
        <v>1661908.3052188053</v>
      </c>
      <c r="N43" s="128">
        <f t="shared" si="100"/>
        <v>1684400.1356575512</v>
      </c>
      <c r="O43" s="128">
        <f t="shared" si="100"/>
        <v>1707196.3646211114</v>
      </c>
      <c r="P43" s="128">
        <f t="shared" si="100"/>
        <v>1730301.111759159</v>
      </c>
      <c r="Q43" s="128">
        <f t="shared" si="100"/>
        <v>1753718.5524756233</v>
      </c>
      <c r="R43" s="128">
        <f t="shared" si="100"/>
        <v>1777452.9186832535</v>
      </c>
      <c r="S43" s="128">
        <f t="shared" si="100"/>
        <v>1801508.4995683937</v>
      </c>
      <c r="T43" s="128">
        <f t="shared" si="100"/>
        <v>1825889.642366111</v>
      </c>
      <c r="U43" s="128">
        <f t="shared" si="100"/>
        <v>1850600.7531458088</v>
      </c>
      <c r="V43" s="128">
        <f t="shared" si="100"/>
        <v>1875646.2976074757</v>
      </c>
      <c r="W43" s="128">
        <f t="shared" si="100"/>
        <v>1901030.8018887122</v>
      </c>
      <c r="X43" s="128">
        <f t="shared" si="100"/>
        <v>1926758.8533826754</v>
      </c>
      <c r="Y43" s="128">
        <f t="shared" si="100"/>
        <v>1952835.1015670961</v>
      </c>
      <c r="Z43" s="128">
        <f t="shared" si="100"/>
        <v>1979264.2588445165</v>
      </c>
      <c r="AA43" s="128">
        <f t="shared" si="100"/>
        <v>2006051.1013938952</v>
      </c>
      <c r="AB43" s="128">
        <f t="shared" si="100"/>
        <v>2033200.4700337437</v>
      </c>
      <c r="AC43" s="128">
        <f t="shared" si="100"/>
        <v>2060717.2710969388</v>
      </c>
      <c r="AD43" s="128">
        <f t="shared" si="100"/>
        <v>2088606.4773173782</v>
      </c>
      <c r="AE43" s="128">
        <f t="shared" si="100"/>
        <v>2116873.1287286333</v>
      </c>
      <c r="AF43" s="128">
        <f t="shared" si="100"/>
        <v>2145522.3335747649</v>
      </c>
      <c r="AG43" s="128">
        <f t="shared" si="100"/>
        <v>2174559.2692334703</v>
      </c>
      <c r="AH43" s="128">
        <f t="shared" si="100"/>
        <v>2203989.1831517131</v>
      </c>
      <c r="AI43" s="128">
        <f t="shared" si="100"/>
        <v>2233817.3937940276</v>
      </c>
      <c r="AJ43" s="128">
        <f t="shared" si="100"/>
        <v>2264049.2916036495</v>
      </c>
      <c r="AK43" s="128">
        <f t="shared" si="100"/>
        <v>2294690.3399766572</v>
      </c>
      <c r="AL43" s="128">
        <f t="shared" si="100"/>
        <v>2325746.0762492958</v>
      </c>
      <c r="AM43" s="128">
        <f t="shared" si="100"/>
        <v>2357222.1126986663</v>
      </c>
      <c r="AN43" s="128">
        <f t="shared" si="100"/>
        <v>2389124.1375569515</v>
      </c>
      <c r="AO43" s="128">
        <f t="shared" ref="AO43" si="101">AO22*number_of_victims_accident_nonincapacitating*AccidentCost_NonIncapacitating_Injury</f>
        <v>2421457.9160393756</v>
      </c>
    </row>
    <row r="44" spans="1:41" s="126" customFormat="1" x14ac:dyDescent="0.3">
      <c r="A44" s="126" t="s">
        <v>346</v>
      </c>
      <c r="B44" s="133" t="s">
        <v>78</v>
      </c>
      <c r="C44" s="124"/>
      <c r="D44" s="128">
        <f t="shared" ref="D44:AN44" si="102">D23*number_of_victims_accident_possibleInjry*AccidentCost_PossibleInjury</f>
        <v>107418.35961522932</v>
      </c>
      <c r="E44" s="128">
        <f t="shared" si="102"/>
        <v>108872.13147670147</v>
      </c>
      <c r="F44" s="128">
        <f t="shared" si="102"/>
        <v>110345.57830465774</v>
      </c>
      <c r="G44" s="128">
        <f t="shared" si="102"/>
        <v>111838.96637492614</v>
      </c>
      <c r="H44" s="128">
        <f t="shared" si="102"/>
        <v>113352.56556704178</v>
      </c>
      <c r="I44" s="128">
        <f t="shared" si="102"/>
        <v>114886.64941301852</v>
      </c>
      <c r="J44" s="128">
        <f t="shared" si="102"/>
        <v>116441.49514678062</v>
      </c>
      <c r="K44" s="128">
        <f t="shared" si="102"/>
        <v>118017.38375426346</v>
      </c>
      <c r="L44" s="128">
        <f t="shared" si="102"/>
        <v>119614.6000241923</v>
      </c>
      <c r="M44" s="128">
        <f t="shared" si="102"/>
        <v>121233.4325995481</v>
      </c>
      <c r="N44" s="128">
        <f t="shared" si="102"/>
        <v>122874.1740297302</v>
      </c>
      <c r="O44" s="128">
        <f t="shared" si="102"/>
        <v>124537.12082342457</v>
      </c>
      <c r="P44" s="128">
        <f t="shared" si="102"/>
        <v>126222.57350218792</v>
      </c>
      <c r="Q44" s="128">
        <f t="shared" si="102"/>
        <v>127930.83665475674</v>
      </c>
      <c r="R44" s="128">
        <f t="shared" si="102"/>
        <v>129662.21899209144</v>
      </c>
      <c r="S44" s="128">
        <f t="shared" si="102"/>
        <v>131417.03340316555</v>
      </c>
      <c r="T44" s="128">
        <f t="shared" si="102"/>
        <v>133195.59701150967</v>
      </c>
      <c r="U44" s="128">
        <f t="shared" si="102"/>
        <v>134998.23123252101</v>
      </c>
      <c r="V44" s="128">
        <f t="shared" si="102"/>
        <v>136825.26183154841</v>
      </c>
      <c r="W44" s="128">
        <f t="shared" si="102"/>
        <v>138677.0189827632</v>
      </c>
      <c r="X44" s="128">
        <f t="shared" si="102"/>
        <v>140553.83732882739</v>
      </c>
      <c r="Y44" s="128">
        <f t="shared" si="102"/>
        <v>142456.05604136872</v>
      </c>
      <c r="Z44" s="128">
        <f t="shared" si="102"/>
        <v>144384.01888227474</v>
      </c>
      <c r="AA44" s="128">
        <f t="shared" si="102"/>
        <v>146338.0742658161</v>
      </c>
      <c r="AB44" s="128">
        <f t="shared" si="102"/>
        <v>148318.57532161049</v>
      </c>
      <c r="AC44" s="128">
        <f t="shared" si="102"/>
        <v>150325.8799584393</v>
      </c>
      <c r="AD44" s="128">
        <f t="shared" si="102"/>
        <v>152360.35092892728</v>
      </c>
      <c r="AE44" s="128">
        <f t="shared" si="102"/>
        <v>154422.35589509786</v>
      </c>
      <c r="AF44" s="128">
        <f t="shared" si="102"/>
        <v>156512.26749481572</v>
      </c>
      <c r="AG44" s="128">
        <f t="shared" si="102"/>
        <v>158630.46340912857</v>
      </c>
      <c r="AH44" s="128">
        <f t="shared" si="102"/>
        <v>160777.32643052016</v>
      </c>
      <c r="AI44" s="128">
        <f t="shared" si="102"/>
        <v>162953.24453208718</v>
      </c>
      <c r="AJ44" s="128">
        <f t="shared" si="102"/>
        <v>165158.61093765229</v>
      </c>
      <c r="AK44" s="128">
        <f t="shared" si="102"/>
        <v>167393.82419282608</v>
      </c>
      <c r="AL44" s="128">
        <f t="shared" si="102"/>
        <v>169659.28823703073</v>
      </c>
      <c r="AM44" s="128">
        <f t="shared" si="102"/>
        <v>171955.41247649846</v>
      </c>
      <c r="AN44" s="128">
        <f t="shared" si="102"/>
        <v>174282.61185825788</v>
      </c>
      <c r="AO44" s="128">
        <f t="shared" ref="AO44" si="103">AO23*number_of_victims_accident_possibleInjry*AccidentCost_PossibleInjury</f>
        <v>176641.30694512167</v>
      </c>
    </row>
    <row r="45" spans="1:41" s="126" customFormat="1" x14ac:dyDescent="0.3">
      <c r="A45" s="126" t="s">
        <v>347</v>
      </c>
      <c r="B45" s="133" t="s">
        <v>78</v>
      </c>
      <c r="C45" s="124"/>
      <c r="D45" s="128">
        <f t="shared" ref="D45:AN45" si="104">D24*number_of_victims_accident_PDO*AccidentCost_PDO</f>
        <v>152088.4401400045</v>
      </c>
      <c r="E45" s="128">
        <f t="shared" si="104"/>
        <v>154146.76513698557</v>
      </c>
      <c r="F45" s="128">
        <f t="shared" si="104"/>
        <v>156232.94696377768</v>
      </c>
      <c r="G45" s="128">
        <f t="shared" si="104"/>
        <v>158347.36262739773</v>
      </c>
      <c r="H45" s="128">
        <f t="shared" si="104"/>
        <v>160490.39423717666</v>
      </c>
      <c r="I45" s="128">
        <f t="shared" si="104"/>
        <v>162662.42907381276</v>
      </c>
      <c r="J45" s="128">
        <f t="shared" si="104"/>
        <v>164863.85965935944</v>
      </c>
      <c r="K45" s="128">
        <f t="shared" si="104"/>
        <v>167095.0838281606</v>
      </c>
      <c r="L45" s="128">
        <f t="shared" si="104"/>
        <v>169356.50479874553</v>
      </c>
      <c r="M45" s="128">
        <f t="shared" si="104"/>
        <v>171648.53124669721</v>
      </c>
      <c r="N45" s="128">
        <f t="shared" si="104"/>
        <v>173971.57737850663</v>
      </c>
      <c r="O45" s="128">
        <f t="shared" si="104"/>
        <v>176326.06300642664</v>
      </c>
      <c r="P45" s="128">
        <f t="shared" si="104"/>
        <v>178712.41362433881</v>
      </c>
      <c r="Q45" s="128">
        <f t="shared" si="104"/>
        <v>181131.06048464702</v>
      </c>
      <c r="R45" s="128">
        <f t="shared" si="104"/>
        <v>183582.44067621214</v>
      </c>
      <c r="S45" s="128">
        <f t="shared" si="104"/>
        <v>186066.99720334067</v>
      </c>
      <c r="T45" s="128">
        <f t="shared" si="104"/>
        <v>188585.17906584308</v>
      </c>
      <c r="U45" s="128">
        <f t="shared" si="104"/>
        <v>191137.44134017543</v>
      </c>
      <c r="V45" s="128">
        <f t="shared" si="104"/>
        <v>193724.24526167876</v>
      </c>
      <c r="W45" s="128">
        <f t="shared" si="104"/>
        <v>196346.05830793225</v>
      </c>
      <c r="X45" s="128">
        <f t="shared" si="104"/>
        <v>199003.35428323381</v>
      </c>
      <c r="Y45" s="128">
        <f t="shared" si="104"/>
        <v>201696.61340422419</v>
      </c>
      <c r="Z45" s="128">
        <f t="shared" si="104"/>
        <v>204426.32238667001</v>
      </c>
      <c r="AA45" s="128">
        <f t="shared" si="104"/>
        <v>207192.97453342134</v>
      </c>
      <c r="AB45" s="128">
        <f t="shared" si="104"/>
        <v>209997.06982355929</v>
      </c>
      <c r="AC45" s="128">
        <f t="shared" si="104"/>
        <v>212839.11500275051</v>
      </c>
      <c r="AD45" s="128">
        <f t="shared" si="104"/>
        <v>215719.62367482454</v>
      </c>
      <c r="AE45" s="128">
        <f t="shared" si="104"/>
        <v>218639.11639459012</v>
      </c>
      <c r="AF45" s="128">
        <f t="shared" si="104"/>
        <v>221598.12076190804</v>
      </c>
      <c r="AG45" s="128">
        <f t="shared" si="104"/>
        <v>224597.17151703703</v>
      </c>
      <c r="AH45" s="128">
        <f t="shared" si="104"/>
        <v>227636.81063727001</v>
      </c>
      <c r="AI45" s="128">
        <f t="shared" si="104"/>
        <v>230717.58743487817</v>
      </c>
      <c r="AJ45" s="128">
        <f t="shared" si="104"/>
        <v>233840.05865638074</v>
      </c>
      <c r="AK45" s="128">
        <f t="shared" si="104"/>
        <v>237004.78858315808</v>
      </c>
      <c r="AL45" s="128">
        <f t="shared" si="104"/>
        <v>240212.3491334265</v>
      </c>
      <c r="AM45" s="128">
        <f t="shared" si="104"/>
        <v>243463.31996559317</v>
      </c>
      <c r="AN45" s="128">
        <f t="shared" si="104"/>
        <v>246758.28858300997</v>
      </c>
      <c r="AO45" s="128">
        <f t="shared" ref="AO45" si="105">AO24*number_of_victims_accident_PDO*AccidentCost_PDO</f>
        <v>250097.85044014474</v>
      </c>
    </row>
    <row r="46" spans="1:41" s="126" customFormat="1" x14ac:dyDescent="0.3">
      <c r="B46" s="132"/>
      <c r="C46" s="124"/>
      <c r="D46" s="128"/>
      <c r="E46" s="128"/>
      <c r="F46" s="128"/>
      <c r="G46" s="128"/>
      <c r="H46" s="128"/>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row>
    <row r="47" spans="1:41" s="126" customFormat="1" x14ac:dyDescent="0.3">
      <c r="A47" s="219" t="s">
        <v>166</v>
      </c>
      <c r="B47" s="132"/>
      <c r="C47" s="124"/>
      <c r="D47" s="128"/>
      <c r="E47" s="128"/>
      <c r="F47" s="128"/>
      <c r="G47" s="128"/>
      <c r="H47" s="128"/>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row>
    <row r="48" spans="1:41" s="126" customFormat="1" x14ac:dyDescent="0.3">
      <c r="A48" s="126" t="s">
        <v>348</v>
      </c>
      <c r="B48" s="133" t="s">
        <v>78</v>
      </c>
      <c r="C48" s="124"/>
      <c r="D48" s="128">
        <f t="shared" ref="D48:AN48" si="106">D27*number_of_victims_accident_Fatality*AccidentCost_Fatality</f>
        <v>972992.38781910622</v>
      </c>
      <c r="E48" s="128">
        <f t="shared" si="106"/>
        <v>986160.61120200623</v>
      </c>
      <c r="F48" s="128">
        <f t="shared" si="106"/>
        <v>999507.04986103042</v>
      </c>
      <c r="G48" s="128">
        <f t="shared" si="106"/>
        <v>1013034.1157149108</v>
      </c>
      <c r="H48" s="128">
        <f t="shared" si="106"/>
        <v>1026744.2533246538</v>
      </c>
      <c r="I48" s="128">
        <f t="shared" si="106"/>
        <v>1040639.9403353126</v>
      </c>
      <c r="J48" s="128">
        <f t="shared" si="106"/>
        <v>1054723.6879237376</v>
      </c>
      <c r="K48" s="128">
        <f t="shared" si="106"/>
        <v>1068998.0412523865</v>
      </c>
      <c r="L48" s="128">
        <f t="shared" si="106"/>
        <v>1083465.5799292782</v>
      </c>
      <c r="M48" s="128">
        <f t="shared" si="106"/>
        <v>1098128.9184741678</v>
      </c>
      <c r="N48" s="128">
        <f t="shared" si="106"/>
        <v>1112990.7067910344</v>
      </c>
      <c r="O48" s="128">
        <f t="shared" si="106"/>
        <v>1128053.6306469617</v>
      </c>
      <c r="P48" s="128">
        <f t="shared" si="106"/>
        <v>1143320.4121574992</v>
      </c>
      <c r="Q48" s="128">
        <f t="shared" si="106"/>
        <v>1158793.8102785936</v>
      </c>
      <c r="R48" s="128">
        <f t="shared" si="106"/>
        <v>1174476.6213051763</v>
      </c>
      <c r="S48" s="128">
        <f t="shared" si="106"/>
        <v>1190371.6793764995</v>
      </c>
      <c r="T48" s="128">
        <f t="shared" si="106"/>
        <v>1206481.8569883122</v>
      </c>
      <c r="U48" s="128">
        <f t="shared" si="106"/>
        <v>1222810.0655119659</v>
      </c>
      <c r="V48" s="128">
        <f t="shared" si="106"/>
        <v>1239359.2557205472</v>
      </c>
      <c r="W48" s="128">
        <f t="shared" si="106"/>
        <v>1256132.4183221306</v>
      </c>
      <c r="X48" s="128">
        <f t="shared" si="106"/>
        <v>1273132.5845002483</v>
      </c>
      <c r="Y48" s="128">
        <f t="shared" si="106"/>
        <v>1290362.8264616735</v>
      </c>
      <c r="Z48" s="128">
        <f t="shared" si="106"/>
        <v>1307826.2579916192</v>
      </c>
      <c r="AA48" s="128">
        <f t="shared" si="106"/>
        <v>1325526.0350164501</v>
      </c>
      <c r="AB48" s="128">
        <f t="shared" si="106"/>
        <v>1343465.3561740082</v>
      </c>
      <c r="AC48" s="128">
        <f t="shared" si="106"/>
        <v>1361647.4633916605</v>
      </c>
      <c r="AD48" s="128">
        <f t="shared" si="106"/>
        <v>1380075.6424721675</v>
      </c>
      <c r="AE48" s="128">
        <f t="shared" si="106"/>
        <v>1398753.2236874807</v>
      </c>
      <c r="AF48" s="128">
        <f t="shared" si="106"/>
        <v>1417683.5823805772</v>
      </c>
      <c r="AG48" s="128">
        <f t="shared" si="106"/>
        <v>1436870.13957544</v>
      </c>
      <c r="AH48" s="128">
        <f t="shared" si="106"/>
        <v>1456316.3625952913</v>
      </c>
      <c r="AI48" s="128">
        <f t="shared" si="106"/>
        <v>1476025.7656891956</v>
      </c>
      <c r="AJ48" s="128">
        <f t="shared" si="106"/>
        <v>1496001.9106671405</v>
      </c>
      <c r="AK48" s="128">
        <f t="shared" si="106"/>
        <v>1516248.4075437146</v>
      </c>
      <c r="AL48" s="128">
        <f t="shared" si="106"/>
        <v>1536768.915190496</v>
      </c>
      <c r="AM48" s="128">
        <f t="shared" si="106"/>
        <v>1557567.1419972689</v>
      </c>
      <c r="AN48" s="128">
        <f t="shared" si="106"/>
        <v>1578646.8465421912</v>
      </c>
      <c r="AO48" s="128">
        <f t="shared" ref="AO48" si="107">AO27*number_of_victims_accident_Fatality*AccidentCost_Fatality</f>
        <v>1600011.8382710298</v>
      </c>
    </row>
    <row r="49" spans="1:41" s="126" customFormat="1" x14ac:dyDescent="0.3">
      <c r="A49" s="126" t="s">
        <v>344</v>
      </c>
      <c r="B49" s="133" t="s">
        <v>78</v>
      </c>
      <c r="C49" s="124"/>
      <c r="D49" s="128">
        <f t="shared" ref="D49:AN49" si="108">D28*number_of_victims_accident_incapacitating*AccidentCost_IncapacitatingInjury</f>
        <v>1315874.9052865591</v>
      </c>
      <c r="E49" s="128">
        <f t="shared" si="108"/>
        <v>1333683.6105895932</v>
      </c>
      <c r="F49" s="128">
        <f t="shared" si="108"/>
        <v>1351733.3342320574</v>
      </c>
      <c r="G49" s="128">
        <f t="shared" si="108"/>
        <v>1370027.3380928454</v>
      </c>
      <c r="H49" s="128">
        <f t="shared" si="108"/>
        <v>1388568.9281962619</v>
      </c>
      <c r="I49" s="128">
        <f t="shared" si="108"/>
        <v>1407361.4553094767</v>
      </c>
      <c r="J49" s="128">
        <f t="shared" si="108"/>
        <v>1426408.3155480626</v>
      </c>
      <c r="K49" s="128">
        <f t="shared" si="108"/>
        <v>1445712.9509897276</v>
      </c>
      <c r="L49" s="128">
        <f t="shared" si="108"/>
        <v>1465278.8502963558</v>
      </c>
      <c r="M49" s="128">
        <f t="shared" si="108"/>
        <v>1485109.5493444644</v>
      </c>
      <c r="N49" s="128">
        <f t="shared" si="108"/>
        <v>1505208.631864195</v>
      </c>
      <c r="O49" s="128">
        <f t="shared" si="108"/>
        <v>1525579.7300869511</v>
      </c>
      <c r="P49" s="128">
        <f t="shared" si="108"/>
        <v>1546226.5254018023</v>
      </c>
      <c r="Q49" s="128">
        <f t="shared" si="108"/>
        <v>1567152.7490207702</v>
      </c>
      <c r="R49" s="128">
        <f t="shared" si="108"/>
        <v>1588362.1826531203</v>
      </c>
      <c r="S49" s="128">
        <f t="shared" si="108"/>
        <v>1609858.6591887781</v>
      </c>
      <c r="T49" s="128">
        <f t="shared" si="108"/>
        <v>1631646.0633909937</v>
      </c>
      <c r="U49" s="128">
        <f t="shared" si="108"/>
        <v>1653728.3325983828</v>
      </c>
      <c r="V49" s="128">
        <f t="shared" si="108"/>
        <v>1676109.457436468</v>
      </c>
      <c r="W49" s="128">
        <f t="shared" si="108"/>
        <v>1698793.4825388496</v>
      </c>
      <c r="X49" s="128">
        <f t="shared" si="108"/>
        <v>1721784.5072781357</v>
      </c>
      <c r="Y49" s="128">
        <f t="shared" si="108"/>
        <v>1745086.6865067671</v>
      </c>
      <c r="Z49" s="128">
        <f t="shared" si="108"/>
        <v>1768704.2313078661</v>
      </c>
      <c r="AA49" s="128">
        <f t="shared" si="108"/>
        <v>1792641.4097562472</v>
      </c>
      <c r="AB49" s="128">
        <f t="shared" si="108"/>
        <v>1816902.5476897287</v>
      </c>
      <c r="AC49" s="128">
        <f t="shared" si="108"/>
        <v>1841492.0294908818</v>
      </c>
      <c r="AD49" s="128">
        <f t="shared" si="108"/>
        <v>1866414.2988793594</v>
      </c>
      <c r="AE49" s="128">
        <f t="shared" si="108"/>
        <v>1891673.8597149488</v>
      </c>
      <c r="AF49" s="128">
        <f t="shared" si="108"/>
        <v>1917275.2768114926</v>
      </c>
      <c r="AG49" s="128">
        <f t="shared" si="108"/>
        <v>1943223.1767618251</v>
      </c>
      <c r="AH49" s="128">
        <f t="shared" si="108"/>
        <v>1969522.2487738722</v>
      </c>
      <c r="AI49" s="128">
        <f t="shared" si="108"/>
        <v>1996177.2455180681</v>
      </c>
      <c r="AJ49" s="128">
        <f t="shared" si="108"/>
        <v>2023192.983986241</v>
      </c>
      <c r="AK49" s="128">
        <f t="shared" si="108"/>
        <v>2050574.3463621198</v>
      </c>
      <c r="AL49" s="128">
        <f t="shared" si="108"/>
        <v>2078326.2809036267</v>
      </c>
      <c r="AM49" s="128">
        <f t="shared" si="108"/>
        <v>2106453.8028371064</v>
      </c>
      <c r="AN49" s="128">
        <f t="shared" si="108"/>
        <v>2134961.9952636594</v>
      </c>
      <c r="AO49" s="128">
        <f t="shared" ref="AO49" si="109">AO28*number_of_victims_accident_incapacitating*AccidentCost_IncapacitatingInjury</f>
        <v>2163856.0100777405</v>
      </c>
    </row>
    <row r="50" spans="1:41" s="126" customFormat="1" ht="15" x14ac:dyDescent="0.3">
      <c r="A50" s="126" t="s">
        <v>345</v>
      </c>
      <c r="B50" s="133" t="s">
        <v>78</v>
      </c>
      <c r="C50" s="124"/>
      <c r="D50" s="128">
        <f t="shared" ref="D50:AN50" si="110">D29*number_of_victims_accident_nonincapacitating*AccidentCost_NonIncapacitating_Injury</f>
        <v>2524331.4509578887</v>
      </c>
      <c r="E50" s="128">
        <f t="shared" si="110"/>
        <v>2558495.0897024842</v>
      </c>
      <c r="F50" s="128">
        <f t="shared" si="110"/>
        <v>2593121.0901594572</v>
      </c>
      <c r="G50" s="128">
        <f t="shared" si="110"/>
        <v>2628215.7098107641</v>
      </c>
      <c r="H50" s="128">
        <f t="shared" si="110"/>
        <v>2663785.290825482</v>
      </c>
      <c r="I50" s="128">
        <f t="shared" si="110"/>
        <v>2699836.2612059349</v>
      </c>
      <c r="J50" s="128">
        <f t="shared" si="110"/>
        <v>2736375.1359493444</v>
      </c>
      <c r="K50" s="128">
        <f t="shared" si="110"/>
        <v>2773408.5182251916</v>
      </c>
      <c r="L50" s="128">
        <f t="shared" si="110"/>
        <v>2810943.100568519</v>
      </c>
      <c r="M50" s="128">
        <f t="shared" si="110"/>
        <v>2848985.6660893802</v>
      </c>
      <c r="N50" s="128">
        <f t="shared" si="110"/>
        <v>2887543.0896986593</v>
      </c>
      <c r="O50" s="128">
        <f t="shared" si="110"/>
        <v>2926622.3393504769</v>
      </c>
      <c r="P50" s="128">
        <f t="shared" si="110"/>
        <v>2966230.477301416</v>
      </c>
      <c r="Q50" s="128">
        <f t="shared" si="110"/>
        <v>3006374.6613867828</v>
      </c>
      <c r="R50" s="128">
        <f t="shared" si="110"/>
        <v>3047062.1463141488</v>
      </c>
      <c r="S50" s="128">
        <f t="shared" si="110"/>
        <v>3088300.2849743897</v>
      </c>
      <c r="T50" s="128">
        <f t="shared" si="110"/>
        <v>3130096.5297704767</v>
      </c>
      <c r="U50" s="128">
        <f t="shared" si="110"/>
        <v>3172458.4339642436</v>
      </c>
      <c r="V50" s="128">
        <f t="shared" si="110"/>
        <v>3215393.653041387</v>
      </c>
      <c r="W50" s="128">
        <f t="shared" si="110"/>
        <v>3258909.9460949353</v>
      </c>
      <c r="X50" s="128">
        <f t="shared" si="110"/>
        <v>3303015.1772274431</v>
      </c>
      <c r="Y50" s="128">
        <f t="shared" si="110"/>
        <v>3347717.3169721644</v>
      </c>
      <c r="Z50" s="128">
        <f t="shared" si="110"/>
        <v>3393024.4437334561</v>
      </c>
      <c r="AA50" s="128">
        <f t="shared" si="110"/>
        <v>3438944.7452466772</v>
      </c>
      <c r="AB50" s="128">
        <f t="shared" si="110"/>
        <v>3485486.5200578459</v>
      </c>
      <c r="AC50" s="128">
        <f t="shared" si="110"/>
        <v>3532658.1790233236</v>
      </c>
      <c r="AD50" s="128">
        <f t="shared" si="110"/>
        <v>3580468.2468297905</v>
      </c>
      <c r="AE50" s="128">
        <f t="shared" si="110"/>
        <v>3628925.3635347979</v>
      </c>
      <c r="AF50" s="128">
        <f t="shared" si="110"/>
        <v>3678038.286128168</v>
      </c>
      <c r="AG50" s="128">
        <f t="shared" si="110"/>
        <v>3727815.8901145197</v>
      </c>
      <c r="AH50" s="128">
        <f t="shared" si="110"/>
        <v>3778267.1711172219</v>
      </c>
      <c r="AI50" s="128">
        <f t="shared" si="110"/>
        <v>3829401.2465040474</v>
      </c>
      <c r="AJ50" s="128">
        <f t="shared" si="110"/>
        <v>3881227.3570348276</v>
      </c>
      <c r="AK50" s="128">
        <f t="shared" si="110"/>
        <v>3933754.868531412</v>
      </c>
      <c r="AL50" s="128">
        <f t="shared" si="110"/>
        <v>3986993.2735702214</v>
      </c>
      <c r="AM50" s="128">
        <f t="shared" si="110"/>
        <v>4040952.1931977128</v>
      </c>
      <c r="AN50" s="128">
        <f t="shared" si="110"/>
        <v>4095641.3786690594</v>
      </c>
      <c r="AO50" s="128">
        <f t="shared" ref="AO50" si="111">AO29*number_of_victims_accident_nonincapacitating*AccidentCost_NonIncapacitating_Injury</f>
        <v>4151070.7132103578</v>
      </c>
    </row>
    <row r="51" spans="1:41" s="126" customFormat="1" ht="15" x14ac:dyDescent="0.3">
      <c r="A51" s="126" t="s">
        <v>346</v>
      </c>
      <c r="B51" s="133" t="s">
        <v>78</v>
      </c>
      <c r="C51" s="124"/>
      <c r="D51" s="128">
        <f t="shared" ref="D51:AN51" si="112">D30*number_of_victims_accident_possibleInjry*AccidentCost_PossibleInjury</f>
        <v>265189.07530009741</v>
      </c>
      <c r="E51" s="128">
        <f t="shared" si="112"/>
        <v>268778.07458310679</v>
      </c>
      <c r="F51" s="128">
        <f t="shared" si="112"/>
        <v>272415.64643962384</v>
      </c>
      <c r="G51" s="128">
        <f t="shared" si="112"/>
        <v>276102.44823809894</v>
      </c>
      <c r="H51" s="128">
        <f t="shared" si="112"/>
        <v>279839.14624363446</v>
      </c>
      <c r="I51" s="128">
        <f t="shared" si="112"/>
        <v>283626.41573838948</v>
      </c>
      <c r="J51" s="128">
        <f t="shared" si="112"/>
        <v>287464.94114361465</v>
      </c>
      <c r="K51" s="128">
        <f t="shared" si="112"/>
        <v>291355.41614333796</v>
      </c>
      <c r="L51" s="128">
        <f t="shared" si="112"/>
        <v>295298.54380972468</v>
      </c>
      <c r="M51" s="128">
        <f t="shared" si="112"/>
        <v>299295.03673013439</v>
      </c>
      <c r="N51" s="128">
        <f t="shared" si="112"/>
        <v>303345.61713589635</v>
      </c>
      <c r="O51" s="128">
        <f t="shared" si="112"/>
        <v>307451.01703282929</v>
      </c>
      <c r="P51" s="128">
        <f t="shared" si="112"/>
        <v>311611.97833352635</v>
      </c>
      <c r="Q51" s="128">
        <f t="shared" si="112"/>
        <v>315829.25299143064</v>
      </c>
      <c r="R51" s="128">
        <f t="shared" si="112"/>
        <v>320103.60313672572</v>
      </c>
      <c r="S51" s="128">
        <f t="shared" si="112"/>
        <v>324435.80121406488</v>
      </c>
      <c r="T51" s="128">
        <f t="shared" si="112"/>
        <v>328826.6301221645</v>
      </c>
      <c r="U51" s="128">
        <f t="shared" si="112"/>
        <v>333276.88335528632</v>
      </c>
      <c r="V51" s="128">
        <f t="shared" si="112"/>
        <v>337787.36514663516</v>
      </c>
      <c r="W51" s="128">
        <f t="shared" si="112"/>
        <v>342358.89061369671</v>
      </c>
      <c r="X51" s="128">
        <f t="shared" si="112"/>
        <v>346992.28590554261</v>
      </c>
      <c r="Y51" s="128">
        <f t="shared" si="112"/>
        <v>351688.38835212908</v>
      </c>
      <c r="Z51" s="128">
        <f t="shared" si="112"/>
        <v>356448.04661561584</v>
      </c>
      <c r="AA51" s="128">
        <f t="shared" si="112"/>
        <v>361272.12084373343</v>
      </c>
      <c r="AB51" s="128">
        <f t="shared" si="112"/>
        <v>366161.48282522586</v>
      </c>
      <c r="AC51" s="128">
        <f t="shared" si="112"/>
        <v>371117.01614739699</v>
      </c>
      <c r="AD51" s="128">
        <f t="shared" si="112"/>
        <v>376139.61635578919</v>
      </c>
      <c r="AE51" s="128">
        <f t="shared" si="112"/>
        <v>381230.1911160227</v>
      </c>
      <c r="AF51" s="128">
        <f t="shared" si="112"/>
        <v>386389.66037782619</v>
      </c>
      <c r="AG51" s="128">
        <f t="shared" si="112"/>
        <v>391618.95654128608</v>
      </c>
      <c r="AH51" s="128">
        <f t="shared" si="112"/>
        <v>396919.02462534653</v>
      </c>
      <c r="AI51" s="128">
        <f t="shared" si="112"/>
        <v>402290.82243859011</v>
      </c>
      <c r="AJ51" s="128">
        <f t="shared" si="112"/>
        <v>407735.32075232902</v>
      </c>
      <c r="AK51" s="128">
        <f t="shared" si="112"/>
        <v>413253.50347603933</v>
      </c>
      <c r="AL51" s="128">
        <f t="shared" si="112"/>
        <v>418846.36783516954</v>
      </c>
      <c r="AM51" s="128">
        <f t="shared" si="112"/>
        <v>424514.92455135548</v>
      </c>
      <c r="AN51" s="128">
        <f t="shared" si="112"/>
        <v>430260.19802507403</v>
      </c>
      <c r="AO51" s="128">
        <f t="shared" ref="AO51" si="113">AO30*number_of_victims_accident_possibleInjry*AccidentCost_PossibleInjury</f>
        <v>436083.22652076901</v>
      </c>
    </row>
    <row r="52" spans="1:41" s="126" customFormat="1" ht="15" x14ac:dyDescent="0.3">
      <c r="A52" s="126" t="s">
        <v>347</v>
      </c>
      <c r="B52" s="133" t="s">
        <v>78</v>
      </c>
      <c r="C52" s="124"/>
      <c r="D52" s="128">
        <f t="shared" ref="D52:AN52" si="114">D31*number_of_victims_accident_PDO*AccidentCost_PDO</f>
        <v>305987.45694834227</v>
      </c>
      <c r="E52" s="128">
        <f t="shared" si="114"/>
        <v>310128.61081131618</v>
      </c>
      <c r="F52" s="128">
        <f t="shared" si="114"/>
        <v>314325.80996283836</v>
      </c>
      <c r="G52" s="128">
        <f t="shared" si="114"/>
        <v>318579.81290512148</v>
      </c>
      <c r="H52" s="128">
        <f t="shared" si="114"/>
        <v>322891.38840574818</v>
      </c>
      <c r="I52" s="128">
        <f t="shared" si="114"/>
        <v>327261.31563659938</v>
      </c>
      <c r="J52" s="128">
        <f t="shared" si="114"/>
        <v>331690.38431466353</v>
      </c>
      <c r="K52" s="128">
        <f t="shared" si="114"/>
        <v>336179.39484475157</v>
      </c>
      <c r="L52" s="128">
        <f t="shared" si="114"/>
        <v>340729.15846414265</v>
      </c>
      <c r="M52" s="128">
        <f t="shared" si="114"/>
        <v>345340.49738918821</v>
      </c>
      <c r="N52" s="128">
        <f t="shared" si="114"/>
        <v>350014.24496390001</v>
      </c>
      <c r="O52" s="128">
        <f t="shared" si="114"/>
        <v>354751.2458105486</v>
      </c>
      <c r="P52" s="128">
        <f t="shared" si="114"/>
        <v>359552.35598230042</v>
      </c>
      <c r="Q52" s="128">
        <f t="shared" si="114"/>
        <v>364418.4431179206</v>
      </c>
      <c r="R52" s="128">
        <f t="shared" si="114"/>
        <v>369350.38659856946</v>
      </c>
      <c r="S52" s="128">
        <f t="shared" si="114"/>
        <v>374349.07770672097</v>
      </c>
      <c r="T52" s="128">
        <f t="shared" si="114"/>
        <v>379415.41978723177</v>
      </c>
      <c r="U52" s="128">
        <f t="shared" si="114"/>
        <v>384550.32841059077</v>
      </c>
      <c r="V52" s="128">
        <f t="shared" si="114"/>
        <v>389754.73153837729</v>
      </c>
      <c r="W52" s="128">
        <f t="shared" si="114"/>
        <v>395029.56969095877</v>
      </c>
      <c r="X52" s="128">
        <f t="shared" si="114"/>
        <v>400375.79611745832</v>
      </c>
      <c r="Y52" s="128">
        <f t="shared" si="114"/>
        <v>405794.37696802232</v>
      </c>
      <c r="Z52" s="128">
        <f t="shared" si="114"/>
        <v>411286.29146841925</v>
      </c>
      <c r="AA52" s="128">
        <f t="shared" si="114"/>
        <v>416852.53209700226</v>
      </c>
      <c r="AB52" s="128">
        <f t="shared" si="114"/>
        <v>422494.10476406547</v>
      </c>
      <c r="AC52" s="128">
        <f t="shared" si="114"/>
        <v>428212.0289936288</v>
      </c>
      <c r="AD52" s="128">
        <f t="shared" si="114"/>
        <v>434007.33810768247</v>
      </c>
      <c r="AE52" s="128">
        <f t="shared" si="114"/>
        <v>439881.07941292512</v>
      </c>
      <c r="AF52" s="128">
        <f t="shared" si="114"/>
        <v>445834.31439002906</v>
      </c>
      <c r="AG52" s="128">
        <f t="shared" si="114"/>
        <v>451868.11888546712</v>
      </c>
      <c r="AH52" s="128">
        <f t="shared" si="114"/>
        <v>457983.58330593584</v>
      </c>
      <c r="AI52" s="128">
        <f t="shared" si="114"/>
        <v>464181.81281540939</v>
      </c>
      <c r="AJ52" s="128">
        <f t="shared" si="114"/>
        <v>470463.92753486102</v>
      </c>
      <c r="AK52" s="128">
        <f t="shared" si="114"/>
        <v>476831.06274468685</v>
      </c>
      <c r="AL52" s="128">
        <f t="shared" si="114"/>
        <v>483284.36908986967</v>
      </c>
      <c r="AM52" s="128">
        <f t="shared" si="114"/>
        <v>489825.01278791926</v>
      </c>
      <c r="AN52" s="128">
        <f t="shared" si="114"/>
        <v>496454.17583962693</v>
      </c>
      <c r="AO52" s="128">
        <f t="shared" ref="AO52" si="115">AO31*number_of_victims_accident_PDO*AccidentCost_PDO</f>
        <v>503173.05624267185</v>
      </c>
    </row>
    <row r="53" spans="1:41" s="126" customFormat="1" ht="15" x14ac:dyDescent="0.3">
      <c r="B53" s="132"/>
      <c r="C53" s="124"/>
      <c r="D53" s="128"/>
      <c r="E53" s="128"/>
      <c r="F53" s="128"/>
      <c r="G53" s="128"/>
      <c r="H53" s="128"/>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row>
    <row r="54" spans="1:41" x14ac:dyDescent="0.3">
      <c r="A54" s="167" t="s">
        <v>167</v>
      </c>
      <c r="B54" s="133" t="s">
        <v>78</v>
      </c>
      <c r="C54" s="95"/>
      <c r="D54" s="224">
        <f>SUM(D34:D38,D41:D45,D48:D52)</f>
        <v>23290357.432654966</v>
      </c>
      <c r="E54" s="224">
        <f>SUM(E34:E38,E41:E45,E48:E52)</f>
        <v>23605563.012041058</v>
      </c>
      <c r="F54" s="224">
        <f t="shared" ref="F54:AA54" si="116">SUM(F34:F38,F41:F45,F48:F52)</f>
        <v>23925034.500937715</v>
      </c>
      <c r="G54" s="224">
        <f t="shared" si="116"/>
        <v>24248829.633043628</v>
      </c>
      <c r="H54" s="224">
        <f t="shared" si="116"/>
        <v>24577006.923410237</v>
      </c>
      <c r="I54" s="224">
        <f t="shared" si="116"/>
        <v>24909625.679016273</v>
      </c>
      <c r="J54" s="224">
        <f t="shared" si="116"/>
        <v>25246746.009485591</v>
      </c>
      <c r="K54" s="224">
        <f t="shared" si="116"/>
        <v>25588428.837949876</v>
      </c>
      <c r="L54" s="224">
        <f t="shared" si="116"/>
        <v>25934735.912058458</v>
      </c>
      <c r="M54" s="224">
        <f t="shared" si="116"/>
        <v>26285729.815137178</v>
      </c>
      <c r="N54" s="224">
        <f t="shared" si="116"/>
        <v>26641473.977498122</v>
      </c>
      <c r="O54" s="224">
        <f t="shared" si="116"/>
        <v>27002032.687902577</v>
      </c>
      <c r="P54" s="224">
        <f t="shared" si="116"/>
        <v>27367471.105179042</v>
      </c>
      <c r="Q54" s="224">
        <f t="shared" si="116"/>
        <v>27737855.269998495</v>
      </c>
      <c r="R54" s="224">
        <f t="shared" si="116"/>
        <v>28113252.11680897</v>
      </c>
      <c r="S54" s="224">
        <f t="shared" si="116"/>
        <v>28493729.485931773</v>
      </c>
      <c r="T54" s="224">
        <f t="shared" si="116"/>
        <v>28879356.135821275</v>
      </c>
      <c r="U54" s="224">
        <f t="shared" si="116"/>
        <v>29270201.755490735</v>
      </c>
      <c r="V54" s="224">
        <f t="shared" si="116"/>
        <v>29666336.977106169</v>
      </c>
      <c r="W54" s="224">
        <f t="shared" si="116"/>
        <v>30067833.388750803</v>
      </c>
      <c r="X54" s="224">
        <f t="shared" si="116"/>
        <v>30474763.547362186</v>
      </c>
      <c r="Y54" s="224">
        <f t="shared" si="116"/>
        <v>30887200.991844356</v>
      </c>
      <c r="Z54" s="224">
        <f t="shared" si="116"/>
        <v>31305220.256357614</v>
      </c>
      <c r="AA54" s="224">
        <f t="shared" si="116"/>
        <v>31728896.883787964</v>
      </c>
      <c r="AB54" s="224">
        <f t="shared" ref="AB54:AF54" si="117">SUM(AB34:AB38,AB41:AB45,AB48:AB52)</f>
        <v>32158307.439399004</v>
      </c>
      <c r="AC54" s="224">
        <f t="shared" si="117"/>
        <v>32593529.5246685</v>
      </c>
      <c r="AD54" s="224">
        <f t="shared" si="117"/>
        <v>33034641.791312233</v>
      </c>
      <c r="AE54" s="224">
        <f t="shared" si="117"/>
        <v>33481723.955497626</v>
      </c>
      <c r="AF54" s="224">
        <f t="shared" si="117"/>
        <v>33934856.812249795</v>
      </c>
      <c r="AG54" s="224">
        <f t="shared" ref="AG54:AH54" si="118">SUM(AG34:AG38,AG41:AG45,AG48:AG52)</f>
        <v>34394122.250052497</v>
      </c>
      <c r="AH54" s="224">
        <f t="shared" si="118"/>
        <v>34859603.265646689</v>
      </c>
      <c r="AI54" s="224">
        <f t="shared" ref="AI54:AN54" si="119">SUM(AI34:AI38,AI41:AI45,AI48:AI52)</f>
        <v>35331383.979029462</v>
      </c>
      <c r="AJ54" s="224">
        <f t="shared" si="119"/>
        <v>35809549.648655817</v>
      </c>
      <c r="AK54" s="224">
        <f t="shared" si="119"/>
        <v>36294186.686846316</v>
      </c>
      <c r="AL54" s="224">
        <f t="shared" si="119"/>
        <v>36785382.67540314</v>
      </c>
      <c r="AM54" s="224">
        <f t="shared" si="119"/>
        <v>37283226.381437577</v>
      </c>
      <c r="AN54" s="224">
        <f t="shared" si="119"/>
        <v>37787807.773411714</v>
      </c>
      <c r="AO54" s="224">
        <f t="shared" ref="AO54" si="120">SUM(AO34:AO38,AO41:AO45,AO48:AO52)</f>
        <v>38299218.037397131</v>
      </c>
    </row>
    <row r="55" spans="1:41" x14ac:dyDescent="0.3">
      <c r="F55" s="5"/>
      <c r="G55" s="5"/>
      <c r="H55" s="1"/>
      <c r="I55" s="1"/>
      <c r="J55" s="5"/>
      <c r="K55" s="5"/>
      <c r="L55" s="5"/>
      <c r="M55" s="5"/>
      <c r="N55" s="5"/>
      <c r="O55" s="5"/>
    </row>
    <row r="56" spans="1:41" x14ac:dyDescent="0.3">
      <c r="A56" s="102" t="s">
        <v>70</v>
      </c>
      <c r="B56" s="104" t="s">
        <v>1</v>
      </c>
      <c r="C56" s="105"/>
      <c r="D56" s="97">
        <f>Base.Year</f>
        <v>2019</v>
      </c>
      <c r="E56" s="97">
        <f t="shared" ref="E56" si="121">D56+1</f>
        <v>2020</v>
      </c>
      <c r="F56" s="97">
        <f t="shared" ref="F56" si="122">E56+1</f>
        <v>2021</v>
      </c>
      <c r="G56" s="97">
        <f t="shared" ref="G56" si="123">F56+1</f>
        <v>2022</v>
      </c>
      <c r="H56" s="97">
        <f t="shared" ref="H56" si="124">G56+1</f>
        <v>2023</v>
      </c>
      <c r="I56" s="97">
        <f t="shared" ref="I56" si="125">H56+1</f>
        <v>2024</v>
      </c>
      <c r="J56" s="97">
        <f t="shared" ref="J56" si="126">I56+1</f>
        <v>2025</v>
      </c>
      <c r="K56" s="97">
        <f t="shared" ref="K56" si="127">J56+1</f>
        <v>2026</v>
      </c>
      <c r="L56" s="97">
        <f t="shared" ref="L56" si="128">K56+1</f>
        <v>2027</v>
      </c>
      <c r="M56" s="97">
        <f t="shared" ref="M56" si="129">L56+1</f>
        <v>2028</v>
      </c>
      <c r="N56" s="97">
        <f t="shared" ref="N56" si="130">M56+1</f>
        <v>2029</v>
      </c>
      <c r="O56" s="97">
        <f t="shared" ref="O56" si="131">N56+1</f>
        <v>2030</v>
      </c>
      <c r="P56" s="97">
        <f t="shared" ref="P56" si="132">O56+1</f>
        <v>2031</v>
      </c>
      <c r="Q56" s="97">
        <f t="shared" ref="Q56" si="133">P56+1</f>
        <v>2032</v>
      </c>
      <c r="R56" s="97">
        <f t="shared" ref="R56" si="134">Q56+1</f>
        <v>2033</v>
      </c>
      <c r="S56" s="97">
        <f t="shared" ref="S56" si="135">R56+1</f>
        <v>2034</v>
      </c>
      <c r="T56" s="97">
        <f t="shared" ref="T56" si="136">S56+1</f>
        <v>2035</v>
      </c>
      <c r="U56" s="97">
        <f t="shared" ref="U56" si="137">T56+1</f>
        <v>2036</v>
      </c>
      <c r="V56" s="97">
        <f t="shared" ref="V56" si="138">U56+1</f>
        <v>2037</v>
      </c>
      <c r="W56" s="97">
        <f t="shared" ref="W56" si="139">V56+1</f>
        <v>2038</v>
      </c>
      <c r="X56" s="97">
        <f t="shared" ref="X56" si="140">W56+1</f>
        <v>2039</v>
      </c>
      <c r="Y56" s="97">
        <f t="shared" ref="Y56" si="141">X56+1</f>
        <v>2040</v>
      </c>
      <c r="Z56" s="97">
        <f t="shared" ref="Z56" si="142">Y56+1</f>
        <v>2041</v>
      </c>
      <c r="AA56" s="97">
        <f t="shared" ref="AA56" si="143">Z56+1</f>
        <v>2042</v>
      </c>
      <c r="AB56" s="97">
        <f t="shared" ref="AB56" si="144">AA56+1</f>
        <v>2043</v>
      </c>
      <c r="AC56" s="97">
        <f t="shared" ref="AC56" si="145">AB56+1</f>
        <v>2044</v>
      </c>
      <c r="AD56" s="97">
        <f t="shared" ref="AD56" si="146">AC56+1</f>
        <v>2045</v>
      </c>
      <c r="AE56" s="97">
        <f t="shared" ref="AE56" si="147">AD56+1</f>
        <v>2046</v>
      </c>
      <c r="AF56" s="97">
        <f t="shared" ref="AF56" si="148">AE56+1</f>
        <v>2047</v>
      </c>
      <c r="AG56" s="97">
        <f t="shared" ref="AG56" si="149">AF56+1</f>
        <v>2048</v>
      </c>
      <c r="AH56" s="97">
        <f t="shared" ref="AH56" si="150">AG56+1</f>
        <v>2049</v>
      </c>
      <c r="AI56" s="97">
        <f t="shared" ref="AI56" si="151">AH56+1</f>
        <v>2050</v>
      </c>
      <c r="AJ56" s="97">
        <f t="shared" ref="AJ56" si="152">AI56+1</f>
        <v>2051</v>
      </c>
      <c r="AK56" s="97">
        <f t="shared" ref="AK56" si="153">AJ56+1</f>
        <v>2052</v>
      </c>
      <c r="AL56" s="97">
        <f t="shared" ref="AL56" si="154">AK56+1</f>
        <v>2053</v>
      </c>
      <c r="AM56" s="97">
        <f t="shared" ref="AM56" si="155">AL56+1</f>
        <v>2054</v>
      </c>
      <c r="AN56" s="97">
        <f t="shared" ref="AN56:AO56" si="156">AM56+1</f>
        <v>2055</v>
      </c>
      <c r="AO56" s="97">
        <f t="shared" si="156"/>
        <v>2056</v>
      </c>
    </row>
    <row r="57" spans="1:41" s="126" customFormat="1" x14ac:dyDescent="0.3">
      <c r="A57" s="219" t="s">
        <v>335</v>
      </c>
      <c r="B57" s="132"/>
      <c r="C57" s="124"/>
      <c r="D57" s="124"/>
      <c r="E57" s="128"/>
      <c r="F57" s="128"/>
      <c r="G57" s="128"/>
      <c r="H57" s="128"/>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row>
    <row r="58" spans="1:41" s="126" customFormat="1" x14ac:dyDescent="0.3">
      <c r="A58" s="126" t="s">
        <v>348</v>
      </c>
      <c r="B58" s="132" t="s">
        <v>146</v>
      </c>
      <c r="C58" s="124"/>
      <c r="D58" s="223">
        <f>Acc_Fatal_Mainlanes*(1+$B$9)</f>
        <v>0.50676686865578446</v>
      </c>
      <c r="E58" s="222">
        <f>D58*(1+$B$9)</f>
        <v>0.51362531833437819</v>
      </c>
      <c r="F58" s="222">
        <f>E58*(1+$B$9)</f>
        <v>0.52057658846928667</v>
      </c>
      <c r="G58" s="222">
        <f t="shared" ref="G58:K58" si="157">F58*(1+$B$9)</f>
        <v>0.52762193526818268</v>
      </c>
      <c r="H58" s="222">
        <f t="shared" si="157"/>
        <v>0.5347626319399239</v>
      </c>
      <c r="I58" s="222">
        <f t="shared" si="157"/>
        <v>0.54199996892464208</v>
      </c>
      <c r="J58" s="222">
        <f t="shared" si="157"/>
        <v>0.54933525412694673</v>
      </c>
      <c r="K58" s="222">
        <f t="shared" si="157"/>
        <v>0.5567698131522848</v>
      </c>
      <c r="L58" s="222">
        <f>L13*$B$63</f>
        <v>0.41758569226440934</v>
      </c>
      <c r="M58" s="222">
        <f t="shared" ref="L58:AN62" si="158">M13*$B$63</f>
        <v>0.42323718732858551</v>
      </c>
      <c r="N58" s="222">
        <f t="shared" si="158"/>
        <v>0.42896516824237785</v>
      </c>
      <c r="O58" s="222">
        <f t="shared" si="158"/>
        <v>0.43477067014518317</v>
      </c>
      <c r="P58" s="222">
        <f t="shared" si="158"/>
        <v>0.44065474218570289</v>
      </c>
      <c r="Q58" s="222">
        <f t="shared" si="158"/>
        <v>0.44661844771154136</v>
      </c>
      <c r="R58" s="222">
        <f t="shared" si="158"/>
        <v>0.45266286446137</v>
      </c>
      <c r="S58" s="222">
        <f t="shared" si="158"/>
        <v>0.45878908475969249</v>
      </c>
      <c r="T58" s="222">
        <f t="shared" si="158"/>
        <v>0.46499821571424532</v>
      </c>
      <c r="U58" s="222">
        <f t="shared" si="158"/>
        <v>0.47129137941607024</v>
      </c>
      <c r="V58" s="222">
        <f t="shared" si="158"/>
        <v>0.47766971314229428</v>
      </c>
      <c r="W58" s="222">
        <f t="shared" si="158"/>
        <v>0.48413436956165457</v>
      </c>
      <c r="X58" s="222">
        <f t="shared" si="158"/>
        <v>0.49068651694280402</v>
      </c>
      <c r="Y58" s="222">
        <f t="shared" si="158"/>
        <v>0.49732733936543666</v>
      </c>
      <c r="Z58" s="222">
        <f t="shared" si="158"/>
        <v>0.50405803693426998</v>
      </c>
      <c r="AA58" s="222">
        <f t="shared" si="158"/>
        <v>0.51087982599592352</v>
      </c>
      <c r="AB58" s="222">
        <f t="shared" si="158"/>
        <v>0.51779393935873241</v>
      </c>
      <c r="AC58" s="222">
        <f t="shared" si="158"/>
        <v>0.52480162651553597</v>
      </c>
      <c r="AD58" s="222">
        <f t="shared" si="158"/>
        <v>0.53190415386948131</v>
      </c>
      <c r="AE58" s="222">
        <f t="shared" si="158"/>
        <v>0.53910280496288321</v>
      </c>
      <c r="AF58" s="222">
        <f t="shared" si="158"/>
        <v>0.54639888070918086</v>
      </c>
      <c r="AG58" s="222">
        <f t="shared" si="158"/>
        <v>0.55379369962803426</v>
      </c>
      <c r="AH58" s="222">
        <f t="shared" si="158"/>
        <v>0.56128859808360199</v>
      </c>
      <c r="AI58" s="222">
        <f t="shared" si="158"/>
        <v>0.56888493052604416</v>
      </c>
      <c r="AJ58" s="222">
        <f t="shared" si="158"/>
        <v>0.57658406973629384</v>
      </c>
      <c r="AK58" s="222">
        <f t="shared" si="158"/>
        <v>0.58438740707414016</v>
      </c>
      <c r="AL58" s="222">
        <f t="shared" si="158"/>
        <v>0.59229635272967041</v>
      </c>
      <c r="AM58" s="222">
        <f t="shared" si="158"/>
        <v>0.60031233597811406</v>
      </c>
      <c r="AN58" s="222">
        <f t="shared" si="158"/>
        <v>0.60843680543813616</v>
      </c>
      <c r="AO58" s="222">
        <f t="shared" ref="AO58" si="159">AO13*$B$63</f>
        <v>0.61667122933362606</v>
      </c>
    </row>
    <row r="59" spans="1:41" s="126" customFormat="1" x14ac:dyDescent="0.3">
      <c r="A59" s="126" t="s">
        <v>344</v>
      </c>
      <c r="B59" s="132" t="s">
        <v>146</v>
      </c>
      <c r="C59" s="124"/>
      <c r="D59" s="223">
        <f>Acc_IncapacitatingInj_Mailanes*(1+$B$9)</f>
        <v>2.7365410907412362</v>
      </c>
      <c r="E59" s="222">
        <f t="shared" ref="E59:K78" si="160">D59*(1+$B$9)</f>
        <v>2.7735767190056424</v>
      </c>
      <c r="F59" s="222">
        <f>E59*(1+$B$9)</f>
        <v>2.8111135777341478</v>
      </c>
      <c r="G59" s="222">
        <f t="shared" si="160"/>
        <v>2.8491584504481864</v>
      </c>
      <c r="H59" s="222">
        <f t="shared" si="160"/>
        <v>2.8877182124755891</v>
      </c>
      <c r="I59" s="222">
        <f t="shared" si="160"/>
        <v>2.9267998321930673</v>
      </c>
      <c r="J59" s="222">
        <f t="shared" si="160"/>
        <v>2.9664103722855124</v>
      </c>
      <c r="K59" s="222">
        <f t="shared" si="160"/>
        <v>3.0065569910223378</v>
      </c>
      <c r="L59" s="222">
        <f t="shared" ref="L59:Z59" si="161">L14*$B$63</f>
        <v>2.2549627382278103</v>
      </c>
      <c r="M59" s="222">
        <f t="shared" si="161"/>
        <v>2.2854808115743617</v>
      </c>
      <c r="N59" s="222">
        <f t="shared" si="161"/>
        <v>2.3164119085088406</v>
      </c>
      <c r="O59" s="222">
        <f t="shared" si="161"/>
        <v>2.3477616187839891</v>
      </c>
      <c r="P59" s="222">
        <f t="shared" si="161"/>
        <v>2.3795356078027958</v>
      </c>
      <c r="Q59" s="222">
        <f t="shared" si="161"/>
        <v>2.4117396176423234</v>
      </c>
      <c r="R59" s="222">
        <f t="shared" si="161"/>
        <v>2.4443794680913982</v>
      </c>
      <c r="S59" s="222">
        <f t="shared" si="161"/>
        <v>2.4774610577023397</v>
      </c>
      <c r="T59" s="222">
        <f t="shared" si="161"/>
        <v>2.5109903648569247</v>
      </c>
      <c r="U59" s="222">
        <f t="shared" si="161"/>
        <v>2.544973448846779</v>
      </c>
      <c r="V59" s="222">
        <f t="shared" si="161"/>
        <v>2.579416450968389</v>
      </c>
      <c r="W59" s="222">
        <f t="shared" si="161"/>
        <v>2.614325595632935</v>
      </c>
      <c r="X59" s="222">
        <f t="shared" si="161"/>
        <v>2.6497071914911419</v>
      </c>
      <c r="Y59" s="222">
        <f t="shared" si="161"/>
        <v>2.685567632573358</v>
      </c>
      <c r="Z59" s="222">
        <f t="shared" si="161"/>
        <v>2.7219133994450577</v>
      </c>
      <c r="AA59" s="222">
        <f t="shared" si="158"/>
        <v>2.7587510603779868</v>
      </c>
      <c r="AB59" s="222">
        <f t="shared" si="158"/>
        <v>2.7960872725371551</v>
      </c>
      <c r="AC59" s="222">
        <f t="shared" si="158"/>
        <v>2.833928783183894</v>
      </c>
      <c r="AD59" s="222">
        <f t="shared" si="158"/>
        <v>2.8722824308951989</v>
      </c>
      <c r="AE59" s="222">
        <f t="shared" si="158"/>
        <v>2.9111551467995693</v>
      </c>
      <c r="AF59" s="222">
        <f t="shared" si="158"/>
        <v>2.9505539558295766</v>
      </c>
      <c r="AG59" s="222">
        <f t="shared" si="158"/>
        <v>2.9904859779913848</v>
      </c>
      <c r="AH59" s="222">
        <f t="shared" si="158"/>
        <v>3.0309584296514509</v>
      </c>
      <c r="AI59" s="222">
        <f t="shared" si="158"/>
        <v>3.0719786248406389</v>
      </c>
      <c r="AJ59" s="222">
        <f t="shared" si="158"/>
        <v>3.1135539765759868</v>
      </c>
      <c r="AK59" s="222">
        <f t="shared" si="158"/>
        <v>3.1556919982003571</v>
      </c>
      <c r="AL59" s="222">
        <f t="shared" si="158"/>
        <v>3.1984003047402205</v>
      </c>
      <c r="AM59" s="222">
        <f t="shared" si="158"/>
        <v>3.241686614281817</v>
      </c>
      <c r="AN59" s="222">
        <f t="shared" si="158"/>
        <v>3.2855587493659364</v>
      </c>
      <c r="AO59" s="222">
        <f t="shared" ref="AO59" si="162">AO14*$B$63</f>
        <v>3.3300246384015821</v>
      </c>
    </row>
    <row r="60" spans="1:41" s="126" customFormat="1" x14ac:dyDescent="0.3">
      <c r="A60" s="126" t="s">
        <v>345</v>
      </c>
      <c r="B60" s="132" t="s">
        <v>146</v>
      </c>
      <c r="C60" s="124"/>
      <c r="D60" s="223">
        <f>Acc_NonIncapacitatingInj_mainlanes*(1+$B$9)</f>
        <v>4.25684169670859</v>
      </c>
      <c r="E60" s="222">
        <f t="shared" si="160"/>
        <v>4.3144526740087779</v>
      </c>
      <c r="F60" s="222">
        <f>E60*(1+$B$9)</f>
        <v>4.3728433431420086</v>
      </c>
      <c r="G60" s="222">
        <f t="shared" si="160"/>
        <v>4.4320242562527357</v>
      </c>
      <c r="H60" s="222">
        <f t="shared" si="160"/>
        <v>4.492006108295362</v>
      </c>
      <c r="I60" s="222">
        <f t="shared" si="160"/>
        <v>4.5527997389669945</v>
      </c>
      <c r="J60" s="222">
        <f t="shared" si="160"/>
        <v>4.614416134666353</v>
      </c>
      <c r="K60" s="222">
        <f t="shared" si="160"/>
        <v>4.6768664304791931</v>
      </c>
      <c r="L60" s="222">
        <f t="shared" si="158"/>
        <v>3.5077198150210394</v>
      </c>
      <c r="M60" s="222">
        <f t="shared" si="158"/>
        <v>3.5551923735601192</v>
      </c>
      <c r="N60" s="222">
        <f t="shared" si="158"/>
        <v>3.6033074132359753</v>
      </c>
      <c r="O60" s="222">
        <f t="shared" si="158"/>
        <v>3.6520736292195402</v>
      </c>
      <c r="P60" s="222">
        <f t="shared" si="158"/>
        <v>3.7014998343599057</v>
      </c>
      <c r="Q60" s="222">
        <f t="shared" si="158"/>
        <v>3.7515949607769485</v>
      </c>
      <c r="R60" s="222">
        <f t="shared" si="158"/>
        <v>3.8023680614755091</v>
      </c>
      <c r="S60" s="222">
        <f t="shared" si="158"/>
        <v>3.8538283119814181</v>
      </c>
      <c r="T60" s="222">
        <f t="shared" si="158"/>
        <v>3.9059850119996611</v>
      </c>
      <c r="U60" s="222">
        <f t="shared" si="158"/>
        <v>3.9588475870949904</v>
      </c>
      <c r="V60" s="222">
        <f t="shared" si="158"/>
        <v>4.0124255903952717</v>
      </c>
      <c r="W60" s="222">
        <f t="shared" si="158"/>
        <v>4.0667287043178986</v>
      </c>
      <c r="X60" s="222">
        <f t="shared" si="158"/>
        <v>4.1217667423195543</v>
      </c>
      <c r="Y60" s="222">
        <f t="shared" si="158"/>
        <v>4.1775496506696683</v>
      </c>
      <c r="Z60" s="222">
        <f t="shared" si="158"/>
        <v>4.2340875102478677</v>
      </c>
      <c r="AA60" s="222">
        <f t="shared" si="158"/>
        <v>4.291390538365758</v>
      </c>
      <c r="AB60" s="222">
        <f t="shared" si="158"/>
        <v>4.3494690906133524</v>
      </c>
      <c r="AC60" s="222">
        <f t="shared" si="158"/>
        <v>4.4083336627305023</v>
      </c>
      <c r="AD60" s="222">
        <f t="shared" si="158"/>
        <v>4.4679948925036435</v>
      </c>
      <c r="AE60" s="222">
        <f t="shared" si="158"/>
        <v>4.528463561688219</v>
      </c>
      <c r="AF60" s="222">
        <f t="shared" si="158"/>
        <v>4.5897505979571198</v>
      </c>
      <c r="AG60" s="222">
        <f t="shared" si="158"/>
        <v>4.6518670768754875</v>
      </c>
      <c r="AH60" s="222">
        <f t="shared" si="158"/>
        <v>4.7148242239022569</v>
      </c>
      <c r="AI60" s="222">
        <f t="shared" si="158"/>
        <v>4.7786334164187716</v>
      </c>
      <c r="AJ60" s="222">
        <f t="shared" si="158"/>
        <v>4.8433061857848685</v>
      </c>
      <c r="AK60" s="222">
        <f t="shared" si="158"/>
        <v>4.9088542194227776</v>
      </c>
      <c r="AL60" s="222">
        <f t="shared" si="158"/>
        <v>4.9752893629292325</v>
      </c>
      <c r="AM60" s="222">
        <f t="shared" si="158"/>
        <v>5.0426236222161602</v>
      </c>
      <c r="AN60" s="222">
        <f t="shared" si="158"/>
        <v>5.1108691656803451</v>
      </c>
      <c r="AO60" s="222">
        <f t="shared" ref="AO60" si="163">AO15*$B$63</f>
        <v>5.1800383264024612</v>
      </c>
    </row>
    <row r="61" spans="1:41" s="126" customFormat="1" x14ac:dyDescent="0.3">
      <c r="A61" s="126" t="s">
        <v>346</v>
      </c>
      <c r="B61" s="132" t="s">
        <v>146</v>
      </c>
      <c r="C61" s="124"/>
      <c r="D61" s="223">
        <f>Acc_PossibleInj_Mainlanes*(1+$B$9)</f>
        <v>7.2974429086432968</v>
      </c>
      <c r="E61" s="222">
        <f t="shared" si="160"/>
        <v>7.396204584015047</v>
      </c>
      <c r="F61" s="222">
        <f>E61*(1+$B$9)</f>
        <v>7.4963028739577284</v>
      </c>
      <c r="G61" s="222">
        <f t="shared" si="160"/>
        <v>7.5977558678618315</v>
      </c>
      <c r="H61" s="222">
        <f t="shared" si="160"/>
        <v>7.7005818999349049</v>
      </c>
      <c r="I61" s="222">
        <f t="shared" si="160"/>
        <v>7.8047995525148464</v>
      </c>
      <c r="J61" s="222">
        <f t="shared" si="160"/>
        <v>7.9104276594280334</v>
      </c>
      <c r="K61" s="222">
        <f t="shared" si="160"/>
        <v>8.0174853093929013</v>
      </c>
      <c r="L61" s="222">
        <f t="shared" si="158"/>
        <v>6.0132339686074943</v>
      </c>
      <c r="M61" s="222">
        <f t="shared" si="158"/>
        <v>6.094615497531632</v>
      </c>
      <c r="N61" s="222">
        <f t="shared" si="158"/>
        <v>6.1770984226902419</v>
      </c>
      <c r="O61" s="222">
        <f t="shared" si="158"/>
        <v>6.2606976500906386</v>
      </c>
      <c r="P61" s="222">
        <f t="shared" si="158"/>
        <v>6.3454282874741219</v>
      </c>
      <c r="Q61" s="222">
        <f t="shared" si="158"/>
        <v>6.4313056470461962</v>
      </c>
      <c r="R61" s="222">
        <f t="shared" si="158"/>
        <v>6.5183452482437287</v>
      </c>
      <c r="S61" s="222">
        <f t="shared" si="158"/>
        <v>6.6065628205395734</v>
      </c>
      <c r="T61" s="222">
        <f t="shared" si="158"/>
        <v>6.6959743062851347</v>
      </c>
      <c r="U61" s="222">
        <f t="shared" si="158"/>
        <v>6.7865958635914119</v>
      </c>
      <c r="V61" s="222">
        <f t="shared" si="158"/>
        <v>6.8784438692490388</v>
      </c>
      <c r="W61" s="222">
        <f t="shared" si="158"/>
        <v>6.9715349216878266</v>
      </c>
      <c r="X61" s="222">
        <f t="shared" si="158"/>
        <v>7.0658858439763792</v>
      </c>
      <c r="Y61" s="222">
        <f t="shared" si="158"/>
        <v>7.1615136868622891</v>
      </c>
      <c r="Z61" s="222">
        <f t="shared" si="158"/>
        <v>7.2584357318534893</v>
      </c>
      <c r="AA61" s="222">
        <f t="shared" si="158"/>
        <v>7.3566694943413005</v>
      </c>
      <c r="AB61" s="222">
        <f t="shared" si="158"/>
        <v>7.456232726765748</v>
      </c>
      <c r="AC61" s="222">
        <f t="shared" si="158"/>
        <v>7.5571434218237181</v>
      </c>
      <c r="AD61" s="222">
        <f t="shared" si="158"/>
        <v>7.6594198157205318</v>
      </c>
      <c r="AE61" s="222">
        <f t="shared" si="158"/>
        <v>7.7630803914655182</v>
      </c>
      <c r="AF61" s="222">
        <f t="shared" si="158"/>
        <v>7.8681438822122045</v>
      </c>
      <c r="AG61" s="222">
        <f t="shared" si="158"/>
        <v>7.9746292746436929</v>
      </c>
      <c r="AH61" s="222">
        <f t="shared" si="158"/>
        <v>8.0825558124038679</v>
      </c>
      <c r="AI61" s="222">
        <f t="shared" si="158"/>
        <v>8.1919429995750352</v>
      </c>
      <c r="AJ61" s="222">
        <f t="shared" si="158"/>
        <v>8.3028106042026302</v>
      </c>
      <c r="AK61" s="222">
        <f t="shared" si="158"/>
        <v>8.4151786618676176</v>
      </c>
      <c r="AL61" s="222">
        <f t="shared" si="158"/>
        <v>8.529067479307253</v>
      </c>
      <c r="AM61" s="222">
        <f t="shared" si="158"/>
        <v>8.6444976380848431</v>
      </c>
      <c r="AN61" s="222">
        <f t="shared" si="158"/>
        <v>8.7614899983091608</v>
      </c>
      <c r="AO61" s="222">
        <f t="shared" ref="AO61" si="164">AO16*$B$63</f>
        <v>8.8800657024042149</v>
      </c>
    </row>
    <row r="62" spans="1:41" s="126" customFormat="1" x14ac:dyDescent="0.3">
      <c r="A62" s="126" t="s">
        <v>347</v>
      </c>
      <c r="B62" s="132" t="s">
        <v>146</v>
      </c>
      <c r="C62" s="124"/>
      <c r="D62" s="223">
        <f>Acc_PDO_Mainlanes*(1+$B$9)</f>
        <v>37.298041533065735</v>
      </c>
      <c r="E62" s="222">
        <f t="shared" si="160"/>
        <v>37.802823429410232</v>
      </c>
      <c r="F62" s="222">
        <f>E62*(1+$B$9)</f>
        <v>38.314436911339492</v>
      </c>
      <c r="G62" s="222">
        <f t="shared" si="160"/>
        <v>38.832974435738244</v>
      </c>
      <c r="H62" s="222">
        <f t="shared" si="160"/>
        <v>39.358529710778399</v>
      </c>
      <c r="I62" s="222">
        <f t="shared" si="160"/>
        <v>39.891197712853653</v>
      </c>
      <c r="J62" s="222">
        <f t="shared" si="160"/>
        <v>40.431074703743271</v>
      </c>
      <c r="K62" s="222">
        <f t="shared" si="160"/>
        <v>40.978258248008153</v>
      </c>
      <c r="L62" s="222">
        <f t="shared" si="158"/>
        <v>30.734306950660525</v>
      </c>
      <c r="M62" s="222">
        <f t="shared" si="158"/>
        <v>31.150256987383891</v>
      </c>
      <c r="N62" s="222">
        <f t="shared" si="158"/>
        <v>31.571836382639006</v>
      </c>
      <c r="O62" s="222">
        <f t="shared" si="158"/>
        <v>31.999121322685475</v>
      </c>
      <c r="P62" s="222">
        <f t="shared" si="158"/>
        <v>32.432189024867725</v>
      </c>
      <c r="Q62" s="222">
        <f t="shared" si="158"/>
        <v>32.871117751569436</v>
      </c>
      <c r="R62" s="222">
        <f t="shared" si="158"/>
        <v>33.315986824356827</v>
      </c>
      <c r="S62" s="222">
        <f t="shared" si="158"/>
        <v>33.766876638313363</v>
      </c>
      <c r="T62" s="222">
        <f t="shared" si="158"/>
        <v>34.223868676568451</v>
      </c>
      <c r="U62" s="222">
        <f t="shared" si="158"/>
        <v>34.687045525022761</v>
      </c>
      <c r="V62" s="222">
        <f t="shared" si="158"/>
        <v>35.156490887272852</v>
      </c>
      <c r="W62" s="222">
        <f t="shared" si="158"/>
        <v>35.632289599737767</v>
      </c>
      <c r="X62" s="222">
        <f t="shared" si="158"/>
        <v>36.114527646990368</v>
      </c>
      <c r="Y62" s="222">
        <f t="shared" si="158"/>
        <v>36.603292177296133</v>
      </c>
      <c r="Z62" s="222">
        <f t="shared" si="158"/>
        <v>37.098671518362266</v>
      </c>
      <c r="AA62" s="222">
        <f t="shared" si="158"/>
        <v>37.60075519329996</v>
      </c>
      <c r="AB62" s="222">
        <f t="shared" si="158"/>
        <v>38.109633936802695</v>
      </c>
      <c r="AC62" s="222">
        <f t="shared" si="158"/>
        <v>38.625399711543437</v>
      </c>
      <c r="AD62" s="222">
        <f t="shared" si="158"/>
        <v>39.148145724793814</v>
      </c>
      <c r="AE62" s="222">
        <f t="shared" si="158"/>
        <v>39.67796644526819</v>
      </c>
      <c r="AF62" s="222">
        <f t="shared" si="158"/>
        <v>40.214957620195698</v>
      </c>
      <c r="AG62" s="222">
        <f t="shared" si="158"/>
        <v>40.7592162926233</v>
      </c>
      <c r="AH62" s="222">
        <f t="shared" si="158"/>
        <v>41.310840818953089</v>
      </c>
      <c r="AI62" s="222">
        <f t="shared" si="158"/>
        <v>41.869930886716837</v>
      </c>
      <c r="AJ62" s="222">
        <f t="shared" si="158"/>
        <v>42.436587532591204</v>
      </c>
      <c r="AK62" s="222">
        <f t="shared" si="158"/>
        <v>43.010913160656699</v>
      </c>
      <c r="AL62" s="222">
        <f t="shared" si="158"/>
        <v>43.593011560903726</v>
      </c>
      <c r="AM62" s="222">
        <f t="shared" si="158"/>
        <v>44.182987927989188</v>
      </c>
      <c r="AN62" s="222">
        <f t="shared" si="158"/>
        <v>44.780948880246818</v>
      </c>
      <c r="AO62" s="222">
        <f t="shared" ref="AO62" si="165">AO17*$B$63</f>
        <v>45.387002478954869</v>
      </c>
    </row>
    <row r="63" spans="1:41" s="126" customFormat="1" x14ac:dyDescent="0.3">
      <c r="A63" s="220" t="s">
        <v>168</v>
      </c>
      <c r="B63" s="221">
        <f>(Inputs!E80)</f>
        <v>0.74</v>
      </c>
      <c r="C63" s="124"/>
      <c r="D63" s="128"/>
      <c r="E63" s="222"/>
      <c r="F63" s="222"/>
      <c r="G63" s="222"/>
      <c r="H63" s="222"/>
      <c r="I63" s="222"/>
      <c r="J63" s="222"/>
      <c r="K63" s="222"/>
      <c r="L63" s="222"/>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row>
    <row r="64" spans="1:41" s="126" customFormat="1" x14ac:dyDescent="0.3">
      <c r="A64" s="220"/>
      <c r="B64" s="124"/>
      <c r="C64" s="128"/>
      <c r="D64" s="128"/>
      <c r="E64" s="222"/>
      <c r="F64" s="222"/>
      <c r="G64" s="222"/>
      <c r="H64" s="222"/>
      <c r="I64" s="222"/>
      <c r="J64" s="222"/>
      <c r="K64" s="222"/>
      <c r="L64" s="222"/>
      <c r="M64" s="130"/>
      <c r="N64" s="130"/>
      <c r="O64" s="130"/>
      <c r="P64" s="130"/>
      <c r="Q64" s="130"/>
      <c r="R64" s="130"/>
      <c r="S64" s="130"/>
      <c r="T64" s="130"/>
      <c r="U64" s="130"/>
      <c r="V64" s="130"/>
      <c r="W64" s="130"/>
      <c r="X64" s="130"/>
      <c r="Y64" s="130"/>
      <c r="Z64" s="130"/>
    </row>
    <row r="65" spans="1:41" s="126" customFormat="1" x14ac:dyDescent="0.3">
      <c r="A65" s="219" t="s">
        <v>163</v>
      </c>
      <c r="B65" s="132"/>
      <c r="C65" s="124"/>
      <c r="D65" s="128"/>
      <c r="E65" s="222"/>
      <c r="F65" s="222"/>
      <c r="G65" s="222"/>
      <c r="H65" s="222"/>
      <c r="I65" s="222"/>
      <c r="J65" s="222"/>
      <c r="K65" s="222"/>
      <c r="L65" s="222"/>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row>
    <row r="66" spans="1:41" s="126" customFormat="1" x14ac:dyDescent="0.3">
      <c r="A66" s="126" t="s">
        <v>348</v>
      </c>
      <c r="B66" s="132" t="s">
        <v>146</v>
      </c>
      <c r="C66" s="124"/>
      <c r="D66" s="222">
        <f>Acc_Fatal_AndersonInt*(1+$B$9)</f>
        <v>0.20270674746231379</v>
      </c>
      <c r="E66" s="222">
        <f>D66*(1+$B$9)</f>
        <v>0.20545012733375129</v>
      </c>
      <c r="F66" s="222">
        <f>E66*(1+$B$9)</f>
        <v>0.20823063538771466</v>
      </c>
      <c r="G66" s="222">
        <f t="shared" si="160"/>
        <v>0.21104877410727307</v>
      </c>
      <c r="H66" s="222">
        <f t="shared" si="160"/>
        <v>0.21390505277596955</v>
      </c>
      <c r="I66" s="222">
        <f t="shared" si="160"/>
        <v>0.2167999875698568</v>
      </c>
      <c r="J66" s="222">
        <f t="shared" si="160"/>
        <v>0.21973410165077864</v>
      </c>
      <c r="K66" s="222">
        <f t="shared" si="160"/>
        <v>0.22270792526091387</v>
      </c>
      <c r="L66" s="222">
        <f>(L20*$B$71)</f>
        <v>0.20540701619492566</v>
      </c>
      <c r="M66" s="222">
        <f t="shared" ref="M66:AN66" si="166">(M20*$B$71)</f>
        <v>0.20818694079406097</v>
      </c>
      <c r="N66" s="222">
        <f t="shared" si="166"/>
        <v>0.21100448816246695</v>
      </c>
      <c r="O66" s="222">
        <f t="shared" si="166"/>
        <v>0.21386016747681982</v>
      </c>
      <c r="P66" s="222">
        <f t="shared" si="166"/>
        <v>0.21675449480485925</v>
      </c>
      <c r="Q66" s="222">
        <f t="shared" si="166"/>
        <v>0.21968799319865007</v>
      </c>
      <c r="R66" s="222">
        <f t="shared" si="166"/>
        <v>0.22266119278910634</v>
      </c>
      <c r="S66" s="222">
        <f t="shared" si="166"/>
        <v>0.22567463088179471</v>
      </c>
      <c r="T66" s="222">
        <f t="shared" si="166"/>
        <v>0.2287288520540342</v>
      </c>
      <c r="U66" s="222">
        <f t="shared" si="166"/>
        <v>0.23182440825331022</v>
      </c>
      <c r="V66" s="222">
        <f t="shared" si="166"/>
        <v>0.23496185889702043</v>
      </c>
      <c r="W66" s="222">
        <f t="shared" si="166"/>
        <v>0.23814177097357059</v>
      </c>
      <c r="X66" s="222">
        <f t="shared" si="166"/>
        <v>0.24136471914483873</v>
      </c>
      <c r="Y66" s="222">
        <f t="shared" si="166"/>
        <v>0.24463128585002558</v>
      </c>
      <c r="Z66" s="222">
        <f t="shared" si="166"/>
        <v>0.24794206141091116</v>
      </c>
      <c r="AA66" s="222">
        <f t="shared" si="166"/>
        <v>0.25129764413853534</v>
      </c>
      <c r="AB66" s="222">
        <f t="shared" si="166"/>
        <v>0.2546986404413224</v>
      </c>
      <c r="AC66" s="222">
        <f t="shared" si="166"/>
        <v>0.25814566493466895</v>
      </c>
      <c r="AD66" s="222">
        <f t="shared" si="166"/>
        <v>0.2616393405520151</v>
      </c>
      <c r="AE66" s="222">
        <f t="shared" si="166"/>
        <v>0.26518029865741821</v>
      </c>
      <c r="AF66" s="222">
        <f t="shared" si="166"/>
        <v>0.26876917915965109</v>
      </c>
      <c r="AG66" s="222">
        <f t="shared" si="166"/>
        <v>0.27240663062784382</v>
      </c>
      <c r="AH66" s="222">
        <f t="shared" si="166"/>
        <v>0.27609331040869067</v>
      </c>
      <c r="AI66" s="222">
        <f t="shared" si="166"/>
        <v>0.27982988474524334</v>
      </c>
      <c r="AJ66" s="222">
        <f t="shared" si="166"/>
        <v>0.28361702889731205</v>
      </c>
      <c r="AK66" s="222">
        <f t="shared" si="166"/>
        <v>0.28745542726349593</v>
      </c>
      <c r="AL66" s="222">
        <f t="shared" si="166"/>
        <v>0.29134577350486485</v>
      </c>
      <c r="AM66" s="222">
        <f t="shared" si="166"/>
        <v>0.29528877067031556</v>
      </c>
      <c r="AN66" s="222">
        <f t="shared" si="166"/>
        <v>0.29928513132362378</v>
      </c>
      <c r="AO66" s="222">
        <f t="shared" ref="AO66" si="167">(AO20*$B$71)</f>
        <v>0.30333557767221608</v>
      </c>
    </row>
    <row r="67" spans="1:41" s="126" customFormat="1" x14ac:dyDescent="0.3">
      <c r="A67" s="126" t="s">
        <v>344</v>
      </c>
      <c r="B67" s="132" t="s">
        <v>146</v>
      </c>
      <c r="C67" s="124"/>
      <c r="D67" s="222">
        <f>Acc_IncapacitatingInj_Anderson_Int*(1+$B$9)</f>
        <v>1.3175938585050397</v>
      </c>
      <c r="E67" s="222">
        <f>D67*(1+$B$9)</f>
        <v>1.3354258276693836</v>
      </c>
      <c r="F67" s="222">
        <f>E67*(1+$B$9)</f>
        <v>1.3534991300201455</v>
      </c>
      <c r="G67" s="222">
        <f t="shared" si="160"/>
        <v>1.3718170316972753</v>
      </c>
      <c r="H67" s="222">
        <f t="shared" si="160"/>
        <v>1.3903828430438026</v>
      </c>
      <c r="I67" s="222">
        <f t="shared" si="160"/>
        <v>1.4091999192040698</v>
      </c>
      <c r="J67" s="222">
        <f t="shared" si="160"/>
        <v>1.4282716607300618</v>
      </c>
      <c r="K67" s="222">
        <f t="shared" si="160"/>
        <v>1.4476015141959409</v>
      </c>
      <c r="L67" s="222">
        <f>(L21*$B$71)</f>
        <v>1.3351456052670174</v>
      </c>
      <c r="M67" s="222">
        <f t="shared" ref="M67:AN67" si="168">(M21*$B$71)</f>
        <v>1.3532151151613967</v>
      </c>
      <c r="N67" s="222">
        <f t="shared" si="168"/>
        <v>1.3715291730560355</v>
      </c>
      <c r="O67" s="222">
        <f t="shared" si="168"/>
        <v>1.3900910885993292</v>
      </c>
      <c r="P67" s="222">
        <f t="shared" si="168"/>
        <v>1.4089042162315855</v>
      </c>
      <c r="Q67" s="222">
        <f t="shared" si="168"/>
        <v>1.4279719557912256</v>
      </c>
      <c r="R67" s="222">
        <f t="shared" si="168"/>
        <v>1.4472977531291913</v>
      </c>
      <c r="S67" s="222">
        <f t="shared" si="168"/>
        <v>1.4668851007316659</v>
      </c>
      <c r="T67" s="222">
        <f t="shared" si="168"/>
        <v>1.4867375383512225</v>
      </c>
      <c r="U67" s="222">
        <f t="shared" si="168"/>
        <v>1.5068586536465165</v>
      </c>
      <c r="V67" s="222">
        <f t="shared" si="168"/>
        <v>1.5272520828306329</v>
      </c>
      <c r="W67" s="222">
        <f t="shared" si="168"/>
        <v>1.5479215113282092</v>
      </c>
      <c r="X67" s="222">
        <f t="shared" si="168"/>
        <v>1.5688706744414518</v>
      </c>
      <c r="Y67" s="222">
        <f t="shared" si="168"/>
        <v>1.5901033580251662</v>
      </c>
      <c r="Z67" s="222">
        <f t="shared" si="168"/>
        <v>1.6116233991709226</v>
      </c>
      <c r="AA67" s="222">
        <f t="shared" si="168"/>
        <v>1.6334346869004797</v>
      </c>
      <c r="AB67" s="222">
        <f t="shared" si="168"/>
        <v>1.6555411628685959</v>
      </c>
      <c r="AC67" s="222">
        <f t="shared" si="168"/>
        <v>1.6779468220753488</v>
      </c>
      <c r="AD67" s="222">
        <f t="shared" si="168"/>
        <v>1.7006557135880984</v>
      </c>
      <c r="AE67" s="222">
        <f t="shared" si="168"/>
        <v>1.7236719412732184</v>
      </c>
      <c r="AF67" s="222">
        <f t="shared" si="168"/>
        <v>1.7469996645377324</v>
      </c>
      <c r="AG67" s="222">
        <f t="shared" si="168"/>
        <v>1.7706430990809852</v>
      </c>
      <c r="AH67" s="222">
        <f t="shared" si="168"/>
        <v>1.7946065176564894</v>
      </c>
      <c r="AI67" s="222">
        <f t="shared" si="168"/>
        <v>1.818894250844082</v>
      </c>
      <c r="AJ67" s="222">
        <f t="shared" si="168"/>
        <v>1.8435106878325285</v>
      </c>
      <c r="AK67" s="222">
        <f t="shared" si="168"/>
        <v>1.8684602772127237</v>
      </c>
      <c r="AL67" s="222">
        <f t="shared" si="168"/>
        <v>1.893747527781622</v>
      </c>
      <c r="AM67" s="222">
        <f t="shared" si="168"/>
        <v>1.9193770093570519</v>
      </c>
      <c r="AN67" s="222">
        <f t="shared" si="168"/>
        <v>1.945353353603555</v>
      </c>
      <c r="AO67" s="222">
        <f t="shared" ref="AO67" si="169">(AO21*$B$71)</f>
        <v>1.9716812548694054</v>
      </c>
    </row>
    <row r="68" spans="1:41" s="126" customFormat="1" x14ac:dyDescent="0.3">
      <c r="A68" s="126" t="s">
        <v>345</v>
      </c>
      <c r="B68" s="132" t="s">
        <v>146</v>
      </c>
      <c r="C68" s="124"/>
      <c r="D68" s="222">
        <f>Acc_NonIncapacitatingInj_AndersonInt*(1+$B$9)</f>
        <v>2.8378944644723929</v>
      </c>
      <c r="E68" s="222">
        <f t="shared" si="160"/>
        <v>2.8763017826725177</v>
      </c>
      <c r="F68" s="222">
        <f>E68*(1+$B$9)</f>
        <v>2.915228895428005</v>
      </c>
      <c r="G68" s="222">
        <f t="shared" si="160"/>
        <v>2.954682837501823</v>
      </c>
      <c r="H68" s="222">
        <f t="shared" si="160"/>
        <v>2.9946707388635736</v>
      </c>
      <c r="I68" s="222">
        <f t="shared" si="160"/>
        <v>3.0351998259779953</v>
      </c>
      <c r="J68" s="222">
        <f t="shared" si="160"/>
        <v>3.0762774231109011</v>
      </c>
      <c r="K68" s="222">
        <f t="shared" si="160"/>
        <v>3.1179109536527942</v>
      </c>
      <c r="L68" s="222">
        <f>(L22*$B$71)</f>
        <v>2.875698226728959</v>
      </c>
      <c r="M68" s="222">
        <f t="shared" ref="M68:AN68" si="170">(M22*$B$71)</f>
        <v>2.9146171711168534</v>
      </c>
      <c r="N68" s="222">
        <f t="shared" si="170"/>
        <v>2.954062834274537</v>
      </c>
      <c r="O68" s="222">
        <f t="shared" si="170"/>
        <v>2.9940423446754774</v>
      </c>
      <c r="P68" s="222">
        <f t="shared" si="170"/>
        <v>3.0345629272680292</v>
      </c>
      <c r="Q68" s="222">
        <f t="shared" si="170"/>
        <v>3.0756319047811003</v>
      </c>
      <c r="R68" s="222">
        <f t="shared" si="170"/>
        <v>3.1172566990474881</v>
      </c>
      <c r="S68" s="222">
        <f t="shared" si="170"/>
        <v>3.1594448323451254</v>
      </c>
      <c r="T68" s="222">
        <f t="shared" si="170"/>
        <v>3.2022039287564783</v>
      </c>
      <c r="U68" s="222">
        <f t="shared" si="170"/>
        <v>3.2455417155463424</v>
      </c>
      <c r="V68" s="222">
        <f t="shared" si="170"/>
        <v>3.2894660245582856</v>
      </c>
      <c r="W68" s="222">
        <f t="shared" si="170"/>
        <v>3.3339847936299885</v>
      </c>
      <c r="X68" s="222">
        <f t="shared" si="170"/>
        <v>3.3791060680277423</v>
      </c>
      <c r="Y68" s="222">
        <f t="shared" si="170"/>
        <v>3.4248380019003579</v>
      </c>
      <c r="Z68" s="222">
        <f t="shared" si="170"/>
        <v>3.4711888597527563</v>
      </c>
      <c r="AA68" s="222">
        <f t="shared" si="170"/>
        <v>3.5181670179394944</v>
      </c>
      <c r="AB68" s="222">
        <f t="shared" si="170"/>
        <v>3.5657809661785134</v>
      </c>
      <c r="AC68" s="222">
        <f t="shared" si="170"/>
        <v>3.6140393090853657</v>
      </c>
      <c r="AD68" s="222">
        <f t="shared" si="170"/>
        <v>3.6629507677282116</v>
      </c>
      <c r="AE68" s="222">
        <f t="shared" si="170"/>
        <v>3.7125241812038547</v>
      </c>
      <c r="AF68" s="222">
        <f t="shared" si="170"/>
        <v>3.7627685082351148</v>
      </c>
      <c r="AG68" s="222">
        <f t="shared" si="170"/>
        <v>3.8136928287898129</v>
      </c>
      <c r="AH68" s="222">
        <f t="shared" si="170"/>
        <v>3.8653063457216681</v>
      </c>
      <c r="AI68" s="222">
        <f t="shared" si="170"/>
        <v>3.9176183864334053</v>
      </c>
      <c r="AJ68" s="222">
        <f t="shared" si="170"/>
        <v>3.9706384045623673</v>
      </c>
      <c r="AK68" s="222">
        <f t="shared" si="170"/>
        <v>4.0243759816889417</v>
      </c>
      <c r="AL68" s="222">
        <f t="shared" si="170"/>
        <v>4.0788408290681071</v>
      </c>
      <c r="AM68" s="222">
        <f t="shared" si="170"/>
        <v>4.1340427893844174</v>
      </c>
      <c r="AN68" s="222">
        <f t="shared" si="170"/>
        <v>4.189991838530732</v>
      </c>
      <c r="AO68" s="222">
        <f t="shared" ref="AO68" si="171">(AO22*$B$71)</f>
        <v>4.2466980874110245</v>
      </c>
    </row>
    <row r="69" spans="1:41" s="126" customFormat="1" x14ac:dyDescent="0.3">
      <c r="A69" s="126" t="s">
        <v>346</v>
      </c>
      <c r="B69" s="132" t="s">
        <v>146</v>
      </c>
      <c r="C69" s="124"/>
      <c r="D69" s="222">
        <f>Acc_PossibleInj_AndersonInt*(1+$B$9)</f>
        <v>3.2433079593970207</v>
      </c>
      <c r="E69" s="222">
        <f t="shared" si="160"/>
        <v>3.2872020373400206</v>
      </c>
      <c r="F69" s="222">
        <f>E69*(1+$B$9)</f>
        <v>3.3316901662034346</v>
      </c>
      <c r="G69" s="222">
        <f t="shared" si="160"/>
        <v>3.3767803857163692</v>
      </c>
      <c r="H69" s="222">
        <f t="shared" si="160"/>
        <v>3.4224808444155128</v>
      </c>
      <c r="I69" s="222">
        <f t="shared" si="160"/>
        <v>3.4687998011177088</v>
      </c>
      <c r="J69" s="222">
        <f t="shared" si="160"/>
        <v>3.5157456264124582</v>
      </c>
      <c r="K69" s="222">
        <f t="shared" si="160"/>
        <v>3.563326804174622</v>
      </c>
      <c r="L69" s="222">
        <f>(L23*$B$71)</f>
        <v>3.2865122591188105</v>
      </c>
      <c r="M69" s="222">
        <f t="shared" ref="M69:AN69" si="172">(M23*$B$71)</f>
        <v>3.3309910527049755</v>
      </c>
      <c r="N69" s="222">
        <f t="shared" si="172"/>
        <v>3.3760718105994711</v>
      </c>
      <c r="O69" s="222">
        <f t="shared" si="172"/>
        <v>3.4217626796291172</v>
      </c>
      <c r="P69" s="222">
        <f t="shared" si="172"/>
        <v>3.4680719168777481</v>
      </c>
      <c r="Q69" s="222">
        <f t="shared" si="172"/>
        <v>3.5150078911784011</v>
      </c>
      <c r="R69" s="222">
        <f t="shared" si="172"/>
        <v>3.5625790846257015</v>
      </c>
      <c r="S69" s="222">
        <f t="shared" si="172"/>
        <v>3.6107940941087153</v>
      </c>
      <c r="T69" s="222">
        <f t="shared" si="172"/>
        <v>3.6596616328645473</v>
      </c>
      <c r="U69" s="222">
        <f t="shared" si="172"/>
        <v>3.7091905320529635</v>
      </c>
      <c r="V69" s="222">
        <f t="shared" si="172"/>
        <v>3.7593897423523268</v>
      </c>
      <c r="W69" s="222">
        <f t="shared" si="172"/>
        <v>3.8102683355771294</v>
      </c>
      <c r="X69" s="222">
        <f t="shared" si="172"/>
        <v>3.8618355063174197</v>
      </c>
      <c r="Y69" s="222">
        <f t="shared" si="172"/>
        <v>3.9141005736004093</v>
      </c>
      <c r="Z69" s="222">
        <f t="shared" si="172"/>
        <v>3.9670729825745785</v>
      </c>
      <c r="AA69" s="222">
        <f t="shared" si="172"/>
        <v>4.0207623062165654</v>
      </c>
      <c r="AB69" s="222">
        <f t="shared" si="172"/>
        <v>4.0751782470611584</v>
      </c>
      <c r="AC69" s="222">
        <f t="shared" si="172"/>
        <v>4.1303306389547032</v>
      </c>
      <c r="AD69" s="222">
        <f t="shared" si="172"/>
        <v>4.1862294488322416</v>
      </c>
      <c r="AE69" s="222">
        <f t="shared" si="172"/>
        <v>4.2428847785186914</v>
      </c>
      <c r="AF69" s="222">
        <f t="shared" si="172"/>
        <v>4.3003068665544175</v>
      </c>
      <c r="AG69" s="222">
        <f t="shared" si="172"/>
        <v>4.358506090045501</v>
      </c>
      <c r="AH69" s="222">
        <f t="shared" si="172"/>
        <v>4.4174929665390508</v>
      </c>
      <c r="AI69" s="222">
        <f t="shared" si="172"/>
        <v>4.4772781559238934</v>
      </c>
      <c r="AJ69" s="222">
        <f t="shared" si="172"/>
        <v>4.5378724623569928</v>
      </c>
      <c r="AK69" s="222">
        <f t="shared" si="172"/>
        <v>4.5992868362159349</v>
      </c>
      <c r="AL69" s="222">
        <f t="shared" si="172"/>
        <v>4.6615323760778375</v>
      </c>
      <c r="AM69" s="222">
        <f t="shared" si="172"/>
        <v>4.7246203307250489</v>
      </c>
      <c r="AN69" s="222">
        <f t="shared" si="172"/>
        <v>4.7885621011779804</v>
      </c>
      <c r="AO69" s="222">
        <f t="shared" ref="AO69" si="173">(AO23*$B$71)</f>
        <v>4.8533692427554573</v>
      </c>
    </row>
    <row r="70" spans="1:41" s="126" customFormat="1" x14ac:dyDescent="0.3">
      <c r="A70" s="126" t="s">
        <v>347</v>
      </c>
      <c r="B70" s="132" t="s">
        <v>146</v>
      </c>
      <c r="C70" s="124"/>
      <c r="D70" s="222">
        <f>Acc_PDO_AndersonInt*(1+$B$9)</f>
        <v>17.02736678683436</v>
      </c>
      <c r="E70" s="222">
        <f t="shared" si="160"/>
        <v>17.257810696035111</v>
      </c>
      <c r="F70" s="222">
        <f>E70*(1+$B$9)</f>
        <v>17.491373372568034</v>
      </c>
      <c r="G70" s="222">
        <f t="shared" si="160"/>
        <v>17.728097025010943</v>
      </c>
      <c r="H70" s="222">
        <f t="shared" si="160"/>
        <v>17.968024433181448</v>
      </c>
      <c r="I70" s="222">
        <f t="shared" si="160"/>
        <v>18.211198955867978</v>
      </c>
      <c r="J70" s="222">
        <f t="shared" si="160"/>
        <v>18.457664538665412</v>
      </c>
      <c r="K70" s="222">
        <f t="shared" si="160"/>
        <v>18.707465721916773</v>
      </c>
      <c r="L70" s="222">
        <f>(L24*$B$71)</f>
        <v>17.254189360373761</v>
      </c>
      <c r="M70" s="222">
        <f t="shared" ref="M70:AN70" si="174">(M24*$B$71)</f>
        <v>17.48770302670113</v>
      </c>
      <c r="N70" s="222">
        <f t="shared" si="174"/>
        <v>17.724377005647231</v>
      </c>
      <c r="O70" s="222">
        <f t="shared" si="174"/>
        <v>17.964254068052874</v>
      </c>
      <c r="P70" s="222">
        <f t="shared" si="174"/>
        <v>18.207377563608187</v>
      </c>
      <c r="Q70" s="222">
        <f t="shared" si="174"/>
        <v>18.45379142868661</v>
      </c>
      <c r="R70" s="222">
        <f t="shared" si="174"/>
        <v>18.703540194284937</v>
      </c>
      <c r="S70" s="222">
        <f t="shared" si="174"/>
        <v>18.95666899407076</v>
      </c>
      <c r="T70" s="222">
        <f t="shared" si="174"/>
        <v>19.213223572538876</v>
      </c>
      <c r="U70" s="222">
        <f t="shared" si="174"/>
        <v>19.47325029327806</v>
      </c>
      <c r="V70" s="222">
        <f t="shared" si="174"/>
        <v>19.736796147349718</v>
      </c>
      <c r="W70" s="222">
        <f t="shared" si="174"/>
        <v>20.003908761779932</v>
      </c>
      <c r="X70" s="222">
        <f t="shared" si="174"/>
        <v>20.274636408166455</v>
      </c>
      <c r="Y70" s="222">
        <f t="shared" si="174"/>
        <v>20.549028011402154</v>
      </c>
      <c r="Z70" s="222">
        <f t="shared" si="174"/>
        <v>20.827133158516542</v>
      </c>
      <c r="AA70" s="222">
        <f t="shared" si="174"/>
        <v>21.109002107636972</v>
      </c>
      <c r="AB70" s="222">
        <f t="shared" si="174"/>
        <v>21.394685797071087</v>
      </c>
      <c r="AC70" s="222">
        <f t="shared" si="174"/>
        <v>21.684235854512202</v>
      </c>
      <c r="AD70" s="222">
        <f t="shared" si="174"/>
        <v>21.977704606369276</v>
      </c>
      <c r="AE70" s="222">
        <f t="shared" si="174"/>
        <v>22.275145087223134</v>
      </c>
      <c r="AF70" s="222">
        <f t="shared" si="174"/>
        <v>22.576611049410698</v>
      </c>
      <c r="AG70" s="222">
        <f t="shared" si="174"/>
        <v>22.882156972738887</v>
      </c>
      <c r="AH70" s="222">
        <f t="shared" si="174"/>
        <v>23.191838074330018</v>
      </c>
      <c r="AI70" s="222">
        <f t="shared" si="174"/>
        <v>23.505710318600443</v>
      </c>
      <c r="AJ70" s="222">
        <f t="shared" si="174"/>
        <v>23.823830427374219</v>
      </c>
      <c r="AK70" s="222">
        <f t="shared" si="174"/>
        <v>24.146255890133663</v>
      </c>
      <c r="AL70" s="222">
        <f t="shared" si="174"/>
        <v>24.473044974408658</v>
      </c>
      <c r="AM70" s="222">
        <f t="shared" si="174"/>
        <v>24.804256736306517</v>
      </c>
      <c r="AN70" s="222">
        <f t="shared" si="174"/>
        <v>25.139951031184403</v>
      </c>
      <c r="AO70" s="222">
        <f t="shared" ref="AO70" si="175">(AO24*$B$71)</f>
        <v>25.480188524466161</v>
      </c>
    </row>
    <row r="71" spans="1:41" s="126" customFormat="1" x14ac:dyDescent="0.3">
      <c r="A71" s="220" t="s">
        <v>168</v>
      </c>
      <c r="B71" s="221">
        <f>AVERAGE(Inputs!E81:E82)</f>
        <v>0.91</v>
      </c>
      <c r="C71" s="124"/>
      <c r="D71" s="128"/>
      <c r="E71" s="222"/>
      <c r="F71" s="222"/>
      <c r="G71" s="222"/>
      <c r="H71" s="222"/>
      <c r="I71" s="222"/>
      <c r="J71" s="222"/>
      <c r="K71" s="222"/>
      <c r="L71" s="222"/>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row>
    <row r="72" spans="1:41" s="126" customFormat="1" x14ac:dyDescent="0.3">
      <c r="B72" s="132"/>
      <c r="C72" s="124"/>
      <c r="D72" s="128"/>
      <c r="E72" s="222"/>
      <c r="F72" s="222"/>
      <c r="G72" s="222"/>
      <c r="H72" s="222"/>
      <c r="I72" s="222"/>
      <c r="J72" s="222"/>
      <c r="K72" s="222"/>
      <c r="L72" s="222"/>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row>
    <row r="73" spans="1:41" s="126" customFormat="1" x14ac:dyDescent="0.3">
      <c r="A73" s="219" t="s">
        <v>164</v>
      </c>
      <c r="B73" s="132"/>
      <c r="C73" s="124"/>
      <c r="D73" s="128"/>
      <c r="E73" s="222"/>
      <c r="F73" s="222"/>
      <c r="G73" s="222"/>
      <c r="H73" s="222"/>
      <c r="I73" s="222"/>
      <c r="J73" s="222"/>
      <c r="K73" s="222"/>
      <c r="L73" s="222"/>
      <c r="M73" s="222"/>
      <c r="N73" s="222"/>
      <c r="O73" s="222"/>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row>
    <row r="74" spans="1:41" s="126" customFormat="1" x14ac:dyDescent="0.3">
      <c r="A74" s="126" t="s">
        <v>348</v>
      </c>
      <c r="B74" s="132" t="s">
        <v>146</v>
      </c>
      <c r="C74" s="124"/>
      <c r="D74" s="222">
        <f>Acc_Fatal_DouglasInt*(1+$B$9)</f>
        <v>0.1013533737311569</v>
      </c>
      <c r="E74" s="222">
        <f t="shared" si="160"/>
        <v>0.10272506366687564</v>
      </c>
      <c r="F74" s="222">
        <f>E74*(1+$B$9)</f>
        <v>0.10411531769385733</v>
      </c>
      <c r="G74" s="222">
        <f t="shared" si="160"/>
        <v>0.10552438705363654</v>
      </c>
      <c r="H74" s="222">
        <f t="shared" si="160"/>
        <v>0.10695252638798478</v>
      </c>
      <c r="I74" s="222">
        <f t="shared" si="160"/>
        <v>0.1083999937849284</v>
      </c>
      <c r="J74" s="222">
        <f t="shared" si="160"/>
        <v>0.10986705082538932</v>
      </c>
      <c r="K74" s="222">
        <f t="shared" si="160"/>
        <v>0.11135396263045694</v>
      </c>
      <c r="L74" s="222">
        <f t="shared" ref="L74" si="176">L27*($B$79)</f>
        <v>6.2073548850114901E-2</v>
      </c>
      <c r="M74" s="222">
        <f t="shared" ref="M74:AN74" si="177">M27*($B$79)</f>
        <v>6.2913635954249203E-2</v>
      </c>
      <c r="N74" s="222">
        <f t="shared" si="177"/>
        <v>6.376509257656969E-2</v>
      </c>
      <c r="O74" s="222">
        <f t="shared" si="177"/>
        <v>6.4628072589148849E-2</v>
      </c>
      <c r="P74" s="222">
        <f t="shared" si="177"/>
        <v>6.550273194652341E-2</v>
      </c>
      <c r="Q74" s="222">
        <f t="shared" si="177"/>
        <v>6.6389228713877771E-2</v>
      </c>
      <c r="R74" s="222">
        <f t="shared" si="177"/>
        <v>6.7287723095609056E-2</v>
      </c>
      <c r="S74" s="222">
        <f t="shared" si="177"/>
        <v>6.819837746427862E-2</v>
      </c>
      <c r="T74" s="222">
        <f t="shared" si="177"/>
        <v>6.9121356389955396E-2</v>
      </c>
      <c r="U74" s="222">
        <f t="shared" si="177"/>
        <v>7.0056826669956385E-2</v>
      </c>
      <c r="V74" s="222">
        <f t="shared" si="177"/>
        <v>7.1004957358989693E-2</v>
      </c>
      <c r="W74" s="222">
        <f t="shared" si="177"/>
        <v>7.1965919799705402E-2</v>
      </c>
      <c r="X74" s="222">
        <f t="shared" si="177"/>
        <v>7.2939887653660065E-2</v>
      </c>
      <c r="Y74" s="222">
        <f t="shared" si="177"/>
        <v>7.3927036932700044E-2</v>
      </c>
      <c r="Z74" s="222">
        <f t="shared" si="177"/>
        <v>7.4927546030769857E-2</v>
      </c>
      <c r="AA74" s="222">
        <f t="shared" si="177"/>
        <v>7.5941595756150795E-2</v>
      </c>
      <c r="AB74" s="222">
        <f t="shared" si="177"/>
        <v>7.6969369364135884E-2</v>
      </c>
      <c r="AC74" s="222">
        <f t="shared" si="177"/>
        <v>7.801105259014722E-2</v>
      </c>
      <c r="AD74" s="222">
        <f t="shared" si="177"/>
        <v>7.9066833683301266E-2</v>
      </c>
      <c r="AE74" s="222">
        <f t="shared" si="177"/>
        <v>8.0136903440428578E-2</v>
      </c>
      <c r="AF74" s="222">
        <f t="shared" si="177"/>
        <v>8.1221455240553908E-2</v>
      </c>
      <c r="AG74" s="222">
        <f t="shared" si="177"/>
        <v>8.2320685079842915E-2</v>
      </c>
      <c r="AH74" s="222">
        <f t="shared" si="177"/>
        <v>8.3434791607021913E-2</v>
      </c>
      <c r="AI74" s="222">
        <f t="shared" si="177"/>
        <v>8.4563976159276827E-2</v>
      </c>
      <c r="AJ74" s="222">
        <f t="shared" si="177"/>
        <v>8.5708442798638262E-2</v>
      </c>
      <c r="AK74" s="222">
        <f t="shared" si="177"/>
        <v>8.6868398348858664E-2</v>
      </c>
      <c r="AL74" s="222">
        <f t="shared" si="177"/>
        <v>8.804405243278883E-2</v>
      </c>
      <c r="AM74" s="222">
        <f t="shared" si="177"/>
        <v>8.9235617510260198E-2</v>
      </c>
      <c r="AN74" s="222">
        <f t="shared" si="177"/>
        <v>9.0443308916479712E-2</v>
      </c>
      <c r="AO74" s="222">
        <f t="shared" ref="AO74" si="178">AO27*($B$79)</f>
        <v>9.1667344900944428E-2</v>
      </c>
    </row>
    <row r="75" spans="1:41" s="126" customFormat="1" x14ac:dyDescent="0.3">
      <c r="A75" s="126" t="s">
        <v>344</v>
      </c>
      <c r="B75" s="132" t="s">
        <v>146</v>
      </c>
      <c r="C75" s="124"/>
      <c r="D75" s="222">
        <f>Acc_IncapacitatingInj_DouglasInt*(1+$B$9)</f>
        <v>0.81082698984925516</v>
      </c>
      <c r="E75" s="222">
        <f t="shared" si="160"/>
        <v>0.82180050933500515</v>
      </c>
      <c r="F75" s="222">
        <f>E75*(1+$B$9)</f>
        <v>0.83292254155085865</v>
      </c>
      <c r="G75" s="222">
        <f t="shared" si="160"/>
        <v>0.8441950964290923</v>
      </c>
      <c r="H75" s="222">
        <f t="shared" si="160"/>
        <v>0.8556202111038782</v>
      </c>
      <c r="I75" s="222">
        <f t="shared" si="160"/>
        <v>0.8671999502794272</v>
      </c>
      <c r="J75" s="222">
        <f t="shared" si="160"/>
        <v>0.87893640660311456</v>
      </c>
      <c r="K75" s="222">
        <f t="shared" si="160"/>
        <v>0.8908317010436555</v>
      </c>
      <c r="L75" s="222">
        <f t="shared" ref="L75" si="179">L28*($B$79)</f>
        <v>0.49658839080091921</v>
      </c>
      <c r="M75" s="222">
        <f t="shared" ref="M75:AN75" si="180">M28*($B$79)</f>
        <v>0.50330908763399362</v>
      </c>
      <c r="N75" s="222">
        <f t="shared" si="180"/>
        <v>0.51012074061255752</v>
      </c>
      <c r="O75" s="222">
        <f t="shared" si="180"/>
        <v>0.5170245807131908</v>
      </c>
      <c r="P75" s="222">
        <f t="shared" si="180"/>
        <v>0.52402185557218728</v>
      </c>
      <c r="Q75" s="222">
        <f t="shared" si="180"/>
        <v>0.53111382971102217</v>
      </c>
      <c r="R75" s="222">
        <f t="shared" si="180"/>
        <v>0.53830178476487245</v>
      </c>
      <c r="S75" s="222">
        <f t="shared" si="180"/>
        <v>0.54558701971422896</v>
      </c>
      <c r="T75" s="222">
        <f t="shared" si="180"/>
        <v>0.55297085111964317</v>
      </c>
      <c r="U75" s="222">
        <f t="shared" si="180"/>
        <v>0.56045461335965108</v>
      </c>
      <c r="V75" s="222">
        <f t="shared" si="180"/>
        <v>0.56803965887191754</v>
      </c>
      <c r="W75" s="222">
        <f t="shared" si="180"/>
        <v>0.57572735839764322</v>
      </c>
      <c r="X75" s="222">
        <f t="shared" si="180"/>
        <v>0.58351910122928052</v>
      </c>
      <c r="Y75" s="222">
        <f t="shared" si="180"/>
        <v>0.59141629546160035</v>
      </c>
      <c r="Z75" s="222">
        <f t="shared" si="180"/>
        <v>0.59942036824615885</v>
      </c>
      <c r="AA75" s="222">
        <f t="shared" si="180"/>
        <v>0.60753276604920636</v>
      </c>
      <c r="AB75" s="222">
        <f t="shared" si="180"/>
        <v>0.61575495491308707</v>
      </c>
      <c r="AC75" s="222">
        <f t="shared" si="180"/>
        <v>0.62408842072117776</v>
      </c>
      <c r="AD75" s="222">
        <f t="shared" si="180"/>
        <v>0.63253466946641013</v>
      </c>
      <c r="AE75" s="222">
        <f t="shared" si="180"/>
        <v>0.64109522752342862</v>
      </c>
      <c r="AF75" s="222">
        <f t="shared" si="180"/>
        <v>0.64977164192443126</v>
      </c>
      <c r="AG75" s="222">
        <f t="shared" si="180"/>
        <v>0.65856548063874332</v>
      </c>
      <c r="AH75" s="222">
        <f t="shared" si="180"/>
        <v>0.6674783328561753</v>
      </c>
      <c r="AI75" s="222">
        <f t="shared" si="180"/>
        <v>0.67651180927421461</v>
      </c>
      <c r="AJ75" s="222">
        <f t="shared" si="180"/>
        <v>0.6856675423891061</v>
      </c>
      <c r="AK75" s="222">
        <f t="shared" si="180"/>
        <v>0.69494718679086931</v>
      </c>
      <c r="AL75" s="222">
        <f t="shared" si="180"/>
        <v>0.70435241946231064</v>
      </c>
      <c r="AM75" s="222">
        <f t="shared" si="180"/>
        <v>0.71388494008208159</v>
      </c>
      <c r="AN75" s="222">
        <f t="shared" si="180"/>
        <v>0.72354647133183769</v>
      </c>
      <c r="AO75" s="222">
        <f t="shared" ref="AO75" si="181">AO28*($B$79)</f>
        <v>0.73333875920755542</v>
      </c>
    </row>
    <row r="76" spans="1:41" s="126" customFormat="1" x14ac:dyDescent="0.3">
      <c r="A76" s="126" t="s">
        <v>345</v>
      </c>
      <c r="B76" s="132" t="s">
        <v>146</v>
      </c>
      <c r="C76" s="124"/>
      <c r="D76" s="222">
        <f>Acc_NonIncapacitatingInj_DouglasInt*(1+$B$9)</f>
        <v>4.8649619390955303</v>
      </c>
      <c r="E76" s="222">
        <f t="shared" si="160"/>
        <v>4.9308030560100304</v>
      </c>
      <c r="F76" s="222">
        <f>E76*(1+$B$9)</f>
        <v>4.9975352493051517</v>
      </c>
      <c r="G76" s="222">
        <f t="shared" si="160"/>
        <v>5.0651705785745538</v>
      </c>
      <c r="H76" s="222">
        <f t="shared" si="160"/>
        <v>5.1337212666232697</v>
      </c>
      <c r="I76" s="222">
        <f t="shared" si="160"/>
        <v>5.2031997016765636</v>
      </c>
      <c r="J76" s="222">
        <f t="shared" si="160"/>
        <v>5.273618439618688</v>
      </c>
      <c r="K76" s="222">
        <f t="shared" si="160"/>
        <v>5.344990206261933</v>
      </c>
      <c r="L76" s="222">
        <f t="shared" ref="L76" si="182">L29*($B$79)</f>
        <v>2.9795303448055148</v>
      </c>
      <c r="M76" s="222">
        <f t="shared" ref="M76:AN76" si="183">M29*($B$79)</f>
        <v>3.0198545258039613</v>
      </c>
      <c r="N76" s="222">
        <f t="shared" si="183"/>
        <v>3.0607244436753445</v>
      </c>
      <c r="O76" s="222">
        <f t="shared" si="183"/>
        <v>3.1021474842791443</v>
      </c>
      <c r="P76" s="222">
        <f t="shared" si="183"/>
        <v>3.144131133433123</v>
      </c>
      <c r="Q76" s="222">
        <f t="shared" si="183"/>
        <v>3.1866829782661323</v>
      </c>
      <c r="R76" s="222">
        <f t="shared" si="183"/>
        <v>3.2298107085892345</v>
      </c>
      <c r="S76" s="222">
        <f t="shared" si="183"/>
        <v>3.2735221182853738</v>
      </c>
      <c r="T76" s="222">
        <f t="shared" si="183"/>
        <v>3.3178251067178586</v>
      </c>
      <c r="U76" s="222">
        <f t="shared" si="183"/>
        <v>3.362727680157906</v>
      </c>
      <c r="V76" s="222">
        <f t="shared" si="183"/>
        <v>3.408237953231505</v>
      </c>
      <c r="W76" s="222">
        <f t="shared" si="183"/>
        <v>3.4543641503858593</v>
      </c>
      <c r="X76" s="222">
        <f t="shared" si="183"/>
        <v>3.5011146073756825</v>
      </c>
      <c r="Y76" s="222">
        <f t="shared" si="183"/>
        <v>3.5484977727696014</v>
      </c>
      <c r="Z76" s="222">
        <f t="shared" si="183"/>
        <v>3.5965222094769524</v>
      </c>
      <c r="AA76" s="222">
        <f t="shared" si="183"/>
        <v>3.6451965962952371</v>
      </c>
      <c r="AB76" s="222">
        <f t="shared" si="183"/>
        <v>3.6945297294785222</v>
      </c>
      <c r="AC76" s="222">
        <f t="shared" si="183"/>
        <v>3.7445305243270659</v>
      </c>
      <c r="AD76" s="222">
        <f t="shared" si="183"/>
        <v>3.7952080167984601</v>
      </c>
      <c r="AE76" s="222">
        <f t="shared" si="183"/>
        <v>3.8465713651405711</v>
      </c>
      <c r="AF76" s="222">
        <f t="shared" si="183"/>
        <v>3.8986298515465863</v>
      </c>
      <c r="AG76" s="222">
        <f t="shared" si="183"/>
        <v>3.9513928838324586</v>
      </c>
      <c r="AH76" s="222">
        <f t="shared" si="183"/>
        <v>4.0048699971370505</v>
      </c>
      <c r="AI76" s="222">
        <f t="shared" si="183"/>
        <v>4.0590708556452864</v>
      </c>
      <c r="AJ76" s="222">
        <f t="shared" si="183"/>
        <v>4.1140052543346348</v>
      </c>
      <c r="AK76" s="222">
        <f t="shared" si="183"/>
        <v>4.1696831207452147</v>
      </c>
      <c r="AL76" s="222">
        <f t="shared" si="183"/>
        <v>4.2261145167738627</v>
      </c>
      <c r="AM76" s="222">
        <f t="shared" si="183"/>
        <v>4.2833096404924884</v>
      </c>
      <c r="AN76" s="222">
        <f t="shared" si="183"/>
        <v>4.341278827991025</v>
      </c>
      <c r="AO76" s="222">
        <f t="shared" ref="AO76" si="184">AO29*($B$79)</f>
        <v>4.400032555245331</v>
      </c>
    </row>
    <row r="77" spans="1:41" s="126" customFormat="1" x14ac:dyDescent="0.3">
      <c r="A77" s="126" t="s">
        <v>346</v>
      </c>
      <c r="B77" s="132" t="s">
        <v>146</v>
      </c>
      <c r="C77" s="124"/>
      <c r="D77" s="222">
        <f>Acc_PossibleInj_DouglasInt*(1+$B$9)</f>
        <v>8.0069165247613956</v>
      </c>
      <c r="E77" s="222">
        <f t="shared" si="160"/>
        <v>8.1152800296831771</v>
      </c>
      <c r="F77" s="222">
        <f>E77*(1+$B$9)</f>
        <v>8.2251100978147313</v>
      </c>
      <c r="G77" s="222">
        <f t="shared" si="160"/>
        <v>8.3364265772372885</v>
      </c>
      <c r="H77" s="222">
        <f t="shared" si="160"/>
        <v>8.4492495846507989</v>
      </c>
      <c r="I77" s="222">
        <f t="shared" si="160"/>
        <v>8.5635995090093449</v>
      </c>
      <c r="J77" s="222">
        <f t="shared" si="160"/>
        <v>8.679497015205758</v>
      </c>
      <c r="K77" s="222">
        <f t="shared" si="160"/>
        <v>8.7969630478060985</v>
      </c>
      <c r="L77" s="222">
        <f t="shared" ref="L77" si="185">L30*($B$79)</f>
        <v>4.9038103591590767</v>
      </c>
      <c r="M77" s="222">
        <f t="shared" ref="M77:AN77" si="186">M30*($B$79)</f>
        <v>4.9701772403856861</v>
      </c>
      <c r="N77" s="222">
        <f t="shared" si="186"/>
        <v>5.0374423135490041</v>
      </c>
      <c r="O77" s="222">
        <f t="shared" si="186"/>
        <v>5.1056177345427587</v>
      </c>
      <c r="P77" s="222">
        <f t="shared" si="186"/>
        <v>5.1747158237753483</v>
      </c>
      <c r="Q77" s="222">
        <f t="shared" si="186"/>
        <v>5.2447490683963425</v>
      </c>
      <c r="R77" s="222">
        <f t="shared" si="186"/>
        <v>5.3157301245531148</v>
      </c>
      <c r="S77" s="222">
        <f t="shared" si="186"/>
        <v>5.3876718196780109</v>
      </c>
      <c r="T77" s="222">
        <f t="shared" si="186"/>
        <v>5.4605871548064755</v>
      </c>
      <c r="U77" s="222">
        <f t="shared" si="186"/>
        <v>5.5344893069265542</v>
      </c>
      <c r="V77" s="222">
        <f t="shared" si="186"/>
        <v>5.6093916313601859</v>
      </c>
      <c r="W77" s="222">
        <f t="shared" si="186"/>
        <v>5.6853076641767277</v>
      </c>
      <c r="X77" s="222">
        <f t="shared" si="186"/>
        <v>5.7622511246391444</v>
      </c>
      <c r="Y77" s="222">
        <f t="shared" si="186"/>
        <v>5.8402359176833034</v>
      </c>
      <c r="Z77" s="222">
        <f t="shared" si="186"/>
        <v>5.9192761364308186</v>
      </c>
      <c r="AA77" s="222">
        <f t="shared" si="186"/>
        <v>5.9993860647359121</v>
      </c>
      <c r="AB77" s="222">
        <f t="shared" si="186"/>
        <v>6.0805801797667351</v>
      </c>
      <c r="AC77" s="222">
        <f t="shared" si="186"/>
        <v>6.1628731546216304</v>
      </c>
      <c r="AD77" s="222">
        <f t="shared" si="186"/>
        <v>6.2462798609807999</v>
      </c>
      <c r="AE77" s="222">
        <f t="shared" si="186"/>
        <v>6.3308153717938564</v>
      </c>
      <c r="AF77" s="222">
        <f t="shared" si="186"/>
        <v>6.4164949640037579</v>
      </c>
      <c r="AG77" s="222">
        <f t="shared" si="186"/>
        <v>6.5033341213075895</v>
      </c>
      <c r="AH77" s="222">
        <f t="shared" si="186"/>
        <v>6.5913485369547287</v>
      </c>
      <c r="AI77" s="222">
        <f t="shared" si="186"/>
        <v>6.6805541165828686</v>
      </c>
      <c r="AJ77" s="222">
        <f t="shared" si="186"/>
        <v>6.770966981092422</v>
      </c>
      <c r="AK77" s="222">
        <f t="shared" si="186"/>
        <v>6.8626034695598328</v>
      </c>
      <c r="AL77" s="222">
        <f t="shared" si="186"/>
        <v>6.955480142190317</v>
      </c>
      <c r="AM77" s="222">
        <f t="shared" si="186"/>
        <v>7.049613783310555</v>
      </c>
      <c r="AN77" s="222">
        <f t="shared" si="186"/>
        <v>7.1450214044018949</v>
      </c>
      <c r="AO77" s="222">
        <f t="shared" ref="AO77" si="187">AO30*($B$79)</f>
        <v>7.2417202471746069</v>
      </c>
    </row>
    <row r="78" spans="1:41" s="126" customFormat="1" x14ac:dyDescent="0.3">
      <c r="A78" s="126" t="s">
        <v>347</v>
      </c>
      <c r="B78" s="132" t="s">
        <v>146</v>
      </c>
      <c r="C78" s="124"/>
      <c r="D78" s="222">
        <f>Acc_PDO_DouglasInt*(1+$B$9)</f>
        <v>34.257440321131028</v>
      </c>
      <c r="E78" s="222">
        <f t="shared" si="160"/>
        <v>34.721071519403964</v>
      </c>
      <c r="F78" s="222">
        <f>E78*(1+$B$9)</f>
        <v>35.190977380523776</v>
      </c>
      <c r="G78" s="222">
        <f t="shared" si="160"/>
        <v>35.667242824129147</v>
      </c>
      <c r="H78" s="222">
        <f t="shared" si="160"/>
        <v>36.149953919138852</v>
      </c>
      <c r="I78" s="222">
        <f t="shared" si="160"/>
        <v>36.639197899305799</v>
      </c>
      <c r="J78" s="222">
        <f t="shared" si="160"/>
        <v>37.135063178981589</v>
      </c>
      <c r="K78" s="222">
        <f t="shared" si="160"/>
        <v>37.637639369094444</v>
      </c>
      <c r="L78" s="222">
        <f t="shared" ref="L78" si="188">L31*($B$79)</f>
        <v>20.980859511338835</v>
      </c>
      <c r="M78" s="222">
        <f t="shared" ref="M78:AN78" si="189">M31*($B$79)</f>
        <v>21.264808952536224</v>
      </c>
      <c r="N78" s="222">
        <f t="shared" si="189"/>
        <v>21.552601290880549</v>
      </c>
      <c r="O78" s="222">
        <f t="shared" si="189"/>
        <v>21.844288535132307</v>
      </c>
      <c r="P78" s="222">
        <f t="shared" si="189"/>
        <v>22.139923397924907</v>
      </c>
      <c r="Q78" s="222">
        <f t="shared" si="189"/>
        <v>22.439559305290683</v>
      </c>
      <c r="R78" s="222">
        <f t="shared" si="189"/>
        <v>22.743250406315855</v>
      </c>
      <c r="S78" s="222">
        <f t="shared" si="189"/>
        <v>23.051051582926167</v>
      </c>
      <c r="T78" s="222">
        <f t="shared" si="189"/>
        <v>23.363018459804916</v>
      </c>
      <c r="U78" s="222">
        <f t="shared" si="189"/>
        <v>23.679207414445251</v>
      </c>
      <c r="V78" s="222">
        <f t="shared" si="189"/>
        <v>23.999675587338508</v>
      </c>
      <c r="W78" s="222">
        <f t="shared" si="189"/>
        <v>24.324480892300425</v>
      </c>
      <c r="X78" s="222">
        <f t="shared" si="189"/>
        <v>24.653682026937094</v>
      </c>
      <c r="Y78" s="222">
        <f t="shared" si="189"/>
        <v>24.987338483252607</v>
      </c>
      <c r="Z78" s="222">
        <f t="shared" si="189"/>
        <v>25.325510558400204</v>
      </c>
      <c r="AA78" s="222">
        <f t="shared" si="189"/>
        <v>25.668259365578958</v>
      </c>
      <c r="AB78" s="222">
        <f t="shared" si="189"/>
        <v>26.015646845077924</v>
      </c>
      <c r="AC78" s="222">
        <f t="shared" si="189"/>
        <v>26.367735775469757</v>
      </c>
      <c r="AD78" s="222">
        <f t="shared" si="189"/>
        <v>26.724589784955825</v>
      </c>
      <c r="AE78" s="222">
        <f t="shared" si="189"/>
        <v>27.086273362864855</v>
      </c>
      <c r="AF78" s="222">
        <f t="shared" si="189"/>
        <v>27.452851871307214</v>
      </c>
      <c r="AG78" s="222">
        <f t="shared" si="189"/>
        <v>27.824391556986896</v>
      </c>
      <c r="AH78" s="222">
        <f t="shared" si="189"/>
        <v>28.200959563173392</v>
      </c>
      <c r="AI78" s="222">
        <f t="shared" si="189"/>
        <v>28.582623941835561</v>
      </c>
      <c r="AJ78" s="222">
        <f t="shared" si="189"/>
        <v>28.969453665939724</v>
      </c>
      <c r="AK78" s="222">
        <f t="shared" si="189"/>
        <v>29.36151864191422</v>
      </c>
      <c r="AL78" s="222">
        <f t="shared" si="189"/>
        <v>29.758889722282621</v>
      </c>
      <c r="AM78" s="222">
        <f t="shared" si="189"/>
        <v>30.161638718467945</v>
      </c>
      <c r="AN78" s="222">
        <f t="shared" si="189"/>
        <v>30.569838413770135</v>
      </c>
      <c r="AO78" s="222">
        <f t="shared" ref="AO78" si="190">AO31*($B$79)</f>
        <v>30.983562576519208</v>
      </c>
    </row>
    <row r="79" spans="1:41" s="126" customFormat="1" x14ac:dyDescent="0.3">
      <c r="A79" s="280" t="s">
        <v>168</v>
      </c>
      <c r="B79" s="221">
        <f>(Inputs!E83)</f>
        <v>0.55000000000000004</v>
      </c>
      <c r="C79" s="124"/>
      <c r="D79" s="128"/>
      <c r="E79" s="128"/>
      <c r="F79" s="128"/>
      <c r="G79" s="128"/>
      <c r="H79" s="128"/>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0"/>
      <c r="AM79" s="130"/>
      <c r="AN79" s="130"/>
      <c r="AO79" s="130"/>
    </row>
    <row r="80" spans="1:41" s="6" customFormat="1" x14ac:dyDescent="0.3">
      <c r="A80" s="122"/>
      <c r="B80" s="123"/>
      <c r="C80" s="141"/>
      <c r="D80" s="141"/>
      <c r="E80" s="141"/>
      <c r="F80" s="125"/>
      <c r="G80" s="125"/>
      <c r="H80" s="127"/>
      <c r="I80" s="127"/>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row>
    <row r="81" spans="1:41" s="126" customFormat="1" x14ac:dyDescent="0.3">
      <c r="A81" s="219" t="s">
        <v>336</v>
      </c>
      <c r="B81" s="132"/>
      <c r="C81" s="124"/>
      <c r="D81" s="128"/>
      <c r="E81" s="128"/>
      <c r="F81" s="128"/>
      <c r="G81" s="128"/>
      <c r="H81" s="128"/>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c r="AN81" s="130"/>
      <c r="AO81" s="130"/>
    </row>
    <row r="82" spans="1:41" s="126" customFormat="1" x14ac:dyDescent="0.3">
      <c r="A82" s="126" t="s">
        <v>348</v>
      </c>
      <c r="B82" s="133" t="s">
        <v>78</v>
      </c>
      <c r="C82" s="124"/>
      <c r="D82" s="128">
        <f t="shared" ref="D82:AN82" si="191">D58*number_of_victims_accident_Fatality*AccidentCost_Fatality</f>
        <v>4864961.9390955307</v>
      </c>
      <c r="E82" s="128">
        <f t="shared" si="191"/>
        <v>4930803.0560100302</v>
      </c>
      <c r="F82" s="128">
        <f t="shared" si="191"/>
        <v>4997535.2493051523</v>
      </c>
      <c r="G82" s="128">
        <f t="shared" si="191"/>
        <v>5065170.5785745541</v>
      </c>
      <c r="H82" s="128">
        <f t="shared" si="191"/>
        <v>5133721.2666232698</v>
      </c>
      <c r="I82" s="128">
        <f t="shared" si="191"/>
        <v>5203199.7016765643</v>
      </c>
      <c r="J82" s="128">
        <f t="shared" si="191"/>
        <v>5273618.439618689</v>
      </c>
      <c r="K82" s="128">
        <f t="shared" si="191"/>
        <v>5344990.2062619338</v>
      </c>
      <c r="L82" s="128">
        <f t="shared" si="191"/>
        <v>4008822.6457383297</v>
      </c>
      <c r="M82" s="128">
        <f t="shared" si="191"/>
        <v>4063076.998354421</v>
      </c>
      <c r="N82" s="128">
        <f t="shared" si="191"/>
        <v>4118065.6151268273</v>
      </c>
      <c r="O82" s="128">
        <f t="shared" si="191"/>
        <v>4173798.4333937583</v>
      </c>
      <c r="P82" s="128">
        <f t="shared" si="191"/>
        <v>4230285.5249827476</v>
      </c>
      <c r="Q82" s="128">
        <f t="shared" si="191"/>
        <v>4287537.0980307972</v>
      </c>
      <c r="R82" s="128">
        <f t="shared" si="191"/>
        <v>4345563.4988291515</v>
      </c>
      <c r="S82" s="128">
        <f t="shared" si="191"/>
        <v>4404375.2136930479</v>
      </c>
      <c r="T82" s="128">
        <f t="shared" si="191"/>
        <v>4463982.8708567554</v>
      </c>
      <c r="U82" s="128">
        <f t="shared" si="191"/>
        <v>4524397.2423942741</v>
      </c>
      <c r="V82" s="128">
        <f t="shared" si="191"/>
        <v>4585629.2461660253</v>
      </c>
      <c r="W82" s="128">
        <f t="shared" si="191"/>
        <v>4647689.9477918837</v>
      </c>
      <c r="X82" s="128">
        <f t="shared" si="191"/>
        <v>4710590.562650919</v>
      </c>
      <c r="Y82" s="128">
        <f t="shared" si="191"/>
        <v>4774342.4579081917</v>
      </c>
      <c r="Z82" s="128">
        <f t="shared" si="191"/>
        <v>4838957.1545689916</v>
      </c>
      <c r="AA82" s="128">
        <f t="shared" si="191"/>
        <v>4904446.3295608656</v>
      </c>
      <c r="AB82" s="128">
        <f t="shared" si="191"/>
        <v>4970821.8178438311</v>
      </c>
      <c r="AC82" s="128">
        <f t="shared" si="191"/>
        <v>5038095.6145491451</v>
      </c>
      <c r="AD82" s="128">
        <f t="shared" si="191"/>
        <v>5106279.8771470208</v>
      </c>
      <c r="AE82" s="128">
        <f t="shared" si="191"/>
        <v>5175386.9276436791</v>
      </c>
      <c r="AF82" s="128">
        <f t="shared" si="191"/>
        <v>5245429.2548081363</v>
      </c>
      <c r="AG82" s="128">
        <f t="shared" si="191"/>
        <v>5316419.5164291291</v>
      </c>
      <c r="AH82" s="128">
        <f t="shared" si="191"/>
        <v>5388370.5416025789</v>
      </c>
      <c r="AI82" s="128">
        <f t="shared" si="191"/>
        <v>5461295.3330500238</v>
      </c>
      <c r="AJ82" s="128">
        <f t="shared" si="191"/>
        <v>5535207.0694684209</v>
      </c>
      <c r="AK82" s="128">
        <f t="shared" si="191"/>
        <v>5610119.107911746</v>
      </c>
      <c r="AL82" s="128">
        <f t="shared" si="191"/>
        <v>5686044.9862048356</v>
      </c>
      <c r="AM82" s="128">
        <f t="shared" si="191"/>
        <v>5762998.4253898952</v>
      </c>
      <c r="AN82" s="128">
        <f t="shared" si="191"/>
        <v>5840993.3322061067</v>
      </c>
      <c r="AO82" s="128">
        <f t="shared" ref="AO82" si="192">AO58*number_of_victims_accident_Fatality*AccidentCost_Fatality</f>
        <v>5920043.8016028106</v>
      </c>
    </row>
    <row r="83" spans="1:41" s="126" customFormat="1" x14ac:dyDescent="0.3">
      <c r="A83" s="126" t="s">
        <v>344</v>
      </c>
      <c r="B83" s="133" t="s">
        <v>78</v>
      </c>
      <c r="C83" s="124"/>
      <c r="D83" s="128">
        <f t="shared" ref="D83:AN83" si="193">D59*number_of_victims_accident_incapacitating*AccidentCost_IncapacitatingInjury</f>
        <v>4441077.8053421378</v>
      </c>
      <c r="E83" s="128">
        <f t="shared" si="193"/>
        <v>4501182.1857398767</v>
      </c>
      <c r="F83" s="128">
        <f t="shared" si="193"/>
        <v>4562100.0030331938</v>
      </c>
      <c r="G83" s="128">
        <f t="shared" si="193"/>
        <v>4623842.266063353</v>
      </c>
      <c r="H83" s="128">
        <f t="shared" si="193"/>
        <v>4686420.1326623848</v>
      </c>
      <c r="I83" s="128">
        <f t="shared" si="193"/>
        <v>4749844.9116694853</v>
      </c>
      <c r="J83" s="128">
        <f t="shared" si="193"/>
        <v>4814128.0649747122</v>
      </c>
      <c r="K83" s="128">
        <f t="shared" si="193"/>
        <v>4879281.2095903317</v>
      </c>
      <c r="L83" s="128">
        <f t="shared" si="193"/>
        <v>3659533.9286151491</v>
      </c>
      <c r="M83" s="128">
        <f t="shared" si="193"/>
        <v>3709061.0994878002</v>
      </c>
      <c r="N83" s="128">
        <f t="shared" si="193"/>
        <v>3759258.5580808278</v>
      </c>
      <c r="O83" s="128">
        <f t="shared" si="193"/>
        <v>3810135.3758921605</v>
      </c>
      <c r="P83" s="128">
        <f t="shared" si="193"/>
        <v>3861700.7471910012</v>
      </c>
      <c r="Q83" s="128">
        <f t="shared" si="193"/>
        <v>3913963.990679374</v>
      </c>
      <c r="R83" s="128">
        <f t="shared" si="193"/>
        <v>3966934.5511761685</v>
      </c>
      <c r="S83" s="128">
        <f t="shared" si="193"/>
        <v>4020622.0013239733</v>
      </c>
      <c r="T83" s="128">
        <f t="shared" si="193"/>
        <v>4075036.043319006</v>
      </c>
      <c r="U83" s="128">
        <f t="shared" si="193"/>
        <v>4130186.5106644612</v>
      </c>
      <c r="V83" s="128">
        <f t="shared" si="193"/>
        <v>4186083.3699475792</v>
      </c>
      <c r="W83" s="128">
        <f t="shared" si="193"/>
        <v>4242736.7226407779</v>
      </c>
      <c r="X83" s="128">
        <f t="shared" si="193"/>
        <v>4300156.8069271445</v>
      </c>
      <c r="Y83" s="128">
        <f t="shared" si="193"/>
        <v>4358353.9995506508</v>
      </c>
      <c r="Z83" s="128">
        <f t="shared" si="193"/>
        <v>4417338.817691396</v>
      </c>
      <c r="AA83" s="128">
        <f t="shared" si="193"/>
        <v>4477121.9208662277</v>
      </c>
      <c r="AB83" s="128">
        <f t="shared" si="193"/>
        <v>4537714.1128550982</v>
      </c>
      <c r="AC83" s="128">
        <f t="shared" si="193"/>
        <v>4599126.3436534777</v>
      </c>
      <c r="AD83" s="128">
        <f t="shared" si="193"/>
        <v>4661369.7114511998</v>
      </c>
      <c r="AE83" s="128">
        <f t="shared" si="193"/>
        <v>4724455.464638086</v>
      </c>
      <c r="AF83" s="128">
        <f t="shared" si="193"/>
        <v>4788395.0038367035</v>
      </c>
      <c r="AG83" s="128">
        <f t="shared" si="193"/>
        <v>4853199.8839626592</v>
      </c>
      <c r="AH83" s="128">
        <f t="shared" si="193"/>
        <v>4918881.8163127471</v>
      </c>
      <c r="AI83" s="128">
        <f t="shared" si="193"/>
        <v>4985452.670681376</v>
      </c>
      <c r="AJ83" s="128">
        <f t="shared" si="193"/>
        <v>5052924.4775056373</v>
      </c>
      <c r="AK83" s="128">
        <f t="shared" si="193"/>
        <v>5121309.4300393956</v>
      </c>
      <c r="AL83" s="128">
        <f t="shared" si="193"/>
        <v>5190619.8865568098</v>
      </c>
      <c r="AM83" s="128">
        <f t="shared" si="193"/>
        <v>5260868.3725856757</v>
      </c>
      <c r="AN83" s="128">
        <f t="shared" si="193"/>
        <v>5332067.5831709914</v>
      </c>
      <c r="AO83" s="128">
        <f t="shared" ref="AO83" si="194">AO59*number_of_victims_accident_incapacitating*AccidentCost_IncapacitatingInjury</f>
        <v>5404230.3851691606</v>
      </c>
    </row>
    <row r="84" spans="1:41" s="126" customFormat="1" x14ac:dyDescent="0.3">
      <c r="A84" s="126" t="s">
        <v>345</v>
      </c>
      <c r="B84" s="133" t="s">
        <v>78</v>
      </c>
      <c r="C84" s="124"/>
      <c r="D84" s="128">
        <f t="shared" ref="D84:AN84" si="195">D60*number_of_victims_accident_nonincapacitating*AccidentCost_NonIncapacitating_Injury</f>
        <v>2208790.0195881529</v>
      </c>
      <c r="E84" s="128">
        <f t="shared" si="195"/>
        <v>2238683.2034896747</v>
      </c>
      <c r="F84" s="128">
        <f t="shared" si="195"/>
        <v>2268980.9538895255</v>
      </c>
      <c r="G84" s="128">
        <f t="shared" si="195"/>
        <v>2299688.7460844191</v>
      </c>
      <c r="H84" s="128">
        <f t="shared" si="195"/>
        <v>2330812.1294722972</v>
      </c>
      <c r="I84" s="128">
        <f t="shared" si="195"/>
        <v>2362356.7285551941</v>
      </c>
      <c r="J84" s="128">
        <f t="shared" si="195"/>
        <v>2394328.2439556774</v>
      </c>
      <c r="K84" s="128">
        <f t="shared" si="195"/>
        <v>2426732.4534470434</v>
      </c>
      <c r="L84" s="128">
        <f t="shared" si="195"/>
        <v>1820085.6576181166</v>
      </c>
      <c r="M84" s="128">
        <f t="shared" si="195"/>
        <v>1844718.2187928746</v>
      </c>
      <c r="N84" s="128">
        <f t="shared" si="195"/>
        <v>1869684.1505798828</v>
      </c>
      <c r="O84" s="128">
        <f t="shared" si="195"/>
        <v>1894987.9647294348</v>
      </c>
      <c r="P84" s="128">
        <f t="shared" si="195"/>
        <v>1920634.2340526679</v>
      </c>
      <c r="Q84" s="128">
        <f t="shared" si="195"/>
        <v>1946627.5932479429</v>
      </c>
      <c r="R84" s="128">
        <f t="shared" si="195"/>
        <v>1972972.7397384122</v>
      </c>
      <c r="S84" s="128">
        <f t="shared" si="195"/>
        <v>1999674.4345209182</v>
      </c>
      <c r="T84" s="128">
        <f t="shared" si="195"/>
        <v>2026737.5030263839</v>
      </c>
      <c r="U84" s="128">
        <f t="shared" si="195"/>
        <v>2054166.8359918487</v>
      </c>
      <c r="V84" s="128">
        <f t="shared" si="195"/>
        <v>2081967.3903442984</v>
      </c>
      <c r="W84" s="128">
        <f t="shared" si="195"/>
        <v>2110144.190096471</v>
      </c>
      <c r="X84" s="128">
        <f t="shared" si="195"/>
        <v>2138702.3272547699</v>
      </c>
      <c r="Y84" s="128">
        <f t="shared" si="195"/>
        <v>2167646.9627394774</v>
      </c>
      <c r="Z84" s="128">
        <f t="shared" si="195"/>
        <v>2196983.3273174134</v>
      </c>
      <c r="AA84" s="128">
        <f t="shared" si="195"/>
        <v>2226716.7225472243</v>
      </c>
      <c r="AB84" s="128">
        <f t="shared" si="195"/>
        <v>2256852.5217374559</v>
      </c>
      <c r="AC84" s="128">
        <f t="shared" si="195"/>
        <v>2287396.1709176027</v>
      </c>
      <c r="AD84" s="128">
        <f t="shared" si="195"/>
        <v>2318353.1898222901</v>
      </c>
      <c r="AE84" s="128">
        <f t="shared" si="195"/>
        <v>2349729.1728887828</v>
      </c>
      <c r="AF84" s="128">
        <f t="shared" si="195"/>
        <v>2381529.79026799</v>
      </c>
      <c r="AG84" s="128">
        <f t="shared" si="195"/>
        <v>2413760.7888491531</v>
      </c>
      <c r="AH84" s="128">
        <f t="shared" si="195"/>
        <v>2446427.993298403</v>
      </c>
      <c r="AI84" s="128">
        <f t="shared" si="195"/>
        <v>2479537.3071113718</v>
      </c>
      <c r="AJ84" s="128">
        <f t="shared" si="195"/>
        <v>2513094.7136800527</v>
      </c>
      <c r="AK84" s="128">
        <f t="shared" si="195"/>
        <v>2547106.2773740906</v>
      </c>
      <c r="AL84" s="128">
        <f t="shared" si="195"/>
        <v>2581578.14463672</v>
      </c>
      <c r="AM84" s="128">
        <f t="shared" si="195"/>
        <v>2616516.545095521</v>
      </c>
      <c r="AN84" s="128">
        <f t="shared" si="195"/>
        <v>2651927.792688217</v>
      </c>
      <c r="AO84" s="128">
        <f t="shared" ref="AO84" si="196">AO60*number_of_victims_accident_nonincapacitating*AccidentCost_NonIncapacitating_Injury</f>
        <v>2687818.2868037089</v>
      </c>
    </row>
    <row r="85" spans="1:41" s="126" customFormat="1" x14ac:dyDescent="0.3">
      <c r="A85" s="126" t="s">
        <v>346</v>
      </c>
      <c r="B85" s="133" t="s">
        <v>78</v>
      </c>
      <c r="C85" s="124"/>
      <c r="D85" s="128">
        <f t="shared" ref="D85:AN85" si="197">D61*number_of_victims_accident_possibleInjry*AccidentCost_PossibleInjury</f>
        <v>241691.30913426596</v>
      </c>
      <c r="E85" s="128">
        <f t="shared" si="197"/>
        <v>244962.29582257831</v>
      </c>
      <c r="F85" s="128">
        <f t="shared" si="197"/>
        <v>248277.55118547997</v>
      </c>
      <c r="G85" s="128">
        <f t="shared" si="197"/>
        <v>251637.67434358381</v>
      </c>
      <c r="H85" s="128">
        <f t="shared" si="197"/>
        <v>255043.27252584405</v>
      </c>
      <c r="I85" s="128">
        <f t="shared" si="197"/>
        <v>258494.96117929171</v>
      </c>
      <c r="J85" s="128">
        <f t="shared" si="197"/>
        <v>261993.36408025646</v>
      </c>
      <c r="K85" s="128">
        <f t="shared" si="197"/>
        <v>265539.11344709288</v>
      </c>
      <c r="L85" s="128">
        <f t="shared" si="197"/>
        <v>199158.30904028018</v>
      </c>
      <c r="M85" s="128">
        <f t="shared" si="197"/>
        <v>201853.66527824764</v>
      </c>
      <c r="N85" s="128">
        <f t="shared" si="197"/>
        <v>204585.49975950079</v>
      </c>
      <c r="O85" s="128">
        <f t="shared" si="197"/>
        <v>207354.30617100192</v>
      </c>
      <c r="P85" s="128">
        <f t="shared" si="197"/>
        <v>210160.58488114289</v>
      </c>
      <c r="Q85" s="128">
        <f t="shared" si="197"/>
        <v>213004.84303016998</v>
      </c>
      <c r="R85" s="128">
        <f t="shared" si="197"/>
        <v>215887.59462183228</v>
      </c>
      <c r="S85" s="128">
        <f t="shared" si="197"/>
        <v>218809.36061627066</v>
      </c>
      <c r="T85" s="128">
        <f t="shared" si="197"/>
        <v>221770.66902416365</v>
      </c>
      <c r="U85" s="128">
        <f t="shared" si="197"/>
        <v>224772.05500214756</v>
      </c>
      <c r="V85" s="128">
        <f t="shared" si="197"/>
        <v>227814.06094952815</v>
      </c>
      <c r="W85" s="128">
        <f t="shared" si="197"/>
        <v>230897.23660630078</v>
      </c>
      <c r="X85" s="128">
        <f t="shared" si="197"/>
        <v>234022.13915249766</v>
      </c>
      <c r="Y85" s="128">
        <f t="shared" si="197"/>
        <v>237189.333308879</v>
      </c>
      <c r="Z85" s="128">
        <f t="shared" si="197"/>
        <v>240399.39143898751</v>
      </c>
      <c r="AA85" s="128">
        <f t="shared" si="197"/>
        <v>243652.89365258385</v>
      </c>
      <c r="AB85" s="128">
        <f t="shared" si="197"/>
        <v>246950.42791048158</v>
      </c>
      <c r="AC85" s="128">
        <f t="shared" si="197"/>
        <v>250292.59013080155</v>
      </c>
      <c r="AD85" s="128">
        <f t="shared" si="197"/>
        <v>253679.98429666398</v>
      </c>
      <c r="AE85" s="128">
        <f t="shared" si="197"/>
        <v>257113.22256533796</v>
      </c>
      <c r="AF85" s="128">
        <f t="shared" si="197"/>
        <v>260592.92537886818</v>
      </c>
      <c r="AG85" s="128">
        <f t="shared" si="197"/>
        <v>264119.72157619905</v>
      </c>
      <c r="AH85" s="128">
        <f t="shared" si="197"/>
        <v>267694.24850681605</v>
      </c>
      <c r="AI85" s="128">
        <f t="shared" si="197"/>
        <v>271317.15214592515</v>
      </c>
      <c r="AJ85" s="128">
        <f t="shared" si="197"/>
        <v>274989.08721119107</v>
      </c>
      <c r="AK85" s="128">
        <f t="shared" si="197"/>
        <v>278710.71728105552</v>
      </c>
      <c r="AL85" s="128">
        <f t="shared" si="197"/>
        <v>282482.71491465619</v>
      </c>
      <c r="AM85" s="128">
        <f t="shared" si="197"/>
        <v>286305.76177336997</v>
      </c>
      <c r="AN85" s="128">
        <f t="shared" si="197"/>
        <v>290180.54874399939</v>
      </c>
      <c r="AO85" s="128">
        <f t="shared" ref="AO85" si="198">AO61*number_of_victims_accident_possibleInjry*AccidentCost_PossibleInjury</f>
        <v>294107.77606362756</v>
      </c>
    </row>
    <row r="86" spans="1:41" s="126" customFormat="1" x14ac:dyDescent="0.3">
      <c r="A86" s="126" t="s">
        <v>347</v>
      </c>
      <c r="B86" s="133" t="s">
        <v>78</v>
      </c>
      <c r="C86" s="124"/>
      <c r="D86" s="128">
        <f t="shared" ref="D86:AN86" si="199">D62*number_of_victims_accident_PDO*AccidentCost_PDO</f>
        <v>333146.10697334312</v>
      </c>
      <c r="E86" s="128">
        <f t="shared" si="199"/>
        <v>337654.81887149217</v>
      </c>
      <c r="F86" s="128">
        <f t="shared" si="199"/>
        <v>342224.55049208429</v>
      </c>
      <c r="G86" s="128">
        <f t="shared" si="199"/>
        <v>346856.12766001391</v>
      </c>
      <c r="H86" s="128">
        <f t="shared" si="199"/>
        <v>351550.38737667265</v>
      </c>
      <c r="I86" s="128">
        <f t="shared" si="199"/>
        <v>356308.17797120882</v>
      </c>
      <c r="J86" s="128">
        <f t="shared" si="199"/>
        <v>361130.35925383482</v>
      </c>
      <c r="K86" s="128">
        <f t="shared" si="199"/>
        <v>366017.8026712088</v>
      </c>
      <c r="L86" s="128">
        <f t="shared" si="199"/>
        <v>274518.82968329976</v>
      </c>
      <c r="M86" s="128">
        <f t="shared" si="199"/>
        <v>278234.09541131288</v>
      </c>
      <c r="N86" s="128">
        <f t="shared" si="199"/>
        <v>281999.64256973157</v>
      </c>
      <c r="O86" s="128">
        <f t="shared" si="199"/>
        <v>285816.15165422665</v>
      </c>
      <c r="P86" s="128">
        <f t="shared" si="199"/>
        <v>289684.31237011845</v>
      </c>
      <c r="Q86" s="128">
        <f t="shared" si="199"/>
        <v>293604.82375701814</v>
      </c>
      <c r="R86" s="128">
        <f t="shared" si="199"/>
        <v>297578.39431515511</v>
      </c>
      <c r="S86" s="128">
        <f t="shared" si="199"/>
        <v>301605.74213341495</v>
      </c>
      <c r="T86" s="128">
        <f t="shared" si="199"/>
        <v>305687.59501910937</v>
      </c>
      <c r="U86" s="128">
        <f t="shared" si="199"/>
        <v>309824.69062950328</v>
      </c>
      <c r="V86" s="128">
        <f t="shared" si="199"/>
        <v>314017.77660512109</v>
      </c>
      <c r="W86" s="128">
        <f t="shared" si="199"/>
        <v>318267.61070485768</v>
      </c>
      <c r="X86" s="128">
        <f t="shared" si="199"/>
        <v>322574.96094291797</v>
      </c>
      <c r="Y86" s="128">
        <f t="shared" si="199"/>
        <v>326940.60572760907</v>
      </c>
      <c r="Z86" s="128">
        <f t="shared" si="199"/>
        <v>331365.33400201175</v>
      </c>
      <c r="AA86" s="128">
        <f t="shared" si="199"/>
        <v>335849.94538655516</v>
      </c>
      <c r="AB86" s="128">
        <f t="shared" si="199"/>
        <v>340395.25032352161</v>
      </c>
      <c r="AC86" s="128">
        <f t="shared" si="199"/>
        <v>345002.07022350596</v>
      </c>
      <c r="AD86" s="128">
        <f t="shared" si="199"/>
        <v>349671.23761385831</v>
      </c>
      <c r="AE86" s="128">
        <f t="shared" si="199"/>
        <v>354403.59628913546</v>
      </c>
      <c r="AF86" s="128">
        <f t="shared" si="199"/>
        <v>359200.00146358792</v>
      </c>
      <c r="AG86" s="128">
        <f t="shared" si="199"/>
        <v>364061.31992571126</v>
      </c>
      <c r="AH86" s="128">
        <f t="shared" si="199"/>
        <v>368988.43019488896</v>
      </c>
      <c r="AI86" s="128">
        <f t="shared" si="199"/>
        <v>373982.22268015478</v>
      </c>
      <c r="AJ86" s="128">
        <f t="shared" si="199"/>
        <v>379043.59984110459</v>
      </c>
      <c r="AK86" s="128">
        <f t="shared" si="199"/>
        <v>384173.47635098564</v>
      </c>
      <c r="AL86" s="128">
        <f t="shared" si="199"/>
        <v>389372.77926199202</v>
      </c>
      <c r="AM86" s="128">
        <f t="shared" si="199"/>
        <v>394642.44817279937</v>
      </c>
      <c r="AN86" s="128">
        <f t="shared" si="199"/>
        <v>399983.43539836456</v>
      </c>
      <c r="AO86" s="128">
        <f t="shared" ref="AO86" si="200">AO62*number_of_victims_accident_PDO*AccidentCost_PDO</f>
        <v>405396.70614202489</v>
      </c>
    </row>
    <row r="87" spans="1:41" s="126" customFormat="1" x14ac:dyDescent="0.3">
      <c r="B87" s="132"/>
      <c r="C87" s="124"/>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row>
    <row r="88" spans="1:41" s="126" customFormat="1" x14ac:dyDescent="0.3">
      <c r="A88" s="219" t="s">
        <v>165</v>
      </c>
      <c r="B88" s="132"/>
      <c r="C88" s="124"/>
      <c r="D88" s="128"/>
      <c r="E88" s="128"/>
      <c r="F88" s="128"/>
      <c r="G88" s="128"/>
      <c r="H88" s="128"/>
      <c r="I88" s="130"/>
      <c r="J88" s="130"/>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130"/>
      <c r="AL88" s="130"/>
      <c r="AM88" s="130"/>
      <c r="AN88" s="130"/>
      <c r="AO88" s="130"/>
    </row>
    <row r="89" spans="1:41" s="126" customFormat="1" x14ac:dyDescent="0.3">
      <c r="A89" s="126" t="s">
        <v>348</v>
      </c>
      <c r="B89" s="133" t="s">
        <v>78</v>
      </c>
      <c r="C89" s="124"/>
      <c r="D89" s="128">
        <f t="shared" ref="D89:AN89" si="201">D66*number_of_victims_accident_Fatality*AccidentCost_Fatality</f>
        <v>1945984.7756382124</v>
      </c>
      <c r="E89" s="128">
        <f t="shared" si="201"/>
        <v>1972321.2224040125</v>
      </c>
      <c r="F89" s="128">
        <f t="shared" si="201"/>
        <v>1999014.0997220608</v>
      </c>
      <c r="G89" s="128">
        <f t="shared" si="201"/>
        <v>2026068.2314298216</v>
      </c>
      <c r="H89" s="128">
        <f t="shared" si="201"/>
        <v>2053488.5066493077</v>
      </c>
      <c r="I89" s="128">
        <f t="shared" si="201"/>
        <v>2081279.8806706253</v>
      </c>
      <c r="J89" s="128">
        <f t="shared" si="201"/>
        <v>2109447.3758474751</v>
      </c>
      <c r="K89" s="128">
        <f t="shared" si="201"/>
        <v>2137996.082504773</v>
      </c>
      <c r="L89" s="128">
        <f t="shared" si="201"/>
        <v>1971907.3554712862</v>
      </c>
      <c r="M89" s="128">
        <f t="shared" si="201"/>
        <v>1998594.6316229852</v>
      </c>
      <c r="N89" s="128">
        <f t="shared" si="201"/>
        <v>2025643.0863596827</v>
      </c>
      <c r="O89" s="128">
        <f t="shared" si="201"/>
        <v>2053057.6077774703</v>
      </c>
      <c r="P89" s="128">
        <f t="shared" si="201"/>
        <v>2080843.1501266488</v>
      </c>
      <c r="Q89" s="128">
        <f t="shared" si="201"/>
        <v>2109004.7347070407</v>
      </c>
      <c r="R89" s="128">
        <f t="shared" si="201"/>
        <v>2137547.4507754208</v>
      </c>
      <c r="S89" s="128">
        <f t="shared" si="201"/>
        <v>2166476.4564652294</v>
      </c>
      <c r="T89" s="128">
        <f t="shared" si="201"/>
        <v>2195796.9797187285</v>
      </c>
      <c r="U89" s="128">
        <f t="shared" si="201"/>
        <v>2225514.3192317779</v>
      </c>
      <c r="V89" s="128">
        <f t="shared" si="201"/>
        <v>2255633.8454113961</v>
      </c>
      <c r="W89" s="128">
        <f t="shared" si="201"/>
        <v>2286161.0013462775</v>
      </c>
      <c r="X89" s="128">
        <f t="shared" si="201"/>
        <v>2317101.303790452</v>
      </c>
      <c r="Y89" s="128">
        <f t="shared" si="201"/>
        <v>2348460.3441602457</v>
      </c>
      <c r="Z89" s="128">
        <f t="shared" si="201"/>
        <v>2380243.7895447472</v>
      </c>
      <c r="AA89" s="128">
        <f t="shared" si="201"/>
        <v>2412457.3837299393</v>
      </c>
      <c r="AB89" s="128">
        <f t="shared" si="201"/>
        <v>2445106.948236695</v>
      </c>
      <c r="AC89" s="128">
        <f t="shared" si="201"/>
        <v>2478198.3833728218</v>
      </c>
      <c r="AD89" s="128">
        <f t="shared" si="201"/>
        <v>2511737.669299345</v>
      </c>
      <c r="AE89" s="128">
        <f t="shared" si="201"/>
        <v>2545730.8671112149</v>
      </c>
      <c r="AF89" s="128">
        <f t="shared" si="201"/>
        <v>2580184.1199326506</v>
      </c>
      <c r="AG89" s="128">
        <f t="shared" si="201"/>
        <v>2615103.6540273004</v>
      </c>
      <c r="AH89" s="128">
        <f t="shared" si="201"/>
        <v>2650495.7799234306</v>
      </c>
      <c r="AI89" s="128">
        <f t="shared" si="201"/>
        <v>2686366.8935543359</v>
      </c>
      <c r="AJ89" s="128">
        <f t="shared" si="201"/>
        <v>2722723.4774141959</v>
      </c>
      <c r="AK89" s="128">
        <f t="shared" si="201"/>
        <v>2759572.1017295611</v>
      </c>
      <c r="AL89" s="128">
        <f t="shared" si="201"/>
        <v>2796919.4256467028</v>
      </c>
      <c r="AM89" s="128">
        <f t="shared" si="201"/>
        <v>2834772.1984350295</v>
      </c>
      <c r="AN89" s="128">
        <f t="shared" si="201"/>
        <v>2873137.2607067884</v>
      </c>
      <c r="AO89" s="128">
        <f t="shared" ref="AO89" si="202">AO66*number_of_victims_accident_Fatality*AccidentCost_Fatality</f>
        <v>2912021.5456532743</v>
      </c>
    </row>
    <row r="90" spans="1:41" s="126" customFormat="1" x14ac:dyDescent="0.3">
      <c r="A90" s="126" t="s">
        <v>344</v>
      </c>
      <c r="B90" s="133" t="s">
        <v>78</v>
      </c>
      <c r="C90" s="124"/>
      <c r="D90" s="128">
        <f t="shared" ref="D90:AN90" si="203">D67*number_of_victims_accident_incapacitating*AccidentCost_IncapacitatingInjury</f>
        <v>2138296.721090659</v>
      </c>
      <c r="E90" s="128">
        <f t="shared" si="203"/>
        <v>2167235.8672080892</v>
      </c>
      <c r="F90" s="128">
        <f t="shared" si="203"/>
        <v>2196566.6681270939</v>
      </c>
      <c r="G90" s="128">
        <f t="shared" si="203"/>
        <v>2226294.4244008744</v>
      </c>
      <c r="H90" s="128">
        <f t="shared" si="203"/>
        <v>2256424.5083189262</v>
      </c>
      <c r="I90" s="128">
        <f t="shared" si="203"/>
        <v>2286962.364877901</v>
      </c>
      <c r="J90" s="128">
        <f t="shared" si="203"/>
        <v>2317913.5127656031</v>
      </c>
      <c r="K90" s="128">
        <f t="shared" si="203"/>
        <v>2349283.5453583086</v>
      </c>
      <c r="L90" s="128">
        <f t="shared" si="203"/>
        <v>2166781.0998757374</v>
      </c>
      <c r="M90" s="128">
        <f t="shared" si="203"/>
        <v>2196105.7460931274</v>
      </c>
      <c r="N90" s="128">
        <f t="shared" si="203"/>
        <v>2225827.264369179</v>
      </c>
      <c r="O90" s="128">
        <f t="shared" si="203"/>
        <v>2255951.0258660796</v>
      </c>
      <c r="P90" s="128">
        <f t="shared" si="203"/>
        <v>2286482.4744379157</v>
      </c>
      <c r="Q90" s="128">
        <f t="shared" si="203"/>
        <v>2317427.1276144641</v>
      </c>
      <c r="R90" s="128">
        <f t="shared" si="203"/>
        <v>2348790.5775983022</v>
      </c>
      <c r="S90" s="128">
        <f t="shared" si="203"/>
        <v>2380578.4922754061</v>
      </c>
      <c r="T90" s="128">
        <f t="shared" si="203"/>
        <v>2412796.6162394322</v>
      </c>
      <c r="U90" s="128">
        <f t="shared" si="203"/>
        <v>2445450.7718298589</v>
      </c>
      <c r="V90" s="128">
        <f t="shared" si="203"/>
        <v>2478546.8601841773</v>
      </c>
      <c r="W90" s="128">
        <f t="shared" si="203"/>
        <v>2512090.8623043243</v>
      </c>
      <c r="X90" s="128">
        <f t="shared" si="203"/>
        <v>2546088.8401375432</v>
      </c>
      <c r="Y90" s="128">
        <f t="shared" si="203"/>
        <v>2580546.9376718816</v>
      </c>
      <c r="Z90" s="128">
        <f t="shared" si="203"/>
        <v>2615471.3820465067</v>
      </c>
      <c r="AA90" s="128">
        <f t="shared" si="203"/>
        <v>2650868.4846770507</v>
      </c>
      <c r="AB90" s="128">
        <f t="shared" si="203"/>
        <v>2686744.6423961869</v>
      </c>
      <c r="AC90" s="128">
        <f t="shared" si="203"/>
        <v>2723106.3386096423</v>
      </c>
      <c r="AD90" s="128">
        <f t="shared" si="203"/>
        <v>2759960.1444678535</v>
      </c>
      <c r="AE90" s="128">
        <f t="shared" si="203"/>
        <v>2797312.7200534809</v>
      </c>
      <c r="AF90" s="128">
        <f t="shared" si="203"/>
        <v>2835170.8155849953</v>
      </c>
      <c r="AG90" s="128">
        <f t="shared" si="203"/>
        <v>2873541.2726365495</v>
      </c>
      <c r="AH90" s="128">
        <f t="shared" si="203"/>
        <v>2912431.0253743636</v>
      </c>
      <c r="AI90" s="128">
        <f t="shared" si="203"/>
        <v>2951847.1018098439</v>
      </c>
      <c r="AJ90" s="128">
        <f t="shared" si="203"/>
        <v>2991796.6250696541</v>
      </c>
      <c r="AK90" s="128">
        <f t="shared" si="203"/>
        <v>3032286.8146829852</v>
      </c>
      <c r="AL90" s="128">
        <f t="shared" si="203"/>
        <v>3073324.9878862388</v>
      </c>
      <c r="AM90" s="128">
        <f t="shared" si="203"/>
        <v>3114918.5609453726</v>
      </c>
      <c r="AN90" s="128">
        <f t="shared" si="203"/>
        <v>3157075.0504961377</v>
      </c>
      <c r="AO90" s="128">
        <f t="shared" ref="AO90" si="204">AO67*number_of_victims_accident_incapacitating*AccidentCost_IncapacitatingInjury</f>
        <v>3199802.0749024604</v>
      </c>
    </row>
    <row r="91" spans="1:41" s="126" customFormat="1" x14ac:dyDescent="0.3">
      <c r="A91" s="126" t="s">
        <v>345</v>
      </c>
      <c r="B91" s="133" t="s">
        <v>78</v>
      </c>
      <c r="C91" s="124"/>
      <c r="D91" s="128">
        <f t="shared" ref="D91:AN91" si="205">D68*number_of_victims_accident_nonincapacitating*AccidentCost_NonIncapacitating_Injury</f>
        <v>1472526.6797254351</v>
      </c>
      <c r="E91" s="128">
        <f t="shared" si="205"/>
        <v>1492455.4689931159</v>
      </c>
      <c r="F91" s="128">
        <f t="shared" si="205"/>
        <v>1512653.969259683</v>
      </c>
      <c r="G91" s="128">
        <f t="shared" si="205"/>
        <v>1533125.8307229457</v>
      </c>
      <c r="H91" s="128">
        <f t="shared" si="205"/>
        <v>1553874.752981531</v>
      </c>
      <c r="I91" s="128">
        <f t="shared" si="205"/>
        <v>1574904.485703462</v>
      </c>
      <c r="J91" s="128">
        <f t="shared" si="205"/>
        <v>1596218.8293037843</v>
      </c>
      <c r="K91" s="128">
        <f t="shared" si="205"/>
        <v>1617821.6356313617</v>
      </c>
      <c r="L91" s="128">
        <f t="shared" si="205"/>
        <v>1492142.2958851221</v>
      </c>
      <c r="M91" s="128">
        <f t="shared" si="205"/>
        <v>1512336.5577491128</v>
      </c>
      <c r="N91" s="128">
        <f t="shared" si="205"/>
        <v>1532804.1234483717</v>
      </c>
      <c r="O91" s="128">
        <f t="shared" si="205"/>
        <v>1553548.6918052116</v>
      </c>
      <c r="P91" s="128">
        <f t="shared" si="205"/>
        <v>1574574.0117008348</v>
      </c>
      <c r="Q91" s="128">
        <f t="shared" si="205"/>
        <v>1595883.8827528171</v>
      </c>
      <c r="R91" s="128">
        <f t="shared" si="205"/>
        <v>1617482.1560017604</v>
      </c>
      <c r="S91" s="128">
        <f t="shared" si="205"/>
        <v>1639372.7346072386</v>
      </c>
      <c r="T91" s="128">
        <f t="shared" si="205"/>
        <v>1661559.5745531612</v>
      </c>
      <c r="U91" s="128">
        <f t="shared" si="205"/>
        <v>1684046.6853626859</v>
      </c>
      <c r="V91" s="128">
        <f t="shared" si="205"/>
        <v>1706838.1308228031</v>
      </c>
      <c r="W91" s="128">
        <f t="shared" si="205"/>
        <v>1729938.0297187283</v>
      </c>
      <c r="X91" s="128">
        <f t="shared" si="205"/>
        <v>1753350.5565782348</v>
      </c>
      <c r="Y91" s="128">
        <f t="shared" si="205"/>
        <v>1777079.9424260575</v>
      </c>
      <c r="Z91" s="128">
        <f t="shared" si="205"/>
        <v>1801130.47554851</v>
      </c>
      <c r="AA91" s="128">
        <f t="shared" si="205"/>
        <v>1825506.5022684447</v>
      </c>
      <c r="AB91" s="128">
        <f t="shared" si="205"/>
        <v>1850212.4277307068</v>
      </c>
      <c r="AC91" s="128">
        <f t="shared" si="205"/>
        <v>1875252.7166982144</v>
      </c>
      <c r="AD91" s="128">
        <f t="shared" si="205"/>
        <v>1900631.8943588142</v>
      </c>
      <c r="AE91" s="128">
        <f t="shared" si="205"/>
        <v>1926354.5471430561</v>
      </c>
      <c r="AF91" s="128">
        <f t="shared" si="205"/>
        <v>1952425.3235530362</v>
      </c>
      <c r="AG91" s="128">
        <f t="shared" si="205"/>
        <v>1978848.9350024578</v>
      </c>
      <c r="AH91" s="128">
        <f t="shared" si="205"/>
        <v>2005630.1566680591</v>
      </c>
      <c r="AI91" s="128">
        <f t="shared" si="205"/>
        <v>2032773.8283525652</v>
      </c>
      <c r="AJ91" s="128">
        <f t="shared" si="205"/>
        <v>2060284.8553593208</v>
      </c>
      <c r="AK91" s="128">
        <f t="shared" si="205"/>
        <v>2088168.2093787582</v>
      </c>
      <c r="AL91" s="128">
        <f t="shared" si="205"/>
        <v>2116428.9293868593</v>
      </c>
      <c r="AM91" s="128">
        <f t="shared" si="205"/>
        <v>2145072.1225557863</v>
      </c>
      <c r="AN91" s="128">
        <f t="shared" si="205"/>
        <v>2174102.9651768259</v>
      </c>
      <c r="AO91" s="128">
        <f t="shared" ref="AO91" si="206">AO68*number_of_victims_accident_nonincapacitating*AccidentCost_NonIncapacitating_Injury</f>
        <v>2203526.7035958325</v>
      </c>
    </row>
    <row r="92" spans="1:41" s="126" customFormat="1" x14ac:dyDescent="0.3">
      <c r="A92" s="126" t="s">
        <v>346</v>
      </c>
      <c r="B92" s="133" t="s">
        <v>78</v>
      </c>
      <c r="C92" s="124"/>
      <c r="D92" s="128">
        <f t="shared" ref="D92:AN92" si="207">D69*number_of_victims_accident_possibleInjry*AccidentCost_PossibleInjury</f>
        <v>107418.35961522932</v>
      </c>
      <c r="E92" s="128">
        <f t="shared" si="207"/>
        <v>108872.13147670147</v>
      </c>
      <c r="F92" s="128">
        <f t="shared" si="207"/>
        <v>110345.57830465774</v>
      </c>
      <c r="G92" s="128">
        <f t="shared" si="207"/>
        <v>111838.96637492614</v>
      </c>
      <c r="H92" s="128">
        <f t="shared" si="207"/>
        <v>113352.56556704178</v>
      </c>
      <c r="I92" s="128">
        <f t="shared" si="207"/>
        <v>114886.64941301852</v>
      </c>
      <c r="J92" s="128">
        <f t="shared" si="207"/>
        <v>116441.49514678062</v>
      </c>
      <c r="K92" s="128">
        <f t="shared" si="207"/>
        <v>118017.38375426346</v>
      </c>
      <c r="L92" s="128">
        <f t="shared" si="207"/>
        <v>108849.28602201499</v>
      </c>
      <c r="M92" s="128">
        <f t="shared" si="207"/>
        <v>110322.42366558878</v>
      </c>
      <c r="N92" s="128">
        <f t="shared" si="207"/>
        <v>111815.49836705448</v>
      </c>
      <c r="O92" s="128">
        <f t="shared" si="207"/>
        <v>113328.77994931635</v>
      </c>
      <c r="P92" s="128">
        <f t="shared" si="207"/>
        <v>114862.54188699101</v>
      </c>
      <c r="Q92" s="128">
        <f t="shared" si="207"/>
        <v>116417.06135582863</v>
      </c>
      <c r="R92" s="128">
        <f t="shared" si="207"/>
        <v>117992.61928280322</v>
      </c>
      <c r="S92" s="128">
        <f t="shared" si="207"/>
        <v>119589.50039688064</v>
      </c>
      <c r="T92" s="128">
        <f t="shared" si="207"/>
        <v>121207.99328047378</v>
      </c>
      <c r="U92" s="128">
        <f t="shared" si="207"/>
        <v>122848.39042159413</v>
      </c>
      <c r="V92" s="128">
        <f t="shared" si="207"/>
        <v>124510.98826670906</v>
      </c>
      <c r="W92" s="128">
        <f t="shared" si="207"/>
        <v>126196.08727431452</v>
      </c>
      <c r="X92" s="128">
        <f t="shared" si="207"/>
        <v>127903.99196923293</v>
      </c>
      <c r="Y92" s="128">
        <f t="shared" si="207"/>
        <v>129635.01099764554</v>
      </c>
      <c r="Z92" s="128">
        <f t="shared" si="207"/>
        <v>131389.45718287001</v>
      </c>
      <c r="AA92" s="128">
        <f t="shared" si="207"/>
        <v>133167.64758189261</v>
      </c>
      <c r="AB92" s="128">
        <f t="shared" si="207"/>
        <v>134969.90354266553</v>
      </c>
      <c r="AC92" s="128">
        <f t="shared" si="207"/>
        <v>136796.55076217977</v>
      </c>
      <c r="AD92" s="128">
        <f t="shared" si="207"/>
        <v>138647.91934532384</v>
      </c>
      <c r="AE92" s="128">
        <f t="shared" si="207"/>
        <v>140524.34386453906</v>
      </c>
      <c r="AF92" s="128">
        <f t="shared" si="207"/>
        <v>142426.1634202823</v>
      </c>
      <c r="AG92" s="128">
        <f t="shared" si="207"/>
        <v>144353.72170230697</v>
      </c>
      <c r="AH92" s="128">
        <f t="shared" si="207"/>
        <v>146307.36705177336</v>
      </c>
      <c r="AI92" s="128">
        <f t="shared" si="207"/>
        <v>148287.45252419935</v>
      </c>
      <c r="AJ92" s="128">
        <f t="shared" si="207"/>
        <v>150294.3359532636</v>
      </c>
      <c r="AK92" s="128">
        <f t="shared" si="207"/>
        <v>152328.38001547175</v>
      </c>
      <c r="AL92" s="128">
        <f t="shared" si="207"/>
        <v>154389.95229569796</v>
      </c>
      <c r="AM92" s="128">
        <f t="shared" si="207"/>
        <v>156479.42535361362</v>
      </c>
      <c r="AN92" s="128">
        <f t="shared" si="207"/>
        <v>158597.1767910147</v>
      </c>
      <c r="AO92" s="128">
        <f t="shared" ref="AO92" si="208">AO69*number_of_victims_accident_possibleInjry*AccidentCost_PossibleInjury</f>
        <v>160743.58932006071</v>
      </c>
    </row>
    <row r="93" spans="1:41" s="126" customFormat="1" x14ac:dyDescent="0.3">
      <c r="A93" s="126" t="s">
        <v>347</v>
      </c>
      <c r="B93" s="133" t="s">
        <v>78</v>
      </c>
      <c r="C93" s="124"/>
      <c r="D93" s="128">
        <f t="shared" ref="D93:AN93" si="209">D70*number_of_victims_accident_PDO*AccidentCost_PDO</f>
        <v>152088.4401400045</v>
      </c>
      <c r="E93" s="128">
        <f t="shared" si="209"/>
        <v>154146.76513698557</v>
      </c>
      <c r="F93" s="128">
        <f t="shared" si="209"/>
        <v>156232.94696377768</v>
      </c>
      <c r="G93" s="128">
        <f t="shared" si="209"/>
        <v>158347.36262739773</v>
      </c>
      <c r="H93" s="128">
        <f t="shared" si="209"/>
        <v>160490.39423717666</v>
      </c>
      <c r="I93" s="128">
        <f t="shared" si="209"/>
        <v>162662.42907381276</v>
      </c>
      <c r="J93" s="128">
        <f t="shared" si="209"/>
        <v>164863.85965935944</v>
      </c>
      <c r="K93" s="128">
        <f t="shared" si="209"/>
        <v>167095.0838281606</v>
      </c>
      <c r="L93" s="128">
        <f t="shared" si="209"/>
        <v>154114.4193668584</v>
      </c>
      <c r="M93" s="128">
        <f t="shared" si="209"/>
        <v>156200.16343449449</v>
      </c>
      <c r="N93" s="128">
        <f t="shared" si="209"/>
        <v>158314.13541444106</v>
      </c>
      <c r="O93" s="128">
        <f t="shared" si="209"/>
        <v>160456.71733584825</v>
      </c>
      <c r="P93" s="128">
        <f t="shared" si="209"/>
        <v>162628.29639814832</v>
      </c>
      <c r="Q93" s="128">
        <f t="shared" si="209"/>
        <v>164829.26504102876</v>
      </c>
      <c r="R93" s="128">
        <f t="shared" si="209"/>
        <v>167060.02101535304</v>
      </c>
      <c r="S93" s="128">
        <f t="shared" si="209"/>
        <v>169320.96745504002</v>
      </c>
      <c r="T93" s="128">
        <f t="shared" si="209"/>
        <v>171612.51294991723</v>
      </c>
      <c r="U93" s="128">
        <f t="shared" si="209"/>
        <v>173935.07161955963</v>
      </c>
      <c r="V93" s="128">
        <f t="shared" si="209"/>
        <v>176289.06318812768</v>
      </c>
      <c r="W93" s="128">
        <f t="shared" si="209"/>
        <v>178674.91306021836</v>
      </c>
      <c r="X93" s="128">
        <f t="shared" si="209"/>
        <v>181093.05239774278</v>
      </c>
      <c r="Y93" s="128">
        <f t="shared" si="209"/>
        <v>183543.91819784403</v>
      </c>
      <c r="Z93" s="128">
        <f t="shared" si="209"/>
        <v>186027.95337186972</v>
      </c>
      <c r="AA93" s="128">
        <f t="shared" si="209"/>
        <v>188545.60682541342</v>
      </c>
      <c r="AB93" s="128">
        <f t="shared" si="209"/>
        <v>191097.33353943893</v>
      </c>
      <c r="AC93" s="128">
        <f t="shared" si="209"/>
        <v>193683.59465250297</v>
      </c>
      <c r="AD93" s="128">
        <f t="shared" si="209"/>
        <v>196304.85754409034</v>
      </c>
      <c r="AE93" s="128">
        <f t="shared" si="209"/>
        <v>198961.59591907702</v>
      </c>
      <c r="AF93" s="128">
        <f t="shared" si="209"/>
        <v>201654.28989333633</v>
      </c>
      <c r="AG93" s="128">
        <f t="shared" si="209"/>
        <v>204383.4260805037</v>
      </c>
      <c r="AH93" s="128">
        <f t="shared" si="209"/>
        <v>207149.49767991572</v>
      </c>
      <c r="AI93" s="128">
        <f t="shared" si="209"/>
        <v>209953.00456573913</v>
      </c>
      <c r="AJ93" s="128">
        <f t="shared" si="209"/>
        <v>212794.45337730649</v>
      </c>
      <c r="AK93" s="128">
        <f t="shared" si="209"/>
        <v>215674.35761067385</v>
      </c>
      <c r="AL93" s="128">
        <f t="shared" si="209"/>
        <v>218593.23771141813</v>
      </c>
      <c r="AM93" s="128">
        <f t="shared" si="209"/>
        <v>221551.62116868977</v>
      </c>
      <c r="AN93" s="128">
        <f t="shared" si="209"/>
        <v>224550.04261053907</v>
      </c>
      <c r="AO93" s="128">
        <f t="shared" ref="AO93" si="210">AO70*number_of_victims_accident_PDO*AccidentCost_PDO</f>
        <v>227589.04390053175</v>
      </c>
    </row>
    <row r="94" spans="1:41" s="126" customFormat="1" x14ac:dyDescent="0.3">
      <c r="B94" s="132"/>
      <c r="C94" s="124"/>
      <c r="D94" s="128"/>
      <c r="E94" s="128"/>
      <c r="F94" s="128"/>
      <c r="G94" s="128"/>
      <c r="H94" s="128"/>
      <c r="I94" s="130"/>
      <c r="J94" s="130"/>
      <c r="K94" s="130"/>
      <c r="L94" s="130"/>
      <c r="M94" s="130"/>
      <c r="N94" s="130"/>
      <c r="O94" s="130"/>
      <c r="P94" s="130"/>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row>
    <row r="95" spans="1:41" s="126" customFormat="1" x14ac:dyDescent="0.3">
      <c r="A95" s="219" t="s">
        <v>166</v>
      </c>
      <c r="B95" s="132"/>
      <c r="C95" s="124"/>
      <c r="D95" s="128"/>
      <c r="E95" s="128"/>
      <c r="F95" s="128"/>
      <c r="G95" s="128"/>
      <c r="H95" s="128"/>
      <c r="I95" s="130"/>
      <c r="J95" s="130"/>
      <c r="K95" s="130"/>
      <c r="L95" s="130"/>
      <c r="M95" s="130"/>
      <c r="N95" s="130"/>
      <c r="O95" s="130"/>
      <c r="P95" s="130"/>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row>
    <row r="96" spans="1:41" s="126" customFormat="1" x14ac:dyDescent="0.3">
      <c r="A96" s="126" t="s">
        <v>348</v>
      </c>
      <c r="B96" s="133" t="s">
        <v>78</v>
      </c>
      <c r="C96" s="124"/>
      <c r="D96" s="128">
        <f t="shared" ref="D96:AN96" si="211">D74*number_of_victims_accident_Fatality*AccidentCost_Fatality</f>
        <v>972992.38781910622</v>
      </c>
      <c r="E96" s="128">
        <f t="shared" si="211"/>
        <v>986160.61120200623</v>
      </c>
      <c r="F96" s="128">
        <f t="shared" si="211"/>
        <v>999507.04986103042</v>
      </c>
      <c r="G96" s="128">
        <f t="shared" si="211"/>
        <v>1013034.1157149108</v>
      </c>
      <c r="H96" s="128">
        <f t="shared" si="211"/>
        <v>1026744.2533246538</v>
      </c>
      <c r="I96" s="128">
        <f t="shared" si="211"/>
        <v>1040639.9403353126</v>
      </c>
      <c r="J96" s="128">
        <f t="shared" si="211"/>
        <v>1054723.6879237376</v>
      </c>
      <c r="K96" s="128">
        <f t="shared" si="211"/>
        <v>1068998.0412523865</v>
      </c>
      <c r="L96" s="128">
        <f t="shared" si="211"/>
        <v>595906.0689611031</v>
      </c>
      <c r="M96" s="128">
        <f t="shared" si="211"/>
        <v>603970.9051607924</v>
      </c>
      <c r="N96" s="128">
        <f t="shared" si="211"/>
        <v>612144.88873506908</v>
      </c>
      <c r="O96" s="128">
        <f t="shared" si="211"/>
        <v>620429.49685582891</v>
      </c>
      <c r="P96" s="128">
        <f t="shared" si="211"/>
        <v>628826.22668662469</v>
      </c>
      <c r="Q96" s="128">
        <f t="shared" si="211"/>
        <v>637336.5956532266</v>
      </c>
      <c r="R96" s="128">
        <f t="shared" si="211"/>
        <v>645962.14171784697</v>
      </c>
      <c r="S96" s="128">
        <f t="shared" si="211"/>
        <v>654704.4236570748</v>
      </c>
      <c r="T96" s="128">
        <f t="shared" si="211"/>
        <v>663565.02134357183</v>
      </c>
      <c r="U96" s="128">
        <f t="shared" si="211"/>
        <v>672545.53603158135</v>
      </c>
      <c r="V96" s="128">
        <f t="shared" si="211"/>
        <v>681647.59064630105</v>
      </c>
      <c r="W96" s="128">
        <f t="shared" si="211"/>
        <v>690872.83007717191</v>
      </c>
      <c r="X96" s="128">
        <f t="shared" si="211"/>
        <v>700222.92147513665</v>
      </c>
      <c r="Y96" s="128">
        <f t="shared" si="211"/>
        <v>709699.5545539204</v>
      </c>
      <c r="Z96" s="128">
        <f t="shared" si="211"/>
        <v>719304.44189539063</v>
      </c>
      <c r="AA96" s="128">
        <f t="shared" si="211"/>
        <v>729039.31925904762</v>
      </c>
      <c r="AB96" s="128">
        <f t="shared" si="211"/>
        <v>738905.94589570444</v>
      </c>
      <c r="AC96" s="128">
        <f t="shared" si="211"/>
        <v>748906.10486541328</v>
      </c>
      <c r="AD96" s="128">
        <f t="shared" si="211"/>
        <v>759041.60335969215</v>
      </c>
      <c r="AE96" s="128">
        <f t="shared" si="211"/>
        <v>769314.27302811434</v>
      </c>
      <c r="AF96" s="128">
        <f t="shared" si="211"/>
        <v>779725.97030931746</v>
      </c>
      <c r="AG96" s="128">
        <f t="shared" si="211"/>
        <v>790278.57676649198</v>
      </c>
      <c r="AH96" s="128">
        <f t="shared" si="211"/>
        <v>800973.99942741031</v>
      </c>
      <c r="AI96" s="128">
        <f t="shared" si="211"/>
        <v>811814.17112905753</v>
      </c>
      <c r="AJ96" s="128">
        <f t="shared" si="211"/>
        <v>822801.05086692737</v>
      </c>
      <c r="AK96" s="128">
        <f t="shared" si="211"/>
        <v>833936.62414904311</v>
      </c>
      <c r="AL96" s="128">
        <f t="shared" si="211"/>
        <v>845222.90335477272</v>
      </c>
      <c r="AM96" s="128">
        <f t="shared" si="211"/>
        <v>856661.92809849791</v>
      </c>
      <c r="AN96" s="128">
        <f t="shared" si="211"/>
        <v>868255.76559820527</v>
      </c>
      <c r="AO96" s="128">
        <f t="shared" ref="AO96" si="212">AO74*number_of_victims_accident_Fatality*AccidentCost_Fatality</f>
        <v>880006.51104906655</v>
      </c>
    </row>
    <row r="97" spans="1:41" s="126" customFormat="1" x14ac:dyDescent="0.3">
      <c r="A97" s="126" t="s">
        <v>344</v>
      </c>
      <c r="B97" s="133" t="s">
        <v>78</v>
      </c>
      <c r="C97" s="124"/>
      <c r="D97" s="128">
        <f t="shared" ref="D97:AN97" si="213">D75*number_of_victims_accident_incapacitating*AccidentCost_IncapacitatingInjury</f>
        <v>1315874.9052865591</v>
      </c>
      <c r="E97" s="128">
        <f t="shared" si="213"/>
        <v>1333683.6105895932</v>
      </c>
      <c r="F97" s="128">
        <f t="shared" si="213"/>
        <v>1351733.3342320574</v>
      </c>
      <c r="G97" s="128">
        <f t="shared" si="213"/>
        <v>1370027.3380928454</v>
      </c>
      <c r="H97" s="128">
        <f t="shared" si="213"/>
        <v>1388568.9281962619</v>
      </c>
      <c r="I97" s="128">
        <f t="shared" si="213"/>
        <v>1407361.4553094767</v>
      </c>
      <c r="J97" s="128">
        <f t="shared" si="213"/>
        <v>1426408.3155480626</v>
      </c>
      <c r="K97" s="128">
        <f t="shared" si="213"/>
        <v>1445712.9509897276</v>
      </c>
      <c r="L97" s="128">
        <f t="shared" si="213"/>
        <v>805903.36766299582</v>
      </c>
      <c r="M97" s="128">
        <f t="shared" si="213"/>
        <v>816810.25213945564</v>
      </c>
      <c r="N97" s="128">
        <f t="shared" si="213"/>
        <v>827864.74752530747</v>
      </c>
      <c r="O97" s="128">
        <f t="shared" si="213"/>
        <v>839068.85154782305</v>
      </c>
      <c r="P97" s="128">
        <f t="shared" si="213"/>
        <v>850424.58897099143</v>
      </c>
      <c r="Q97" s="128">
        <f t="shared" si="213"/>
        <v>861934.01196142368</v>
      </c>
      <c r="R97" s="128">
        <f t="shared" si="213"/>
        <v>873599.20045921626</v>
      </c>
      <c r="S97" s="128">
        <f t="shared" si="213"/>
        <v>885422.26255382795</v>
      </c>
      <c r="T97" s="128">
        <f t="shared" si="213"/>
        <v>897405.33486504655</v>
      </c>
      <c r="U97" s="128">
        <f t="shared" si="213"/>
        <v>909550.5829291105</v>
      </c>
      <c r="V97" s="128">
        <f t="shared" si="213"/>
        <v>921860.20159005758</v>
      </c>
      <c r="W97" s="128">
        <f t="shared" si="213"/>
        <v>934336.4153963672</v>
      </c>
      <c r="X97" s="128">
        <f t="shared" si="213"/>
        <v>946981.47900297481</v>
      </c>
      <c r="Y97" s="128">
        <f t="shared" si="213"/>
        <v>959797.67757872213</v>
      </c>
      <c r="Z97" s="128">
        <f t="shared" si="213"/>
        <v>972787.32721932628</v>
      </c>
      <c r="AA97" s="128">
        <f t="shared" si="213"/>
        <v>985952.7753659361</v>
      </c>
      <c r="AB97" s="128">
        <f t="shared" si="213"/>
        <v>999296.40122935071</v>
      </c>
      <c r="AC97" s="128">
        <f t="shared" si="213"/>
        <v>1012820.6162199851</v>
      </c>
      <c r="AD97" s="128">
        <f t="shared" si="213"/>
        <v>1026527.8643836478</v>
      </c>
      <c r="AE97" s="128">
        <f t="shared" si="213"/>
        <v>1040420.622843222</v>
      </c>
      <c r="AF97" s="128">
        <f t="shared" si="213"/>
        <v>1054501.4022463211</v>
      </c>
      <c r="AG97" s="128">
        <f t="shared" si="213"/>
        <v>1068772.7472190037</v>
      </c>
      <c r="AH97" s="128">
        <f t="shared" si="213"/>
        <v>1083237.2368256298</v>
      </c>
      <c r="AI97" s="128">
        <f t="shared" si="213"/>
        <v>1097897.4850349375</v>
      </c>
      <c r="AJ97" s="128">
        <f t="shared" si="213"/>
        <v>1112756.1411924327</v>
      </c>
      <c r="AK97" s="128">
        <f t="shared" si="213"/>
        <v>1127815.890499166</v>
      </c>
      <c r="AL97" s="128">
        <f t="shared" si="213"/>
        <v>1143079.4544969946</v>
      </c>
      <c r="AM97" s="128">
        <f t="shared" si="213"/>
        <v>1158549.5915604085</v>
      </c>
      <c r="AN97" s="128">
        <f t="shared" si="213"/>
        <v>1174229.0973950129</v>
      </c>
      <c r="AO97" s="128">
        <f t="shared" ref="AO97" si="214">AO75*number_of_victims_accident_incapacitating*AccidentCost_IncapacitatingInjury</f>
        <v>1190120.8055427577</v>
      </c>
    </row>
    <row r="98" spans="1:41" s="126" customFormat="1" x14ac:dyDescent="0.3">
      <c r="A98" s="126" t="s">
        <v>345</v>
      </c>
      <c r="B98" s="133" t="s">
        <v>78</v>
      </c>
      <c r="C98" s="124"/>
      <c r="D98" s="128">
        <f t="shared" ref="D98:AN98" si="215">D76*number_of_victims_accident_nonincapacitating*AccidentCost_NonIncapacitating_Injury</f>
        <v>2524331.4509578887</v>
      </c>
      <c r="E98" s="128">
        <f t="shared" si="215"/>
        <v>2558495.0897024842</v>
      </c>
      <c r="F98" s="128">
        <f t="shared" si="215"/>
        <v>2593121.0901594572</v>
      </c>
      <c r="G98" s="128">
        <f t="shared" si="215"/>
        <v>2628215.7098107641</v>
      </c>
      <c r="H98" s="128">
        <f t="shared" si="215"/>
        <v>2663785.290825482</v>
      </c>
      <c r="I98" s="128">
        <f t="shared" si="215"/>
        <v>2699836.2612059349</v>
      </c>
      <c r="J98" s="128">
        <f t="shared" si="215"/>
        <v>2736375.1359493444</v>
      </c>
      <c r="K98" s="128">
        <f t="shared" si="215"/>
        <v>2773408.5182251916</v>
      </c>
      <c r="L98" s="128">
        <f t="shared" si="215"/>
        <v>1546018.7053126856</v>
      </c>
      <c r="M98" s="128">
        <f t="shared" si="215"/>
        <v>1566942.1163491593</v>
      </c>
      <c r="N98" s="128">
        <f t="shared" si="215"/>
        <v>1588148.6993342626</v>
      </c>
      <c r="O98" s="128">
        <f t="shared" si="215"/>
        <v>1609642.2866427624</v>
      </c>
      <c r="P98" s="128">
        <f t="shared" si="215"/>
        <v>1631426.7625157787</v>
      </c>
      <c r="Q98" s="128">
        <f t="shared" si="215"/>
        <v>1653506.0637627307</v>
      </c>
      <c r="R98" s="128">
        <f t="shared" si="215"/>
        <v>1675884.1804727819</v>
      </c>
      <c r="S98" s="128">
        <f t="shared" si="215"/>
        <v>1698565.1567359148</v>
      </c>
      <c r="T98" s="128">
        <f t="shared" si="215"/>
        <v>1721553.0913737623</v>
      </c>
      <c r="U98" s="128">
        <f t="shared" si="215"/>
        <v>1744852.1386803342</v>
      </c>
      <c r="V98" s="128">
        <f t="shared" si="215"/>
        <v>1768466.5091727632</v>
      </c>
      <c r="W98" s="128">
        <f t="shared" si="215"/>
        <v>1792400.4703522145</v>
      </c>
      <c r="X98" s="128">
        <f t="shared" si="215"/>
        <v>1816658.3474750938</v>
      </c>
      <c r="Y98" s="128">
        <f t="shared" si="215"/>
        <v>1841244.5243346908</v>
      </c>
      <c r="Z98" s="128">
        <f t="shared" si="215"/>
        <v>1866163.444053401</v>
      </c>
      <c r="AA98" s="128">
        <f t="shared" si="215"/>
        <v>1891419.6098856726</v>
      </c>
      <c r="AB98" s="128">
        <f t="shared" si="215"/>
        <v>1917017.5860318157</v>
      </c>
      <c r="AC98" s="128">
        <f t="shared" si="215"/>
        <v>1942961.9984628279</v>
      </c>
      <c r="AD98" s="128">
        <f t="shared" si="215"/>
        <v>1969257.535756385</v>
      </c>
      <c r="AE98" s="128">
        <f t="shared" si="215"/>
        <v>1995908.9499441395</v>
      </c>
      <c r="AF98" s="128">
        <f t="shared" si="215"/>
        <v>2022921.0573704925</v>
      </c>
      <c r="AG98" s="128">
        <f t="shared" si="215"/>
        <v>2050298.739562986</v>
      </c>
      <c r="AH98" s="128">
        <f t="shared" si="215"/>
        <v>2078046.9441144725</v>
      </c>
      <c r="AI98" s="128">
        <f t="shared" si="215"/>
        <v>2106170.6855772259</v>
      </c>
      <c r="AJ98" s="128">
        <f t="shared" si="215"/>
        <v>2134675.0463691549</v>
      </c>
      <c r="AK98" s="128">
        <f t="shared" si="215"/>
        <v>2163565.1776922769</v>
      </c>
      <c r="AL98" s="128">
        <f t="shared" si="215"/>
        <v>2192846.300463622</v>
      </c>
      <c r="AM98" s="128">
        <f t="shared" si="215"/>
        <v>2222523.7062587421</v>
      </c>
      <c r="AN98" s="128">
        <f t="shared" si="215"/>
        <v>2252602.7582679829</v>
      </c>
      <c r="AO98" s="128">
        <f t="shared" ref="AO98" si="216">AO76*number_of_victims_accident_nonincapacitating*AccidentCost_NonIncapacitating_Injury</f>
        <v>2283088.892265697</v>
      </c>
    </row>
    <row r="99" spans="1:41" s="126" customFormat="1" x14ac:dyDescent="0.3">
      <c r="A99" s="126" t="s">
        <v>346</v>
      </c>
      <c r="B99" s="133" t="s">
        <v>78</v>
      </c>
      <c r="C99" s="124"/>
      <c r="D99" s="128">
        <f t="shared" ref="D99:AN99" si="217">D77*number_of_victims_accident_possibleInjry*AccidentCost_PossibleInjury</f>
        <v>265189.07530009741</v>
      </c>
      <c r="E99" s="128">
        <f t="shared" si="217"/>
        <v>268778.07458310679</v>
      </c>
      <c r="F99" s="128">
        <f t="shared" si="217"/>
        <v>272415.64643962384</v>
      </c>
      <c r="G99" s="128">
        <f t="shared" si="217"/>
        <v>276102.44823809894</v>
      </c>
      <c r="H99" s="128">
        <f t="shared" si="217"/>
        <v>279839.14624363446</v>
      </c>
      <c r="I99" s="128">
        <f t="shared" si="217"/>
        <v>283626.41573838948</v>
      </c>
      <c r="J99" s="128">
        <f t="shared" si="217"/>
        <v>287464.94114361465</v>
      </c>
      <c r="K99" s="128">
        <f t="shared" si="217"/>
        <v>291355.41614333796</v>
      </c>
      <c r="L99" s="128">
        <f t="shared" si="217"/>
        <v>162414.19909534859</v>
      </c>
      <c r="M99" s="128">
        <f t="shared" si="217"/>
        <v>164612.27020157393</v>
      </c>
      <c r="N99" s="128">
        <f t="shared" si="217"/>
        <v>166840.089424743</v>
      </c>
      <c r="O99" s="128">
        <f t="shared" si="217"/>
        <v>169098.05936805616</v>
      </c>
      <c r="P99" s="128">
        <f t="shared" si="217"/>
        <v>171386.58808343954</v>
      </c>
      <c r="Q99" s="128">
        <f t="shared" si="217"/>
        <v>173706.08914528685</v>
      </c>
      <c r="R99" s="128">
        <f t="shared" si="217"/>
        <v>176056.98172519915</v>
      </c>
      <c r="S99" s="128">
        <f t="shared" si="217"/>
        <v>178439.6906677357</v>
      </c>
      <c r="T99" s="128">
        <f t="shared" si="217"/>
        <v>180854.64656719044</v>
      </c>
      <c r="U99" s="128">
        <f t="shared" si="217"/>
        <v>183302.28584540746</v>
      </c>
      <c r="V99" s="128">
        <f t="shared" si="217"/>
        <v>185783.05083064936</v>
      </c>
      <c r="W99" s="128">
        <f t="shared" si="217"/>
        <v>188297.38983753321</v>
      </c>
      <c r="X99" s="128">
        <f t="shared" si="217"/>
        <v>190845.75724804844</v>
      </c>
      <c r="Y99" s="128">
        <f t="shared" si="217"/>
        <v>193428.61359367101</v>
      </c>
      <c r="Z99" s="128">
        <f t="shared" si="217"/>
        <v>196046.4256385887</v>
      </c>
      <c r="AA99" s="128">
        <f t="shared" si="217"/>
        <v>198699.66646405339</v>
      </c>
      <c r="AB99" s="128">
        <f t="shared" si="217"/>
        <v>201388.81555387424</v>
      </c>
      <c r="AC99" s="128">
        <f t="shared" si="217"/>
        <v>204114.35888106839</v>
      </c>
      <c r="AD99" s="128">
        <f t="shared" si="217"/>
        <v>206876.7889956841</v>
      </c>
      <c r="AE99" s="128">
        <f t="shared" si="217"/>
        <v>209676.60511381252</v>
      </c>
      <c r="AF99" s="128">
        <f t="shared" si="217"/>
        <v>212514.31320780446</v>
      </c>
      <c r="AG99" s="128">
        <f t="shared" si="217"/>
        <v>215390.42609770733</v>
      </c>
      <c r="AH99" s="128">
        <f t="shared" si="217"/>
        <v>218305.4635439406</v>
      </c>
      <c r="AI99" s="128">
        <f t="shared" si="217"/>
        <v>221259.95234122459</v>
      </c>
      <c r="AJ99" s="128">
        <f t="shared" si="217"/>
        <v>224254.42641378098</v>
      </c>
      <c r="AK99" s="128">
        <f t="shared" si="217"/>
        <v>227289.42691182165</v>
      </c>
      <c r="AL99" s="128">
        <f t="shared" si="217"/>
        <v>230365.50230934328</v>
      </c>
      <c r="AM99" s="128">
        <f t="shared" si="217"/>
        <v>233483.20850324555</v>
      </c>
      <c r="AN99" s="128">
        <f t="shared" si="217"/>
        <v>236643.10891379073</v>
      </c>
      <c r="AO99" s="128">
        <f t="shared" ref="AO99" si="218">AO77*number_of_victims_accident_possibleInjry*AccidentCost_PossibleInjury</f>
        <v>239845.77458642295</v>
      </c>
    </row>
    <row r="100" spans="1:41" s="126" customFormat="1" x14ac:dyDescent="0.3">
      <c r="A100" s="126" t="s">
        <v>347</v>
      </c>
      <c r="B100" s="133" t="s">
        <v>78</v>
      </c>
      <c r="C100" s="124"/>
      <c r="D100" s="128">
        <f t="shared" ref="D100:AN100" si="219">D78*number_of_victims_accident_PDO*AccidentCost_PDO</f>
        <v>305987.45694834227</v>
      </c>
      <c r="E100" s="128">
        <f t="shared" si="219"/>
        <v>310128.61081131618</v>
      </c>
      <c r="F100" s="128">
        <f t="shared" si="219"/>
        <v>314325.80996283836</v>
      </c>
      <c r="G100" s="128">
        <f t="shared" si="219"/>
        <v>318579.81290512148</v>
      </c>
      <c r="H100" s="128">
        <f t="shared" si="219"/>
        <v>322891.38840574818</v>
      </c>
      <c r="I100" s="128">
        <f t="shared" si="219"/>
        <v>327261.31563659938</v>
      </c>
      <c r="J100" s="128">
        <f t="shared" si="219"/>
        <v>331690.38431466353</v>
      </c>
      <c r="K100" s="128">
        <f t="shared" si="219"/>
        <v>336179.39484475157</v>
      </c>
      <c r="L100" s="128">
        <f t="shared" si="219"/>
        <v>187401.03715527846</v>
      </c>
      <c r="M100" s="128">
        <f t="shared" si="219"/>
        <v>189937.27356405355</v>
      </c>
      <c r="N100" s="128">
        <f t="shared" si="219"/>
        <v>192507.83473014503</v>
      </c>
      <c r="O100" s="128">
        <f t="shared" si="219"/>
        <v>195113.18519580175</v>
      </c>
      <c r="P100" s="128">
        <f t="shared" si="219"/>
        <v>197753.79579026526</v>
      </c>
      <c r="Q100" s="128">
        <f t="shared" si="219"/>
        <v>200430.14371485636</v>
      </c>
      <c r="R100" s="128">
        <f t="shared" si="219"/>
        <v>203142.7126292132</v>
      </c>
      <c r="S100" s="128">
        <f t="shared" si="219"/>
        <v>205891.99273869648</v>
      </c>
      <c r="T100" s="128">
        <f t="shared" si="219"/>
        <v>208678.48088297751</v>
      </c>
      <c r="U100" s="128">
        <f t="shared" si="219"/>
        <v>211502.68062582496</v>
      </c>
      <c r="V100" s="128">
        <f t="shared" si="219"/>
        <v>214365.10234610751</v>
      </c>
      <c r="W100" s="128">
        <f t="shared" si="219"/>
        <v>217266.26333002737</v>
      </c>
      <c r="X100" s="128">
        <f t="shared" si="219"/>
        <v>220206.68786460211</v>
      </c>
      <c r="Y100" s="128">
        <f t="shared" si="219"/>
        <v>223186.90733241226</v>
      </c>
      <c r="Z100" s="128">
        <f t="shared" si="219"/>
        <v>226207.46030763059</v>
      </c>
      <c r="AA100" s="128">
        <f t="shared" si="219"/>
        <v>229268.89265335124</v>
      </c>
      <c r="AB100" s="128">
        <f t="shared" si="219"/>
        <v>232371.75762023602</v>
      </c>
      <c r="AC100" s="128">
        <f t="shared" si="219"/>
        <v>235516.61594649585</v>
      </c>
      <c r="AD100" s="128">
        <f t="shared" si="219"/>
        <v>238704.03595922538</v>
      </c>
      <c r="AE100" s="128">
        <f t="shared" si="219"/>
        <v>241934.59367710887</v>
      </c>
      <c r="AF100" s="128">
        <f t="shared" si="219"/>
        <v>245208.87291451602</v>
      </c>
      <c r="AG100" s="128">
        <f t="shared" si="219"/>
        <v>248527.46538700693</v>
      </c>
      <c r="AH100" s="128">
        <f t="shared" si="219"/>
        <v>251890.9708182647</v>
      </c>
      <c r="AI100" s="128">
        <f t="shared" si="219"/>
        <v>255299.9970484752</v>
      </c>
      <c r="AJ100" s="128">
        <f t="shared" si="219"/>
        <v>258755.16014417357</v>
      </c>
      <c r="AK100" s="128">
        <f t="shared" si="219"/>
        <v>262257.08450957778</v>
      </c>
      <c r="AL100" s="128">
        <f t="shared" si="219"/>
        <v>265806.40299942833</v>
      </c>
      <c r="AM100" s="128">
        <f t="shared" si="219"/>
        <v>269403.75703335565</v>
      </c>
      <c r="AN100" s="128">
        <f t="shared" si="219"/>
        <v>273049.7967117948</v>
      </c>
      <c r="AO100" s="128">
        <f t="shared" ref="AO100" si="220">AO78*number_of_victims_accident_PDO*AccidentCost_PDO</f>
        <v>276745.18093346956</v>
      </c>
    </row>
    <row r="101" spans="1:41" s="126" customFormat="1" x14ac:dyDescent="0.3">
      <c r="B101" s="132"/>
      <c r="C101" s="124"/>
      <c r="D101" s="128"/>
      <c r="E101" s="128"/>
      <c r="F101" s="128"/>
      <c r="G101" s="128"/>
      <c r="H101" s="128"/>
      <c r="I101" s="130"/>
      <c r="J101" s="130"/>
      <c r="K101" s="130"/>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row>
    <row r="102" spans="1:41" x14ac:dyDescent="0.3">
      <c r="A102" s="167" t="s">
        <v>167</v>
      </c>
      <c r="B102" s="133" t="s">
        <v>78</v>
      </c>
      <c r="C102" s="95"/>
      <c r="D102" s="224">
        <f>SUM(D82:D86,D89:D93,D96:D100)</f>
        <v>23290357.432654966</v>
      </c>
      <c r="E102" s="224">
        <f>SUM(E82:E86,E89:E93,E96:E100)</f>
        <v>23605563.012041058</v>
      </c>
      <c r="F102" s="224">
        <f t="shared" ref="F102:AN102" si="221">SUM(F82:F86,F89:F93,F96:F100)</f>
        <v>23925034.500937715</v>
      </c>
      <c r="G102" s="224">
        <f t="shared" si="221"/>
        <v>24248829.633043628</v>
      </c>
      <c r="H102" s="224">
        <f t="shared" si="221"/>
        <v>24577006.923410237</v>
      </c>
      <c r="I102" s="224">
        <f t="shared" si="221"/>
        <v>24909625.679016273</v>
      </c>
      <c r="J102" s="224">
        <f t="shared" si="221"/>
        <v>25246746.009485591</v>
      </c>
      <c r="K102" s="224">
        <f t="shared" si="221"/>
        <v>25588428.837949876</v>
      </c>
      <c r="L102" s="224">
        <f t="shared" si="221"/>
        <v>19153557.205503605</v>
      </c>
      <c r="M102" s="224">
        <f t="shared" si="221"/>
        <v>19412776.417305004</v>
      </c>
      <c r="N102" s="224">
        <f t="shared" si="221"/>
        <v>19675503.833825029</v>
      </c>
      <c r="O102" s="224">
        <f t="shared" si="221"/>
        <v>19941786.934184778</v>
      </c>
      <c r="P102" s="224">
        <f t="shared" si="221"/>
        <v>20211673.840075318</v>
      </c>
      <c r="Q102" s="224">
        <f t="shared" si="221"/>
        <v>20485213.324454006</v>
      </c>
      <c r="R102" s="224">
        <f t="shared" si="221"/>
        <v>20762454.820358619</v>
      </c>
      <c r="S102" s="224">
        <f t="shared" si="221"/>
        <v>21043448.429840676</v>
      </c>
      <c r="T102" s="224">
        <f t="shared" si="221"/>
        <v>21328244.933019679</v>
      </c>
      <c r="U102" s="224">
        <f t="shared" si="221"/>
        <v>21616895.797259971</v>
      </c>
      <c r="V102" s="224">
        <f t="shared" si="221"/>
        <v>21909453.186471649</v>
      </c>
      <c r="W102" s="224">
        <f t="shared" si="221"/>
        <v>22205969.970537461</v>
      </c>
      <c r="X102" s="224">
        <f t="shared" si="221"/>
        <v>22506499.734867305</v>
      </c>
      <c r="Y102" s="224">
        <f t="shared" si="221"/>
        <v>22811096.790081903</v>
      </c>
      <c r="Z102" s="224">
        <f t="shared" si="221"/>
        <v>23119816.181827642</v>
      </c>
      <c r="AA102" s="224">
        <f t="shared" si="221"/>
        <v>23432713.700724263</v>
      </c>
      <c r="AB102" s="224">
        <f t="shared" si="221"/>
        <v>23749845.892447062</v>
      </c>
      <c r="AC102" s="224">
        <f t="shared" si="221"/>
        <v>24071270.067945685</v>
      </c>
      <c r="AD102" s="224">
        <f t="shared" si="221"/>
        <v>24397044.313801099</v>
      </c>
      <c r="AE102" s="224">
        <f t="shared" si="221"/>
        <v>24727227.502722781</v>
      </c>
      <c r="AF102" s="224">
        <f t="shared" si="221"/>
        <v>25061879.304188039</v>
      </c>
      <c r="AG102" s="224">
        <f t="shared" si="221"/>
        <v>25401060.195225157</v>
      </c>
      <c r="AH102" s="224">
        <f t="shared" si="221"/>
        <v>25744831.471342698</v>
      </c>
      <c r="AI102" s="224">
        <f t="shared" si="221"/>
        <v>26093255.257606458</v>
      </c>
      <c r="AJ102" s="224">
        <f t="shared" si="221"/>
        <v>26446394.519866619</v>
      </c>
      <c r="AK102" s="224">
        <f t="shared" si="221"/>
        <v>26804313.076136604</v>
      </c>
      <c r="AL102" s="224">
        <f t="shared" si="221"/>
        <v>27167075.608126085</v>
      </c>
      <c r="AM102" s="224">
        <f t="shared" si="221"/>
        <v>27534747.672930002</v>
      </c>
      <c r="AN102" s="224">
        <f t="shared" si="221"/>
        <v>27907395.714875773</v>
      </c>
      <c r="AO102" s="224">
        <f t="shared" ref="AO102" si="222">SUM(AO82:AO86,AO89:AO93,AO96:AO100)</f>
        <v>28285087.077530902</v>
      </c>
    </row>
    <row r="104" spans="1:41" x14ac:dyDescent="0.3">
      <c r="A104" s="102" t="s">
        <v>77</v>
      </c>
      <c r="B104" s="104" t="s">
        <v>1</v>
      </c>
      <c r="C104" s="105"/>
      <c r="D104" s="97">
        <f>Base.Year</f>
        <v>2019</v>
      </c>
      <c r="E104" s="97">
        <f t="shared" ref="E104" si="223">D104+1</f>
        <v>2020</v>
      </c>
      <c r="F104" s="97">
        <f t="shared" ref="F104" si="224">E104+1</f>
        <v>2021</v>
      </c>
      <c r="G104" s="97">
        <f t="shared" ref="G104" si="225">F104+1</f>
        <v>2022</v>
      </c>
      <c r="H104" s="97">
        <f t="shared" ref="H104" si="226">G104+1</f>
        <v>2023</v>
      </c>
      <c r="I104" s="97">
        <f t="shared" ref="I104" si="227">H104+1</f>
        <v>2024</v>
      </c>
      <c r="J104" s="97">
        <f t="shared" ref="J104" si="228">I104+1</f>
        <v>2025</v>
      </c>
      <c r="K104" s="97">
        <f t="shared" ref="K104:L104" si="229">J104+1</f>
        <v>2026</v>
      </c>
      <c r="L104" s="97">
        <f t="shared" si="229"/>
        <v>2027</v>
      </c>
      <c r="M104" s="97">
        <f t="shared" ref="M104" si="230">L104+1</f>
        <v>2028</v>
      </c>
      <c r="N104" s="97">
        <f t="shared" ref="N104" si="231">M104+1</f>
        <v>2029</v>
      </c>
      <c r="O104" s="97">
        <f t="shared" ref="O104" si="232">N104+1</f>
        <v>2030</v>
      </c>
      <c r="P104" s="97">
        <f t="shared" ref="P104" si="233">O104+1</f>
        <v>2031</v>
      </c>
      <c r="Q104" s="97">
        <f t="shared" ref="Q104" si="234">P104+1</f>
        <v>2032</v>
      </c>
      <c r="R104" s="97">
        <f t="shared" ref="R104" si="235">Q104+1</f>
        <v>2033</v>
      </c>
      <c r="S104" s="97">
        <f t="shared" ref="S104" si="236">R104+1</f>
        <v>2034</v>
      </c>
      <c r="T104" s="97">
        <f t="shared" ref="T104" si="237">S104+1</f>
        <v>2035</v>
      </c>
      <c r="U104" s="97">
        <f t="shared" ref="U104" si="238">T104+1</f>
        <v>2036</v>
      </c>
      <c r="V104" s="97">
        <f t="shared" ref="V104" si="239">U104+1</f>
        <v>2037</v>
      </c>
      <c r="W104" s="97">
        <f t="shared" ref="W104" si="240">V104+1</f>
        <v>2038</v>
      </c>
      <c r="X104" s="97">
        <f t="shared" ref="X104" si="241">W104+1</f>
        <v>2039</v>
      </c>
      <c r="Y104" s="97">
        <f t="shared" ref="Y104" si="242">X104+1</f>
        <v>2040</v>
      </c>
      <c r="Z104" s="97">
        <f t="shared" ref="Z104" si="243">Y104+1</f>
        <v>2041</v>
      </c>
      <c r="AA104" s="97">
        <f t="shared" ref="AA104" si="244">Z104+1</f>
        <v>2042</v>
      </c>
      <c r="AB104" s="97">
        <f t="shared" ref="AB104" si="245">AA104+1</f>
        <v>2043</v>
      </c>
      <c r="AC104" s="97">
        <f t="shared" ref="AC104" si="246">AB104+1</f>
        <v>2044</v>
      </c>
      <c r="AD104" s="97">
        <f t="shared" ref="AD104" si="247">AC104+1</f>
        <v>2045</v>
      </c>
      <c r="AE104" s="97">
        <f t="shared" ref="AE104" si="248">AD104+1</f>
        <v>2046</v>
      </c>
      <c r="AF104" s="97">
        <f t="shared" ref="AF104" si="249">AE104+1</f>
        <v>2047</v>
      </c>
      <c r="AG104" s="97">
        <f t="shared" ref="AG104" si="250">AF104+1</f>
        <v>2048</v>
      </c>
      <c r="AH104" s="97">
        <f t="shared" ref="AH104" si="251">AG104+1</f>
        <v>2049</v>
      </c>
      <c r="AI104" s="97">
        <f t="shared" ref="AI104" si="252">AH104+1</f>
        <v>2050</v>
      </c>
      <c r="AJ104" s="97">
        <f t="shared" ref="AJ104" si="253">AI104+1</f>
        <v>2051</v>
      </c>
      <c r="AK104" s="97">
        <f t="shared" ref="AK104" si="254">AJ104+1</f>
        <v>2052</v>
      </c>
      <c r="AL104" s="97">
        <f t="shared" ref="AL104" si="255">AK104+1</f>
        <v>2053</v>
      </c>
      <c r="AM104" s="97">
        <f t="shared" ref="AM104" si="256">AL104+1</f>
        <v>2054</v>
      </c>
      <c r="AN104" s="97">
        <f t="shared" ref="AN104:AO104" si="257">AM104+1</f>
        <v>2055</v>
      </c>
      <c r="AO104" s="97">
        <f t="shared" si="257"/>
        <v>2056</v>
      </c>
    </row>
    <row r="105" spans="1:41" x14ac:dyDescent="0.3">
      <c r="A105" s="108" t="s">
        <v>72</v>
      </c>
      <c r="B105" s="133" t="s">
        <v>78</v>
      </c>
      <c r="D105" s="140">
        <f>D54-D102</f>
        <v>0</v>
      </c>
      <c r="E105" s="140">
        <f>E54-E102</f>
        <v>0</v>
      </c>
      <c r="F105" s="140">
        <f t="shared" ref="F105:AA105" si="258">F54-F102</f>
        <v>0</v>
      </c>
      <c r="G105" s="140">
        <f t="shared" si="258"/>
        <v>0</v>
      </c>
      <c r="H105" s="1">
        <f t="shared" si="258"/>
        <v>0</v>
      </c>
      <c r="I105" s="1">
        <f t="shared" si="258"/>
        <v>0</v>
      </c>
      <c r="J105" s="1">
        <f t="shared" si="258"/>
        <v>0</v>
      </c>
      <c r="K105" s="1">
        <f>K54-K102</f>
        <v>0</v>
      </c>
      <c r="L105" s="1">
        <f t="shared" si="258"/>
        <v>6781178.7065548524</v>
      </c>
      <c r="M105" s="1">
        <f t="shared" si="258"/>
        <v>6872953.3978321739</v>
      </c>
      <c r="N105" s="1">
        <f t="shared" si="258"/>
        <v>6965970.1436730921</v>
      </c>
      <c r="O105" s="1">
        <f t="shared" si="258"/>
        <v>7060245.7537177987</v>
      </c>
      <c r="P105" s="1">
        <f t="shared" si="258"/>
        <v>7155797.2651037239</v>
      </c>
      <c r="Q105" s="1">
        <f t="shared" si="258"/>
        <v>7252641.9455444887</v>
      </c>
      <c r="R105" s="1">
        <f t="shared" si="258"/>
        <v>7350797.2964503504</v>
      </c>
      <c r="S105" s="1">
        <f t="shared" si="258"/>
        <v>7450281.0560910963</v>
      </c>
      <c r="T105" s="1">
        <f t="shared" si="258"/>
        <v>7551111.2028015964</v>
      </c>
      <c r="U105" s="1">
        <f t="shared" si="258"/>
        <v>7653305.9582307637</v>
      </c>
      <c r="V105" s="1">
        <f t="shared" si="258"/>
        <v>7756883.7906345204</v>
      </c>
      <c r="W105" s="1">
        <f t="shared" si="258"/>
        <v>7861863.4182133414</v>
      </c>
      <c r="X105" s="1">
        <f t="shared" si="258"/>
        <v>7968263.8124948815</v>
      </c>
      <c r="Y105" s="1">
        <f t="shared" si="258"/>
        <v>8076104.2017624527</v>
      </c>
      <c r="Z105" s="1">
        <f t="shared" si="258"/>
        <v>8185404.0745299719</v>
      </c>
      <c r="AA105" s="1">
        <f t="shared" si="258"/>
        <v>8296183.1830637008</v>
      </c>
      <c r="AB105" s="1">
        <f t="shared" ref="AB105:AF105" si="259">AB54-AB102</f>
        <v>8408461.5469519421</v>
      </c>
      <c r="AC105" s="1">
        <f t="shared" si="259"/>
        <v>8522259.4567228146</v>
      </c>
      <c r="AD105" s="1">
        <f t="shared" si="259"/>
        <v>8637597.477511134</v>
      </c>
      <c r="AE105" s="1">
        <f t="shared" si="259"/>
        <v>8754496.4527748451</v>
      </c>
      <c r="AF105" s="1">
        <f t="shared" si="259"/>
        <v>8872977.5080617554</v>
      </c>
      <c r="AG105" s="1">
        <f t="shared" ref="AG105:AH105" si="260">AG54-AG102</f>
        <v>8993062.0548273399</v>
      </c>
      <c r="AH105" s="1">
        <f t="shared" si="260"/>
        <v>9114771.7943039909</v>
      </c>
      <c r="AI105" s="1">
        <f t="shared" ref="AI105:AN105" si="261">AI54-AI102</f>
        <v>9238128.7214230038</v>
      </c>
      <c r="AJ105" s="1">
        <f t="shared" si="261"/>
        <v>9363155.1287891977</v>
      </c>
      <c r="AK105" s="1">
        <f t="shared" si="261"/>
        <v>9489873.6107097119</v>
      </c>
      <c r="AL105" s="1">
        <f t="shared" si="261"/>
        <v>9618307.0672770552</v>
      </c>
      <c r="AM105" s="1">
        <f t="shared" si="261"/>
        <v>9748478.7085075751</v>
      </c>
      <c r="AN105" s="1">
        <f t="shared" si="261"/>
        <v>9880412.0585359409</v>
      </c>
      <c r="AO105" s="1">
        <f t="shared" ref="AO105" si="262">AO54-AO102</f>
        <v>10014130.959866229</v>
      </c>
    </row>
    <row r="106" spans="1:41" x14ac:dyDescent="0.3">
      <c r="A106" s="108" t="s">
        <v>73</v>
      </c>
      <c r="B106" s="133" t="s">
        <v>78</v>
      </c>
      <c r="D106" s="1">
        <f t="shared" ref="D106:AN106" si="263">D105*D6</f>
        <v>0</v>
      </c>
      <c r="E106" s="1">
        <f t="shared" si="263"/>
        <v>0</v>
      </c>
      <c r="F106" s="1">
        <f t="shared" si="263"/>
        <v>0</v>
      </c>
      <c r="G106" s="1">
        <f t="shared" si="263"/>
        <v>0</v>
      </c>
      <c r="H106" s="1">
        <f t="shared" si="263"/>
        <v>0</v>
      </c>
      <c r="I106" s="1">
        <f t="shared" si="263"/>
        <v>0</v>
      </c>
      <c r="J106" s="1">
        <f t="shared" si="263"/>
        <v>0</v>
      </c>
      <c r="K106" s="1">
        <f t="shared" si="263"/>
        <v>0</v>
      </c>
      <c r="L106" s="1">
        <f t="shared" si="263"/>
        <v>3946707.7468974949</v>
      </c>
      <c r="M106" s="1">
        <f t="shared" si="263"/>
        <v>3738431.2642892916</v>
      </c>
      <c r="N106" s="1">
        <f t="shared" si="263"/>
        <v>3541145.9915677947</v>
      </c>
      <c r="O106" s="1">
        <f t="shared" si="263"/>
        <v>3354271.8983173734</v>
      </c>
      <c r="P106" s="1">
        <f t="shared" si="263"/>
        <v>3177259.5636081998</v>
      </c>
      <c r="Q106" s="1">
        <f t="shared" si="263"/>
        <v>3009588.5606661178</v>
      </c>
      <c r="R106" s="1">
        <f t="shared" si="263"/>
        <v>2850765.9267869857</v>
      </c>
      <c r="S106" s="1">
        <f t="shared" si="263"/>
        <v>2700324.7139970935</v>
      </c>
      <c r="T106" s="1">
        <f t="shared" si="263"/>
        <v>2557822.6161983833</v>
      </c>
      <c r="U106" s="1">
        <f t="shared" si="263"/>
        <v>2422840.6687622466</v>
      </c>
      <c r="V106" s="1">
        <f t="shared" si="263"/>
        <v>2294982.0167486537</v>
      </c>
      <c r="W106" s="1">
        <f t="shared" si="263"/>
        <v>2173870.7481290717</v>
      </c>
      <c r="X106" s="1">
        <f t="shared" si="263"/>
        <v>2059150.7885827629</v>
      </c>
      <c r="Y106" s="1">
        <f t="shared" si="263"/>
        <v>1950484.8546171477</v>
      </c>
      <c r="Z106" s="1">
        <f t="shared" si="263"/>
        <v>1847553.461934329</v>
      </c>
      <c r="AA106" s="1">
        <f t="shared" si="263"/>
        <v>1750053.986128249</v>
      </c>
      <c r="AB106" s="1">
        <f t="shared" si="263"/>
        <v>1657699.7729510029</v>
      </c>
      <c r="AC106" s="1">
        <f t="shared" si="263"/>
        <v>1570219.2955323069</v>
      </c>
      <c r="AD106" s="1">
        <f t="shared" si="263"/>
        <v>1487355.3560743907</v>
      </c>
      <c r="AE106" s="1">
        <f t="shared" si="263"/>
        <v>1408864.3296751934</v>
      </c>
      <c r="AF106" s="1">
        <f t="shared" si="263"/>
        <v>1334515.4480566881</v>
      </c>
      <c r="AG106" s="1">
        <f t="shared" si="263"/>
        <v>1264090.1210924494</v>
      </c>
      <c r="AH106" s="1">
        <f t="shared" si="263"/>
        <v>1197381.2941396832</v>
      </c>
      <c r="AI106" s="1">
        <f t="shared" si="263"/>
        <v>1134192.8392863143</v>
      </c>
      <c r="AJ106" s="1">
        <f t="shared" si="263"/>
        <v>1074338.9787232499</v>
      </c>
      <c r="AK106" s="1">
        <f t="shared" si="263"/>
        <v>1017643.7385466084</v>
      </c>
      <c r="AL106" s="1">
        <f t="shared" si="263"/>
        <v>963940.43138398323</v>
      </c>
      <c r="AM106" s="1">
        <f t="shared" si="263"/>
        <v>913071.16632367554</v>
      </c>
      <c r="AN106" s="1">
        <f t="shared" si="263"/>
        <v>864886.38470604515</v>
      </c>
      <c r="AO106" s="1">
        <f t="shared" ref="AO106" si="264">AO105*AO6</f>
        <v>819244.42041215859</v>
      </c>
    </row>
    <row r="107" spans="1:41" x14ac:dyDescent="0.3">
      <c r="A107" s="108" t="s">
        <v>74</v>
      </c>
      <c r="B107" s="133" t="s">
        <v>78</v>
      </c>
      <c r="D107" s="1">
        <f t="shared" ref="D107:AN107" si="265">D105*D7</f>
        <v>0</v>
      </c>
      <c r="E107" s="1">
        <f t="shared" si="265"/>
        <v>0</v>
      </c>
      <c r="F107" s="1">
        <f t="shared" si="265"/>
        <v>0</v>
      </c>
      <c r="G107" s="1">
        <f t="shared" si="265"/>
        <v>0</v>
      </c>
      <c r="H107" s="1">
        <f t="shared" si="265"/>
        <v>0</v>
      </c>
      <c r="I107" s="1">
        <f t="shared" si="265"/>
        <v>0</v>
      </c>
      <c r="J107" s="1">
        <f t="shared" si="265"/>
        <v>0</v>
      </c>
      <c r="K107" s="1">
        <f t="shared" si="265"/>
        <v>0</v>
      </c>
      <c r="L107" s="1">
        <f t="shared" si="265"/>
        <v>5353125.0904874308</v>
      </c>
      <c r="M107" s="1">
        <f t="shared" si="265"/>
        <v>5267546.4847165626</v>
      </c>
      <c r="N107" s="1">
        <f t="shared" si="265"/>
        <v>5183335.9952594144</v>
      </c>
      <c r="O107" s="1">
        <f t="shared" si="265"/>
        <v>5100471.7505018031</v>
      </c>
      <c r="P107" s="1">
        <f t="shared" si="265"/>
        <v>5018932.2284836555</v>
      </c>
      <c r="Q107" s="1">
        <f t="shared" si="265"/>
        <v>4938696.2513092486</v>
      </c>
      <c r="R107" s="1">
        <f t="shared" si="265"/>
        <v>4859742.9796466939</v>
      </c>
      <c r="S107" s="1">
        <f t="shared" si="265"/>
        <v>4782051.9073155057</v>
      </c>
      <c r="T107" s="1">
        <f t="shared" si="265"/>
        <v>4705602.855960587</v>
      </c>
      <c r="U107" s="1">
        <f t="shared" si="265"/>
        <v>4630375.9698113874</v>
      </c>
      <c r="V107" s="1">
        <f t="shared" si="265"/>
        <v>4556351.7105248673</v>
      </c>
      <c r="W107" s="1">
        <f t="shared" si="265"/>
        <v>4483510.8521109056</v>
      </c>
      <c r="X107" s="1">
        <f t="shared" si="265"/>
        <v>4411834.475938784</v>
      </c>
      <c r="Y107" s="1">
        <f t="shared" si="265"/>
        <v>4341303.9658235488</v>
      </c>
      <c r="Z107" s="1">
        <f t="shared" si="265"/>
        <v>4271901.0031909524</v>
      </c>
      <c r="AA107" s="1">
        <f t="shared" si="265"/>
        <v>4203607.5623195758</v>
      </c>
      <c r="AB107" s="1">
        <f t="shared" si="265"/>
        <v>4136405.9056591601</v>
      </c>
      <c r="AC107" s="1">
        <f t="shared" si="265"/>
        <v>4070278.5792236621</v>
      </c>
      <c r="AD107" s="1">
        <f t="shared" si="265"/>
        <v>4005208.4080580389</v>
      </c>
      <c r="AE107" s="1">
        <f t="shared" si="265"/>
        <v>3941178.4917774624</v>
      </c>
      <c r="AF107" s="1">
        <f t="shared" si="265"/>
        <v>3878172.200177846</v>
      </c>
      <c r="AG107" s="1">
        <f t="shared" si="265"/>
        <v>3816173.1689165924</v>
      </c>
      <c r="AH107" s="1">
        <f t="shared" si="265"/>
        <v>3755165.2952622897</v>
      </c>
      <c r="AI107" s="1">
        <f t="shared" si="265"/>
        <v>3695132.7339125155</v>
      </c>
      <c r="AJ107" s="1">
        <f t="shared" si="265"/>
        <v>3636059.8928783159</v>
      </c>
      <c r="AK107" s="1">
        <f t="shared" si="265"/>
        <v>3577931.4294346282</v>
      </c>
      <c r="AL107" s="1">
        <f t="shared" si="265"/>
        <v>3520732.2461353461</v>
      </c>
      <c r="AM107" s="1">
        <f t="shared" si="265"/>
        <v>3464447.4868921419</v>
      </c>
      <c r="AN107" s="1">
        <f t="shared" si="265"/>
        <v>3409062.5331159858</v>
      </c>
      <c r="AO107" s="1">
        <f t="shared" ref="AO107" si="266">AO105*AO7</f>
        <v>3354562.9999202834</v>
      </c>
    </row>
    <row r="108" spans="1:41" x14ac:dyDescent="0.3">
      <c r="F108" s="1"/>
      <c r="G108" s="1"/>
    </row>
    <row r="109" spans="1:41" s="109" customFormat="1" x14ac:dyDescent="0.3">
      <c r="A109" s="113" t="s">
        <v>43</v>
      </c>
      <c r="B109" s="112"/>
      <c r="C109" s="111"/>
      <c r="D109" s="111"/>
      <c r="E109" s="111"/>
      <c r="F109" s="161"/>
      <c r="G109" s="161"/>
      <c r="H109" s="111"/>
      <c r="I109" s="111"/>
      <c r="J109" s="111"/>
      <c r="K109" s="110"/>
      <c r="L109" s="110"/>
      <c r="M109" s="110"/>
      <c r="N109" s="110"/>
      <c r="O109" s="110"/>
      <c r="P109" s="110"/>
      <c r="Q109" s="110"/>
      <c r="R109" s="110"/>
      <c r="S109" s="110"/>
      <c r="T109" s="110"/>
      <c r="U109" s="110"/>
      <c r="V109" s="110"/>
      <c r="W109" s="110"/>
      <c r="X109" s="110"/>
      <c r="Y109" s="110"/>
      <c r="Z109" s="110"/>
      <c r="AA109" s="110"/>
      <c r="AB109" s="110"/>
      <c r="AC109" s="110"/>
      <c r="AD109" s="110"/>
      <c r="AE109" s="110"/>
      <c r="AF109" s="110"/>
      <c r="AG109" s="110"/>
      <c r="AH109" s="110"/>
      <c r="AI109" s="110"/>
      <c r="AJ109" s="110"/>
      <c r="AK109" s="110"/>
      <c r="AL109" s="110"/>
      <c r="AM109" s="110"/>
      <c r="AN109" s="110"/>
      <c r="AO109" s="110"/>
    </row>
    <row r="110" spans="1:41" x14ac:dyDescent="0.3">
      <c r="A110" s="114" t="s">
        <v>349</v>
      </c>
      <c r="B110" s="115" t="s">
        <v>78</v>
      </c>
      <c r="C110" s="115"/>
      <c r="D110" s="119">
        <f>D105</f>
        <v>0</v>
      </c>
      <c r="E110" s="119">
        <f>E105</f>
        <v>0</v>
      </c>
      <c r="F110" s="119">
        <f>F105</f>
        <v>0</v>
      </c>
      <c r="G110" s="119">
        <f t="shared" ref="G110:AA110" si="267">G105</f>
        <v>0</v>
      </c>
      <c r="H110" s="119">
        <f t="shared" si="267"/>
        <v>0</v>
      </c>
      <c r="I110" s="119">
        <f t="shared" si="267"/>
        <v>0</v>
      </c>
      <c r="J110" s="119">
        <f t="shared" si="267"/>
        <v>0</v>
      </c>
      <c r="K110" s="119">
        <f t="shared" si="267"/>
        <v>0</v>
      </c>
      <c r="L110" s="119">
        <f t="shared" si="267"/>
        <v>6781178.7065548524</v>
      </c>
      <c r="M110" s="119">
        <f t="shared" si="267"/>
        <v>6872953.3978321739</v>
      </c>
      <c r="N110" s="119">
        <f t="shared" si="267"/>
        <v>6965970.1436730921</v>
      </c>
      <c r="O110" s="119">
        <f t="shared" si="267"/>
        <v>7060245.7537177987</v>
      </c>
      <c r="P110" s="119">
        <f t="shared" si="267"/>
        <v>7155797.2651037239</v>
      </c>
      <c r="Q110" s="119">
        <f t="shared" si="267"/>
        <v>7252641.9455444887</v>
      </c>
      <c r="R110" s="119">
        <f t="shared" si="267"/>
        <v>7350797.2964503504</v>
      </c>
      <c r="S110" s="119">
        <f t="shared" si="267"/>
        <v>7450281.0560910963</v>
      </c>
      <c r="T110" s="119">
        <f t="shared" si="267"/>
        <v>7551111.2028015964</v>
      </c>
      <c r="U110" s="119">
        <f t="shared" si="267"/>
        <v>7653305.9582307637</v>
      </c>
      <c r="V110" s="119">
        <f t="shared" si="267"/>
        <v>7756883.7906345204</v>
      </c>
      <c r="W110" s="119">
        <f t="shared" si="267"/>
        <v>7861863.4182133414</v>
      </c>
      <c r="X110" s="119">
        <f t="shared" si="267"/>
        <v>7968263.8124948815</v>
      </c>
      <c r="Y110" s="119">
        <f t="shared" si="267"/>
        <v>8076104.2017624527</v>
      </c>
      <c r="Z110" s="119">
        <f t="shared" si="267"/>
        <v>8185404.0745299719</v>
      </c>
      <c r="AA110" s="119">
        <f t="shared" si="267"/>
        <v>8296183.1830637008</v>
      </c>
      <c r="AB110" s="119">
        <f t="shared" ref="AB110:AF110" si="268">AB105</f>
        <v>8408461.5469519421</v>
      </c>
      <c r="AC110" s="119">
        <f t="shared" si="268"/>
        <v>8522259.4567228146</v>
      </c>
      <c r="AD110" s="119">
        <f t="shared" si="268"/>
        <v>8637597.477511134</v>
      </c>
      <c r="AE110" s="119">
        <f t="shared" si="268"/>
        <v>8754496.4527748451</v>
      </c>
      <c r="AF110" s="119">
        <f t="shared" si="268"/>
        <v>8872977.5080617554</v>
      </c>
      <c r="AG110" s="119">
        <f t="shared" ref="AG110:AH110" si="269">AG105</f>
        <v>8993062.0548273399</v>
      </c>
      <c r="AH110" s="119">
        <f t="shared" si="269"/>
        <v>9114771.7943039909</v>
      </c>
      <c r="AI110" s="119">
        <f t="shared" ref="AI110:AN110" si="270">AI105</f>
        <v>9238128.7214230038</v>
      </c>
      <c r="AJ110" s="119">
        <f t="shared" si="270"/>
        <v>9363155.1287891977</v>
      </c>
      <c r="AK110" s="119">
        <f t="shared" si="270"/>
        <v>9489873.6107097119</v>
      </c>
      <c r="AL110" s="119">
        <f t="shared" si="270"/>
        <v>9618307.0672770552</v>
      </c>
      <c r="AM110" s="119">
        <f t="shared" si="270"/>
        <v>9748478.7085075751</v>
      </c>
      <c r="AN110" s="119">
        <f t="shared" si="270"/>
        <v>9880412.0585359409</v>
      </c>
      <c r="AO110" s="119">
        <f t="shared" ref="AO110" si="271">AO105</f>
        <v>10014130.959866229</v>
      </c>
    </row>
    <row r="111" spans="1:41" x14ac:dyDescent="0.3">
      <c r="E111" s="1"/>
    </row>
    <row r="112" spans="1:41" x14ac:dyDescent="0.3">
      <c r="C112" s="1"/>
      <c r="D112" s="1"/>
      <c r="E112" s="1"/>
      <c r="J112" s="140"/>
      <c r="K112" s="139"/>
    </row>
    <row r="113" spans="10:10" x14ac:dyDescent="0.3">
      <c r="J113" s="1"/>
    </row>
  </sheetData>
  <mergeCells count="1">
    <mergeCell ref="A2:B2"/>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39997558519241921"/>
  </sheetPr>
  <dimension ref="A1:AP78"/>
  <sheetViews>
    <sheetView showGridLines="0" zoomScale="85" zoomScaleNormal="85" workbookViewId="0">
      <pane ySplit="11" topLeftCell="A12" activePane="bottomLeft" state="frozen"/>
      <selection pane="bottomLeft"/>
    </sheetView>
  </sheetViews>
  <sheetFormatPr defaultRowHeight="14.4" outlineLevelCol="1" x14ac:dyDescent="0.3"/>
  <cols>
    <col min="1" max="1" width="62.88671875" customWidth="1"/>
    <col min="2" max="2" width="18.6640625" customWidth="1"/>
    <col min="4" max="4" width="12.88671875" bestFit="1" customWidth="1"/>
    <col min="5" max="5" width="13.21875" bestFit="1" customWidth="1"/>
    <col min="6" max="6" width="13.33203125" customWidth="1"/>
    <col min="7" max="7" width="12.33203125" customWidth="1"/>
    <col min="8" max="9" width="14.77734375" bestFit="1" customWidth="1"/>
    <col min="10" max="27" width="14.21875" bestFit="1" customWidth="1"/>
    <col min="28" max="31" width="14.21875" customWidth="1"/>
    <col min="32" max="32" width="14.21875" hidden="1" customWidth="1" outlineLevel="1"/>
    <col min="33" max="34" width="13.44140625" hidden="1" customWidth="1" outlineLevel="1"/>
    <col min="35" max="40" width="14.21875" hidden="1" customWidth="1" outlineLevel="1"/>
    <col min="41" max="41" width="14" hidden="1" customWidth="1" outlineLevel="1"/>
    <col min="42" max="42" width="8.88671875" collapsed="1"/>
  </cols>
  <sheetData>
    <row r="1" spans="1:41" x14ac:dyDescent="0.3">
      <c r="A1" t="s">
        <v>271</v>
      </c>
    </row>
    <row r="2" spans="1:41" ht="23.4" x14ac:dyDescent="0.45">
      <c r="A2" s="584" t="s">
        <v>11</v>
      </c>
      <c r="B2" s="584"/>
      <c r="C2" s="107"/>
      <c r="D2" s="107"/>
      <c r="E2" s="107"/>
      <c r="F2" s="107"/>
      <c r="G2" s="107"/>
      <c r="H2" s="107"/>
    </row>
    <row r="3" spans="1:41" ht="14.4" customHeight="1" x14ac:dyDescent="0.45">
      <c r="A3" s="487"/>
      <c r="B3" s="487"/>
      <c r="C3" s="107"/>
      <c r="D3" s="107"/>
      <c r="E3" s="107"/>
      <c r="F3" s="107"/>
      <c r="G3" s="107"/>
      <c r="H3" s="107"/>
    </row>
    <row r="4" spans="1:41" x14ac:dyDescent="0.3">
      <c r="A4" s="96"/>
      <c r="B4" s="104" t="s">
        <v>1</v>
      </c>
      <c r="C4" s="105" t="s">
        <v>69</v>
      </c>
      <c r="D4" s="317">
        <v>2019</v>
      </c>
      <c r="E4" s="317">
        <f>D4+1</f>
        <v>2020</v>
      </c>
      <c r="F4" s="317">
        <f t="shared" ref="F4:AO4" si="0">E4+1</f>
        <v>2021</v>
      </c>
      <c r="G4" s="317">
        <f t="shared" si="0"/>
        <v>2022</v>
      </c>
      <c r="H4" s="317">
        <f t="shared" si="0"/>
        <v>2023</v>
      </c>
      <c r="I4" s="317">
        <f t="shared" si="0"/>
        <v>2024</v>
      </c>
      <c r="J4" s="317">
        <f t="shared" si="0"/>
        <v>2025</v>
      </c>
      <c r="K4" s="317">
        <f t="shared" si="0"/>
        <v>2026</v>
      </c>
      <c r="L4" s="317">
        <f t="shared" si="0"/>
        <v>2027</v>
      </c>
      <c r="M4" s="317">
        <f t="shared" si="0"/>
        <v>2028</v>
      </c>
      <c r="N4" s="317">
        <f t="shared" si="0"/>
        <v>2029</v>
      </c>
      <c r="O4" s="317">
        <f t="shared" si="0"/>
        <v>2030</v>
      </c>
      <c r="P4" s="317">
        <f t="shared" si="0"/>
        <v>2031</v>
      </c>
      <c r="Q4" s="317">
        <f t="shared" si="0"/>
        <v>2032</v>
      </c>
      <c r="R4" s="317">
        <f t="shared" si="0"/>
        <v>2033</v>
      </c>
      <c r="S4" s="317">
        <f t="shared" si="0"/>
        <v>2034</v>
      </c>
      <c r="T4" s="317">
        <f t="shared" si="0"/>
        <v>2035</v>
      </c>
      <c r="U4" s="317">
        <f t="shared" si="0"/>
        <v>2036</v>
      </c>
      <c r="V4" s="317">
        <f t="shared" si="0"/>
        <v>2037</v>
      </c>
      <c r="W4" s="317">
        <f t="shared" si="0"/>
        <v>2038</v>
      </c>
      <c r="X4" s="317">
        <f t="shared" si="0"/>
        <v>2039</v>
      </c>
      <c r="Y4" s="317">
        <f t="shared" si="0"/>
        <v>2040</v>
      </c>
      <c r="Z4" s="317">
        <f t="shared" si="0"/>
        <v>2041</v>
      </c>
      <c r="AA4" s="317">
        <f t="shared" si="0"/>
        <v>2042</v>
      </c>
      <c r="AB4" s="317">
        <f t="shared" si="0"/>
        <v>2043</v>
      </c>
      <c r="AC4" s="317">
        <f t="shared" si="0"/>
        <v>2044</v>
      </c>
      <c r="AD4" s="317">
        <f t="shared" si="0"/>
        <v>2045</v>
      </c>
      <c r="AE4" s="317">
        <f t="shared" si="0"/>
        <v>2046</v>
      </c>
      <c r="AF4" s="317">
        <f t="shared" si="0"/>
        <v>2047</v>
      </c>
      <c r="AG4" s="317">
        <f t="shared" si="0"/>
        <v>2048</v>
      </c>
      <c r="AH4" s="317">
        <f t="shared" si="0"/>
        <v>2049</v>
      </c>
      <c r="AI4" s="317">
        <f t="shared" si="0"/>
        <v>2050</v>
      </c>
      <c r="AJ4" s="317">
        <f t="shared" si="0"/>
        <v>2051</v>
      </c>
      <c r="AK4" s="317">
        <f t="shared" si="0"/>
        <v>2052</v>
      </c>
      <c r="AL4" s="317">
        <f t="shared" si="0"/>
        <v>2053</v>
      </c>
      <c r="AM4" s="317">
        <f t="shared" si="0"/>
        <v>2054</v>
      </c>
      <c r="AN4" s="317">
        <f t="shared" si="0"/>
        <v>2055</v>
      </c>
      <c r="AO4" s="317">
        <f t="shared" si="0"/>
        <v>2056</v>
      </c>
    </row>
    <row r="5" spans="1:41" ht="18.3" x14ac:dyDescent="0.35">
      <c r="A5" s="98" t="s">
        <v>61</v>
      </c>
      <c r="B5" s="136" t="s">
        <v>2</v>
      </c>
      <c r="C5" s="106"/>
      <c r="D5" s="4">
        <v>0</v>
      </c>
      <c r="E5" s="4">
        <v>0</v>
      </c>
      <c r="F5" s="4">
        <v>0</v>
      </c>
      <c r="G5" s="4">
        <v>0</v>
      </c>
      <c r="H5" s="4">
        <v>0</v>
      </c>
      <c r="I5" s="4">
        <v>0</v>
      </c>
      <c r="J5" s="4">
        <v>0</v>
      </c>
      <c r="K5" s="4">
        <v>0</v>
      </c>
      <c r="L5" s="4">
        <v>1</v>
      </c>
      <c r="M5" s="4">
        <f t="shared" ref="M5" si="1">L5+1</f>
        <v>2</v>
      </c>
      <c r="N5" s="4">
        <f t="shared" ref="N5" si="2">M5+1</f>
        <v>3</v>
      </c>
      <c r="O5" s="4">
        <f t="shared" ref="O5" si="3">N5+1</f>
        <v>4</v>
      </c>
      <c r="P5" s="4">
        <f t="shared" ref="P5:V5" si="4">O5+1</f>
        <v>5</v>
      </c>
      <c r="Q5" s="4">
        <f t="shared" si="4"/>
        <v>6</v>
      </c>
      <c r="R5" s="4">
        <f t="shared" si="4"/>
        <v>7</v>
      </c>
      <c r="S5" s="4">
        <f t="shared" si="4"/>
        <v>8</v>
      </c>
      <c r="T5" s="4">
        <f t="shared" si="4"/>
        <v>9</v>
      </c>
      <c r="U5" s="4">
        <f t="shared" si="4"/>
        <v>10</v>
      </c>
      <c r="V5" s="4">
        <f t="shared" si="4"/>
        <v>11</v>
      </c>
      <c r="W5" s="4">
        <f t="shared" ref="W5:AA5" si="5">V5+1</f>
        <v>12</v>
      </c>
      <c r="X5" s="4">
        <f t="shared" si="5"/>
        <v>13</v>
      </c>
      <c r="Y5" s="4">
        <f t="shared" si="5"/>
        <v>14</v>
      </c>
      <c r="Z5" s="4">
        <f t="shared" si="5"/>
        <v>15</v>
      </c>
      <c r="AA5" s="4">
        <f t="shared" si="5"/>
        <v>16</v>
      </c>
      <c r="AB5" s="4">
        <f t="shared" ref="AB5" si="6">AA5+1</f>
        <v>17</v>
      </c>
      <c r="AC5" s="4">
        <f t="shared" ref="AC5" si="7">AB5+1</f>
        <v>18</v>
      </c>
      <c r="AD5" s="4">
        <f t="shared" ref="AD5" si="8">AC5+1</f>
        <v>19</v>
      </c>
      <c r="AE5" s="4">
        <f t="shared" ref="AE5" si="9">AD5+1</f>
        <v>20</v>
      </c>
      <c r="AF5" s="4">
        <f t="shared" ref="AF5" si="10">AE5+1</f>
        <v>21</v>
      </c>
      <c r="AG5" s="4">
        <f t="shared" ref="AG5" si="11">AF5+1</f>
        <v>22</v>
      </c>
      <c r="AH5" s="4">
        <f t="shared" ref="AH5" si="12">AG5+1</f>
        <v>23</v>
      </c>
      <c r="AI5" s="4">
        <f t="shared" ref="AI5" si="13">AH5+1</f>
        <v>24</v>
      </c>
      <c r="AJ5" s="4">
        <f t="shared" ref="AJ5" si="14">AI5+1</f>
        <v>25</v>
      </c>
      <c r="AK5" s="4">
        <f t="shared" ref="AK5" si="15">AJ5+1</f>
        <v>26</v>
      </c>
      <c r="AL5" s="4">
        <f t="shared" ref="AL5" si="16">AK5+1</f>
        <v>27</v>
      </c>
      <c r="AM5" s="4">
        <f t="shared" ref="AM5" si="17">AL5+1</f>
        <v>28</v>
      </c>
      <c r="AN5" s="4">
        <f t="shared" ref="AN5:AO5" si="18">AM5+1</f>
        <v>29</v>
      </c>
      <c r="AO5" s="4">
        <f t="shared" si="18"/>
        <v>30</v>
      </c>
    </row>
    <row r="6" spans="1:41" ht="15" x14ac:dyDescent="0.3">
      <c r="A6" s="98" t="s">
        <v>60</v>
      </c>
      <c r="B6" s="137" t="s">
        <v>5</v>
      </c>
      <c r="C6" s="99">
        <v>7.0000000000000007E-2</v>
      </c>
      <c r="D6" s="255">
        <f t="shared" ref="D6:AF6" si="19">1/(1+Real_discount_rate)^(D4-$D$4)</f>
        <v>1</v>
      </c>
      <c r="E6" s="255">
        <f t="shared" si="19"/>
        <v>0.93457943925233644</v>
      </c>
      <c r="F6" s="255">
        <f t="shared" si="19"/>
        <v>0.87343872827321156</v>
      </c>
      <c r="G6" s="255">
        <f t="shared" si="19"/>
        <v>0.81629787689085187</v>
      </c>
      <c r="H6" s="255">
        <f t="shared" si="19"/>
        <v>0.7628952120475252</v>
      </c>
      <c r="I6" s="255">
        <f t="shared" si="19"/>
        <v>0.71298617948366838</v>
      </c>
      <c r="J6" s="255">
        <f t="shared" si="19"/>
        <v>0.66634222381651254</v>
      </c>
      <c r="K6" s="255">
        <f t="shared" si="19"/>
        <v>0.62274974188459109</v>
      </c>
      <c r="L6" s="255">
        <f t="shared" si="19"/>
        <v>0.5820091045650384</v>
      </c>
      <c r="M6" s="255">
        <f t="shared" si="19"/>
        <v>0.54393374258414806</v>
      </c>
      <c r="N6" s="255">
        <f t="shared" si="19"/>
        <v>0.5083492921347178</v>
      </c>
      <c r="O6" s="255">
        <f t="shared" si="19"/>
        <v>0.47509279638758667</v>
      </c>
      <c r="P6" s="255">
        <f t="shared" si="19"/>
        <v>0.44401195924073528</v>
      </c>
      <c r="Q6" s="255">
        <f t="shared" si="19"/>
        <v>0.41496444788853759</v>
      </c>
      <c r="R6" s="255">
        <f t="shared" si="19"/>
        <v>0.3878172410173249</v>
      </c>
      <c r="S6" s="255">
        <f t="shared" si="19"/>
        <v>0.36244601964235967</v>
      </c>
      <c r="T6" s="255">
        <f t="shared" si="19"/>
        <v>0.33873459779659787</v>
      </c>
      <c r="U6" s="255">
        <f t="shared" si="19"/>
        <v>0.31657439046411018</v>
      </c>
      <c r="V6" s="255">
        <f t="shared" si="19"/>
        <v>0.29586391632159825</v>
      </c>
      <c r="W6" s="255">
        <f t="shared" si="19"/>
        <v>0.27650833301083949</v>
      </c>
      <c r="X6" s="255">
        <f t="shared" si="19"/>
        <v>0.2584190028138687</v>
      </c>
      <c r="Y6" s="255">
        <f t="shared" si="19"/>
        <v>0.24151308674193336</v>
      </c>
      <c r="Z6" s="255">
        <f t="shared" si="19"/>
        <v>0.22571316517937698</v>
      </c>
      <c r="AA6" s="255">
        <f t="shared" si="19"/>
        <v>0.21094688334521211</v>
      </c>
      <c r="AB6" s="255">
        <f t="shared" si="19"/>
        <v>0.19714661994879637</v>
      </c>
      <c r="AC6" s="255">
        <f t="shared" si="19"/>
        <v>0.18424917752223957</v>
      </c>
      <c r="AD6" s="255">
        <f t="shared" si="19"/>
        <v>0.17219549301143888</v>
      </c>
      <c r="AE6" s="255">
        <f t="shared" si="19"/>
        <v>0.16093036730041013</v>
      </c>
      <c r="AF6" s="255">
        <f t="shared" si="19"/>
        <v>0.15040221243028987</v>
      </c>
      <c r="AG6" s="255">
        <f t="shared" ref="AG6:AH6" si="20">1/(1+Real_discount_rate)^(AG4-$D$4)</f>
        <v>0.1405628153554111</v>
      </c>
      <c r="AH6" s="255">
        <f t="shared" si="20"/>
        <v>0.13136711715458982</v>
      </c>
      <c r="AI6" s="255">
        <f t="shared" ref="AI6:AN6" si="21">1/(1+Real_discount_rate)^(AI4-$D$4)</f>
        <v>0.1227730066865325</v>
      </c>
      <c r="AJ6" s="255">
        <f t="shared" si="21"/>
        <v>0.11474112774442291</v>
      </c>
      <c r="AK6" s="255">
        <f t="shared" si="21"/>
        <v>0.10723469882656347</v>
      </c>
      <c r="AL6" s="255">
        <f t="shared" si="21"/>
        <v>0.10021934469772288</v>
      </c>
      <c r="AM6" s="255">
        <f t="shared" si="21"/>
        <v>9.366293896983445E-2</v>
      </c>
      <c r="AN6" s="255">
        <f t="shared" si="21"/>
        <v>8.7535456981153698E-2</v>
      </c>
      <c r="AO6" s="255">
        <f t="shared" ref="AO6" si="22">1/(1+Real_discount_rate)^(AO4-$D$4)</f>
        <v>8.1808838300143641E-2</v>
      </c>
    </row>
    <row r="7" spans="1:41" ht="15" x14ac:dyDescent="0.3">
      <c r="A7" s="98" t="s">
        <v>60</v>
      </c>
      <c r="B7" s="137" t="s">
        <v>5</v>
      </c>
      <c r="C7" s="99">
        <v>0.03</v>
      </c>
      <c r="D7" s="255">
        <f t="shared" ref="D7:AF7" si="23">1/(1+Real_discount_rate_Sensitivity)^(D4-$D$4)</f>
        <v>1</v>
      </c>
      <c r="E7" s="255">
        <f t="shared" si="23"/>
        <v>0.970873786407767</v>
      </c>
      <c r="F7" s="255">
        <f t="shared" si="23"/>
        <v>0.94259590913375435</v>
      </c>
      <c r="G7" s="255">
        <f t="shared" si="23"/>
        <v>0.91514165935315961</v>
      </c>
      <c r="H7" s="255">
        <f t="shared" si="23"/>
        <v>0.888487047915689</v>
      </c>
      <c r="I7" s="255">
        <f t="shared" si="23"/>
        <v>0.86260878438416411</v>
      </c>
      <c r="J7" s="255">
        <f t="shared" si="23"/>
        <v>0.83748425668365445</v>
      </c>
      <c r="K7" s="255">
        <f t="shared" si="23"/>
        <v>0.81309151134335378</v>
      </c>
      <c r="L7" s="255">
        <f t="shared" si="23"/>
        <v>0.78940923431393573</v>
      </c>
      <c r="M7" s="255">
        <f t="shared" si="23"/>
        <v>0.76641673234362695</v>
      </c>
      <c r="N7" s="255">
        <f t="shared" si="23"/>
        <v>0.74409391489672516</v>
      </c>
      <c r="O7" s="255">
        <f t="shared" si="23"/>
        <v>0.72242127659876232</v>
      </c>
      <c r="P7" s="255">
        <f t="shared" si="23"/>
        <v>0.70137988019297326</v>
      </c>
      <c r="Q7" s="255">
        <f t="shared" si="23"/>
        <v>0.68095133999317792</v>
      </c>
      <c r="R7" s="255">
        <f t="shared" si="23"/>
        <v>0.66111780581861923</v>
      </c>
      <c r="S7" s="255">
        <f t="shared" si="23"/>
        <v>0.64186194739671765</v>
      </c>
      <c r="T7" s="255">
        <f t="shared" si="23"/>
        <v>0.62316693922011435</v>
      </c>
      <c r="U7" s="255">
        <f t="shared" si="23"/>
        <v>0.60501644584477121</v>
      </c>
      <c r="V7" s="255">
        <f t="shared" si="23"/>
        <v>0.5873946076162827</v>
      </c>
      <c r="W7" s="255">
        <f t="shared" si="23"/>
        <v>0.57028602681192497</v>
      </c>
      <c r="X7" s="255">
        <f t="shared" si="23"/>
        <v>0.55367575418633497</v>
      </c>
      <c r="Y7" s="255">
        <f t="shared" si="23"/>
        <v>0.5375492759090631</v>
      </c>
      <c r="Z7" s="255">
        <f t="shared" si="23"/>
        <v>0.52189250088258554</v>
      </c>
      <c r="AA7" s="255">
        <f t="shared" si="23"/>
        <v>0.50669174842969467</v>
      </c>
      <c r="AB7" s="255">
        <f t="shared" si="23"/>
        <v>0.49193373633950943</v>
      </c>
      <c r="AC7" s="255">
        <f t="shared" si="23"/>
        <v>0.47760556926165965</v>
      </c>
      <c r="AD7" s="255">
        <f t="shared" si="23"/>
        <v>0.46369472743850448</v>
      </c>
      <c r="AE7" s="255">
        <f t="shared" si="23"/>
        <v>0.45018905576553836</v>
      </c>
      <c r="AF7" s="255">
        <f t="shared" si="23"/>
        <v>0.4370767531704256</v>
      </c>
      <c r="AG7" s="255">
        <f t="shared" ref="AG7:AH7" si="24">1/(1+Real_discount_rate_Sensitivity)^(AG4-$D$4)</f>
        <v>0.42434636230138412</v>
      </c>
      <c r="AH7" s="255">
        <f t="shared" si="24"/>
        <v>0.41198675951590691</v>
      </c>
      <c r="AI7" s="255">
        <f t="shared" ref="AI7:AN7" si="25">1/(1+Real_discount_rate_Sensitivity)^(AI4-$D$4)</f>
        <v>0.39998714516107459</v>
      </c>
      <c r="AJ7" s="255">
        <f t="shared" si="25"/>
        <v>0.38833703413696569</v>
      </c>
      <c r="AK7" s="255">
        <f t="shared" si="25"/>
        <v>0.37702624673491814</v>
      </c>
      <c r="AL7" s="255">
        <f t="shared" si="25"/>
        <v>0.36604489974263904</v>
      </c>
      <c r="AM7" s="255">
        <f t="shared" si="25"/>
        <v>0.35538339780838735</v>
      </c>
      <c r="AN7" s="255">
        <f t="shared" si="25"/>
        <v>0.34503242505668674</v>
      </c>
      <c r="AO7" s="255">
        <f t="shared" ref="AO7" si="26">1/(1+Real_discount_rate_Sensitivity)^(AO4-$D$4)</f>
        <v>0.33498293694823961</v>
      </c>
    </row>
    <row r="8" spans="1:41" x14ac:dyDescent="0.3">
      <c r="B8" s="138"/>
    </row>
    <row r="9" spans="1:41" x14ac:dyDescent="0.3">
      <c r="A9" s="263" t="s">
        <v>93</v>
      </c>
      <c r="B9" s="264">
        <f>1-ShareTruck</f>
        <v>0.87</v>
      </c>
      <c r="C9" s="95"/>
      <c r="D9" s="245"/>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row>
    <row r="10" spans="1:41" x14ac:dyDescent="0.3">
      <c r="A10" s="263" t="s">
        <v>68</v>
      </c>
      <c r="B10" s="264">
        <f>ShareTruck</f>
        <v>0.13</v>
      </c>
      <c r="C10" s="95"/>
      <c r="D10" s="245"/>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1:41" x14ac:dyDescent="0.3">
      <c r="A11" s="101"/>
      <c r="B11" s="135"/>
      <c r="C11" s="95"/>
      <c r="D11" s="245"/>
      <c r="E11" s="225"/>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row>
    <row r="12" spans="1:41" x14ac:dyDescent="0.3">
      <c r="A12" s="102" t="s">
        <v>71</v>
      </c>
      <c r="B12" s="104" t="s">
        <v>1</v>
      </c>
      <c r="C12" s="105"/>
      <c r="D12" s="317">
        <f>Base.Year</f>
        <v>2019</v>
      </c>
      <c r="E12" s="317">
        <f>D12+1</f>
        <v>2020</v>
      </c>
      <c r="F12" s="317">
        <f t="shared" ref="F12:AO12" si="27">E12+1</f>
        <v>2021</v>
      </c>
      <c r="G12" s="317">
        <f t="shared" si="27"/>
        <v>2022</v>
      </c>
      <c r="H12" s="317">
        <f t="shared" si="27"/>
        <v>2023</v>
      </c>
      <c r="I12" s="317">
        <f t="shared" si="27"/>
        <v>2024</v>
      </c>
      <c r="J12" s="317">
        <f t="shared" si="27"/>
        <v>2025</v>
      </c>
      <c r="K12" s="317">
        <f t="shared" si="27"/>
        <v>2026</v>
      </c>
      <c r="L12" s="317">
        <f t="shared" si="27"/>
        <v>2027</v>
      </c>
      <c r="M12" s="317">
        <f t="shared" si="27"/>
        <v>2028</v>
      </c>
      <c r="N12" s="317">
        <f t="shared" si="27"/>
        <v>2029</v>
      </c>
      <c r="O12" s="317">
        <f t="shared" si="27"/>
        <v>2030</v>
      </c>
      <c r="P12" s="317">
        <f t="shared" si="27"/>
        <v>2031</v>
      </c>
      <c r="Q12" s="317">
        <f t="shared" si="27"/>
        <v>2032</v>
      </c>
      <c r="R12" s="317">
        <f t="shared" si="27"/>
        <v>2033</v>
      </c>
      <c r="S12" s="317">
        <f t="shared" si="27"/>
        <v>2034</v>
      </c>
      <c r="T12" s="317">
        <f t="shared" si="27"/>
        <v>2035</v>
      </c>
      <c r="U12" s="317">
        <f t="shared" si="27"/>
        <v>2036</v>
      </c>
      <c r="V12" s="317">
        <f t="shared" si="27"/>
        <v>2037</v>
      </c>
      <c r="W12" s="317">
        <f t="shared" si="27"/>
        <v>2038</v>
      </c>
      <c r="X12" s="317">
        <f t="shared" si="27"/>
        <v>2039</v>
      </c>
      <c r="Y12" s="317">
        <f t="shared" si="27"/>
        <v>2040</v>
      </c>
      <c r="Z12" s="317">
        <f t="shared" si="27"/>
        <v>2041</v>
      </c>
      <c r="AA12" s="317">
        <f t="shared" si="27"/>
        <v>2042</v>
      </c>
      <c r="AB12" s="317">
        <f t="shared" si="27"/>
        <v>2043</v>
      </c>
      <c r="AC12" s="317">
        <f t="shared" si="27"/>
        <v>2044</v>
      </c>
      <c r="AD12" s="317">
        <f t="shared" si="27"/>
        <v>2045</v>
      </c>
      <c r="AE12" s="317">
        <f t="shared" si="27"/>
        <v>2046</v>
      </c>
      <c r="AF12" s="317">
        <f t="shared" si="27"/>
        <v>2047</v>
      </c>
      <c r="AG12" s="317">
        <f t="shared" si="27"/>
        <v>2048</v>
      </c>
      <c r="AH12" s="317">
        <f t="shared" si="27"/>
        <v>2049</v>
      </c>
      <c r="AI12" s="317">
        <f t="shared" si="27"/>
        <v>2050</v>
      </c>
      <c r="AJ12" s="317">
        <f t="shared" si="27"/>
        <v>2051</v>
      </c>
      <c r="AK12" s="317">
        <f t="shared" si="27"/>
        <v>2052</v>
      </c>
      <c r="AL12" s="317">
        <f t="shared" si="27"/>
        <v>2053</v>
      </c>
      <c r="AM12" s="317">
        <f t="shared" si="27"/>
        <v>2054</v>
      </c>
      <c r="AN12" s="317">
        <f t="shared" si="27"/>
        <v>2055</v>
      </c>
      <c r="AO12" s="317">
        <f t="shared" si="27"/>
        <v>2056</v>
      </c>
    </row>
    <row r="13" spans="1:41" s="126" customFormat="1" x14ac:dyDescent="0.3">
      <c r="B13" s="132"/>
      <c r="C13" s="134"/>
      <c r="D13" s="134"/>
      <c r="E13" s="134"/>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row>
    <row r="14" spans="1:41" s="126" customFormat="1" ht="15" x14ac:dyDescent="0.3">
      <c r="A14" s="318" t="s">
        <v>275</v>
      </c>
      <c r="B14" s="132" t="s">
        <v>222</v>
      </c>
      <c r="C14" s="134"/>
      <c r="D14" s="284">
        <f>'Traffic Projection'!W99*(1+'Traffic Projection'!W111)^(2019-2015)</f>
        <v>80927.935123292526</v>
      </c>
      <c r="E14" s="284">
        <f>D14*(1+'Traffic Projection'!$W$111)</f>
        <v>83003.051333469208</v>
      </c>
      <c r="F14" s="284">
        <f>E14*(1+'Traffic Projection'!$W$111)</f>
        <v>85131.376701635381</v>
      </c>
      <c r="G14" s="284">
        <f>F14*(1+'Traffic Projection'!$W$111)</f>
        <v>87314.275592099919</v>
      </c>
      <c r="H14" s="284">
        <f>G14*(1+'Traffic Projection'!$W$111)</f>
        <v>89553.147353562323</v>
      </c>
      <c r="I14" s="284">
        <f>H14*(1+'Traffic Projection'!$W$111)</f>
        <v>91849.427216166063</v>
      </c>
      <c r="J14" s="284">
        <f>I14*(1+'Traffic Projection'!$W$111)</f>
        <v>94204.587211553764</v>
      </c>
      <c r="K14" s="284">
        <f>J14*(1+'Traffic Projection'!$W$111)</f>
        <v>96620.137116514015</v>
      </c>
      <c r="L14" s="284">
        <f>K14*(1+'Traffic Projection'!$W$111)</f>
        <v>99097.625420824712</v>
      </c>
      <c r="M14" s="284">
        <f>L14*(1+'Traffic Projection'!$W$111)</f>
        <v>101638.64031991342</v>
      </c>
      <c r="N14" s="284">
        <f>M14*(1+'Traffic Projection'!$W$111)</f>
        <v>104244.81073297103</v>
      </c>
      <c r="O14" s="284">
        <f>N14*(1+'Traffic Projection'!$W$111)</f>
        <v>106917.80734717142</v>
      </c>
      <c r="P14" s="284">
        <f>O14*(1+'Traffic Projection'!$W$111)</f>
        <v>109659.34368866651</v>
      </c>
      <c r="Q14" s="284">
        <f>P14*(1+'Traffic Projection'!$W$111)</f>
        <v>112471.17722104333</v>
      </c>
      <c r="R14" s="284">
        <f>Q14*(1+'Traffic Projection'!$W$111)</f>
        <v>115355.11047194705</v>
      </c>
      <c r="S14" s="284">
        <f>R14*(1+'Traffic Projection'!$W$111)</f>
        <v>118312.99218859254</v>
      </c>
      <c r="T14" s="284">
        <f>S14*(1+'Traffic Projection'!$W$111)</f>
        <v>121346.71852290492</v>
      </c>
      <c r="U14" s="284">
        <f>T14*(1+'Traffic Projection'!$W$111)</f>
        <v>124458.23424704889</v>
      </c>
      <c r="V14" s="284">
        <f>U14*(1+'Traffic Projection'!$W$111)</f>
        <v>127649.53400012619</v>
      </c>
      <c r="W14" s="284">
        <f>V14*(1+'Traffic Projection'!$W$111)</f>
        <v>130922.6635668402</v>
      </c>
      <c r="X14" s="284">
        <f>W14*(1+'Traffic Projection'!$W$111)</f>
        <v>134279.72118894756</v>
      </c>
      <c r="Y14" s="284">
        <f>X14*(1+'Traffic Projection'!$W$111)</f>
        <v>137722.85891033732</v>
      </c>
      <c r="Z14" s="284">
        <f>Y14*(1+'Traffic Projection'!$W$111)</f>
        <v>141254.28395660003</v>
      </c>
      <c r="AA14" s="284">
        <f>Z14*(1+'Traffic Projection'!$W$111)</f>
        <v>144876.26014997109</v>
      </c>
      <c r="AB14" s="284">
        <f>AA14*(1+'Traffic Projection'!$W$111)</f>
        <v>148591.10936055539</v>
      </c>
      <c r="AC14" s="284">
        <f>AB14*(1+'Traffic Projection'!$W$111)</f>
        <v>152401.21299476363</v>
      </c>
      <c r="AD14" s="284">
        <f>AC14*(1+'Traffic Projection'!$W$111)</f>
        <v>156309.01352191437</v>
      </c>
      <c r="AE14" s="284">
        <f>AD14*(1+'Traffic Projection'!$W$111)</f>
        <v>160317.01603998055</v>
      </c>
      <c r="AF14" s="284">
        <f>AE14*(1+'Traffic Projection'!$W$111)</f>
        <v>164427.789881484</v>
      </c>
      <c r="AG14" s="284">
        <f>AF14*(1+'Traffic Projection'!$W$111)</f>
        <v>168643.97026056782</v>
      </c>
      <c r="AH14" s="284">
        <f>AG14*(1+'Traffic Projection'!$W$111)</f>
        <v>172968.25996230193</v>
      </c>
      <c r="AI14" s="284">
        <f>AH14*(1+'Traffic Projection'!$W$111)</f>
        <v>177403.43107530518</v>
      </c>
      <c r="AJ14" s="284">
        <f>AI14*(1+'Traffic Projection'!$W$111)</f>
        <v>181952.3267687945</v>
      </c>
      <c r="AK14" s="284">
        <f>AJ14*(1+'Traffic Projection'!$W$111)</f>
        <v>186617.86311520031</v>
      </c>
      <c r="AL14" s="284">
        <f>AK14*(1+'Traffic Projection'!$W$111)</f>
        <v>191403.0309595165</v>
      </c>
      <c r="AM14" s="284">
        <f>AL14*(1+'Traffic Projection'!$W$111)</f>
        <v>196310.89783658361</v>
      </c>
      <c r="AN14" s="284">
        <f>AM14*(1+'Traffic Projection'!$W$111)</f>
        <v>201344.60993753385</v>
      </c>
      <c r="AO14" s="284">
        <f>AN14*(1+'Traffic Projection'!$W$111)</f>
        <v>206507.39412665897</v>
      </c>
    </row>
    <row r="15" spans="1:41" s="126" customFormat="1" ht="15" x14ac:dyDescent="0.3">
      <c r="A15" s="19" t="s">
        <v>230</v>
      </c>
      <c r="B15" s="132" t="s">
        <v>222</v>
      </c>
      <c r="C15" s="134"/>
      <c r="D15" s="253">
        <f t="shared" ref="D15:AN15" si="28">D14*(1-ShareTruck)</f>
        <v>70407.303557264502</v>
      </c>
      <c r="E15" s="253">
        <f t="shared" si="28"/>
        <v>72212.654660118205</v>
      </c>
      <c r="F15" s="253">
        <f t="shared" si="28"/>
        <v>74064.297730422782</v>
      </c>
      <c r="G15" s="253">
        <f t="shared" si="28"/>
        <v>75963.419765126935</v>
      </c>
      <c r="H15" s="253">
        <f t="shared" si="28"/>
        <v>77911.238197599218</v>
      </c>
      <c r="I15" s="253">
        <f t="shared" si="28"/>
        <v>79909.00167806448</v>
      </c>
      <c r="J15" s="253">
        <f t="shared" si="28"/>
        <v>81957.990874051771</v>
      </c>
      <c r="K15" s="253">
        <f t="shared" si="28"/>
        <v>84059.519291367193</v>
      </c>
      <c r="L15" s="253">
        <f t="shared" si="28"/>
        <v>86214.934116117496</v>
      </c>
      <c r="M15" s="253">
        <f t="shared" si="28"/>
        <v>88425.617078324678</v>
      </c>
      <c r="N15" s="253">
        <f t="shared" si="28"/>
        <v>90692.985337684804</v>
      </c>
      <c r="O15" s="253">
        <f t="shared" si="28"/>
        <v>93018.49239203913</v>
      </c>
      <c r="P15" s="253">
        <f t="shared" si="28"/>
        <v>95403.62900913987</v>
      </c>
      <c r="Q15" s="253">
        <f t="shared" si="28"/>
        <v>97849.924182307688</v>
      </c>
      <c r="R15" s="253">
        <f t="shared" si="28"/>
        <v>100358.94611059393</v>
      </c>
      <c r="S15" s="253">
        <f t="shared" si="28"/>
        <v>102932.30320407551</v>
      </c>
      <c r="T15" s="253">
        <f t="shared" si="28"/>
        <v>105571.64511492728</v>
      </c>
      <c r="U15" s="253">
        <f t="shared" si="28"/>
        <v>108278.66379493254</v>
      </c>
      <c r="V15" s="253">
        <f t="shared" si="28"/>
        <v>111055.09458010978</v>
      </c>
      <c r="W15" s="253">
        <f t="shared" si="28"/>
        <v>113902.71730315097</v>
      </c>
      <c r="X15" s="253">
        <f t="shared" si="28"/>
        <v>116823.35743438438</v>
      </c>
      <c r="Y15" s="253">
        <f t="shared" si="28"/>
        <v>119818.88725199347</v>
      </c>
      <c r="Z15" s="253">
        <f t="shared" si="28"/>
        <v>122891.22704224203</v>
      </c>
      <c r="AA15" s="253">
        <f t="shared" si="28"/>
        <v>126042.34633047484</v>
      </c>
      <c r="AB15" s="253">
        <f t="shared" si="28"/>
        <v>129274.26514368319</v>
      </c>
      <c r="AC15" s="253">
        <f t="shared" si="28"/>
        <v>132589.05530544434</v>
      </c>
      <c r="AD15" s="253">
        <f t="shared" si="28"/>
        <v>135988.8417640655</v>
      </c>
      <c r="AE15" s="253">
        <f t="shared" si="28"/>
        <v>139475.80395478307</v>
      </c>
      <c r="AF15" s="253">
        <f t="shared" si="28"/>
        <v>143052.17719689108</v>
      </c>
      <c r="AG15" s="253">
        <f t="shared" si="28"/>
        <v>146720.254126694</v>
      </c>
      <c r="AH15" s="253">
        <f t="shared" si="28"/>
        <v>150482.38616720267</v>
      </c>
      <c r="AI15" s="253">
        <f t="shared" si="28"/>
        <v>154340.98503551551</v>
      </c>
      <c r="AJ15" s="253">
        <f t="shared" si="28"/>
        <v>158298.52428885121</v>
      </c>
      <c r="AK15" s="253">
        <f t="shared" si="28"/>
        <v>162357.54091022426</v>
      </c>
      <c r="AL15" s="253">
        <f t="shared" si="28"/>
        <v>166520.63693477935</v>
      </c>
      <c r="AM15" s="253">
        <f t="shared" si="28"/>
        <v>170790.48111782773</v>
      </c>
      <c r="AN15" s="253">
        <f t="shared" si="28"/>
        <v>175169.81064565445</v>
      </c>
      <c r="AO15" s="253">
        <f t="shared" ref="AO15" si="29">AO14*(1-ShareTruck)</f>
        <v>179661.4328901933</v>
      </c>
    </row>
    <row r="16" spans="1:41" s="126" customFormat="1" ht="15" x14ac:dyDescent="0.3">
      <c r="A16" s="19" t="s">
        <v>264</v>
      </c>
      <c r="B16" s="132" t="s">
        <v>222</v>
      </c>
      <c r="C16" s="134"/>
      <c r="D16" s="253">
        <f t="shared" ref="D16:E16" si="30">D14*(ShareTruck)</f>
        <v>10520.631566028029</v>
      </c>
      <c r="E16" s="253">
        <f t="shared" si="30"/>
        <v>10790.396673350997</v>
      </c>
      <c r="F16" s="253">
        <f t="shared" ref="F16:AN16" si="31">F14*(ShareTruck)</f>
        <v>11067.078971212601</v>
      </c>
      <c r="G16" s="253">
        <f t="shared" si="31"/>
        <v>11350.855826972989</v>
      </c>
      <c r="H16" s="253">
        <f t="shared" si="31"/>
        <v>11641.909155963102</v>
      </c>
      <c r="I16" s="253">
        <f t="shared" si="31"/>
        <v>11940.425538101588</v>
      </c>
      <c r="J16" s="253">
        <f t="shared" si="31"/>
        <v>12246.596337501989</v>
      </c>
      <c r="K16" s="253">
        <f t="shared" si="31"/>
        <v>12560.617825146823</v>
      </c>
      <c r="L16" s="253">
        <f t="shared" si="31"/>
        <v>12882.691304707212</v>
      </c>
      <c r="M16" s="253">
        <f t="shared" si="31"/>
        <v>13213.023241588746</v>
      </c>
      <c r="N16" s="253">
        <f t="shared" si="31"/>
        <v>13551.825395286234</v>
      </c>
      <c r="O16" s="253">
        <f t="shared" si="31"/>
        <v>13899.314955132284</v>
      </c>
      <c r="P16" s="253">
        <f t="shared" si="31"/>
        <v>14255.714679526647</v>
      </c>
      <c r="Q16" s="253">
        <f t="shared" si="31"/>
        <v>14621.253038735633</v>
      </c>
      <c r="R16" s="253">
        <f t="shared" si="31"/>
        <v>14996.164361353116</v>
      </c>
      <c r="S16" s="253">
        <f t="shared" si="31"/>
        <v>15380.688984517032</v>
      </c>
      <c r="T16" s="253">
        <f t="shared" si="31"/>
        <v>15775.073407977639</v>
      </c>
      <c r="U16" s="253">
        <f t="shared" si="31"/>
        <v>16179.570452116357</v>
      </c>
      <c r="V16" s="253">
        <f t="shared" si="31"/>
        <v>16594.439420016406</v>
      </c>
      <c r="W16" s="253">
        <f t="shared" si="31"/>
        <v>17019.946263689228</v>
      </c>
      <c r="X16" s="253">
        <f t="shared" si="31"/>
        <v>17456.363754563183</v>
      </c>
      <c r="Y16" s="253">
        <f t="shared" si="31"/>
        <v>17903.971658343853</v>
      </c>
      <c r="Z16" s="253">
        <f t="shared" si="31"/>
        <v>18363.056914358003</v>
      </c>
      <c r="AA16" s="253">
        <f t="shared" si="31"/>
        <v>18833.913819496243</v>
      </c>
      <c r="AB16" s="253">
        <f t="shared" si="31"/>
        <v>19316.844216872203</v>
      </c>
      <c r="AC16" s="253">
        <f t="shared" si="31"/>
        <v>19812.157689319272</v>
      </c>
      <c r="AD16" s="253">
        <f t="shared" si="31"/>
        <v>20320.171757848868</v>
      </c>
      <c r="AE16" s="253">
        <f t="shared" si="31"/>
        <v>20841.212085197472</v>
      </c>
      <c r="AF16" s="253">
        <f t="shared" si="31"/>
        <v>21375.612684592921</v>
      </c>
      <c r="AG16" s="253">
        <f t="shared" si="31"/>
        <v>21923.716133873819</v>
      </c>
      <c r="AH16" s="253">
        <f t="shared" si="31"/>
        <v>22485.873795099251</v>
      </c>
      <c r="AI16" s="253">
        <f t="shared" si="31"/>
        <v>23062.446039789673</v>
      </c>
      <c r="AJ16" s="253">
        <f t="shared" si="31"/>
        <v>23653.802479943286</v>
      </c>
      <c r="AK16" s="253">
        <f t="shared" si="31"/>
        <v>24260.322204976041</v>
      </c>
      <c r="AL16" s="253">
        <f t="shared" si="31"/>
        <v>24882.394024737147</v>
      </c>
      <c r="AM16" s="253">
        <f t="shared" si="31"/>
        <v>25520.416718755871</v>
      </c>
      <c r="AN16" s="253">
        <f t="shared" si="31"/>
        <v>26174.799291879401</v>
      </c>
      <c r="AO16" s="253">
        <f t="shared" ref="AO16" si="32">AO14*(ShareTruck)</f>
        <v>26845.961236465668</v>
      </c>
    </row>
    <row r="17" spans="1:41" s="126" customFormat="1" ht="15" x14ac:dyDescent="0.3">
      <c r="B17" s="132"/>
      <c r="C17" s="134"/>
      <c r="D17" s="134"/>
      <c r="E17" s="134"/>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row>
    <row r="18" spans="1:41" s="126" customFormat="1" ht="15" x14ac:dyDescent="0.3">
      <c r="A18" s="318" t="s">
        <v>221</v>
      </c>
      <c r="B18" s="132" t="s">
        <v>222</v>
      </c>
      <c r="C18" s="134"/>
      <c r="D18" s="253">
        <f>'Traffic Projection'!W123*(1+'Traffic Projection'!W136)^(2019-2015)</f>
        <v>309174.87811726576</v>
      </c>
      <c r="E18" s="254">
        <f>D18*(1+'Traffic Projection'!$W$136)</f>
        <v>316843.4481979757</v>
      </c>
      <c r="F18" s="254">
        <f>E18*(1+'Traffic Projection'!$W$136)</f>
        <v>324702.2244411037</v>
      </c>
      <c r="G18" s="254">
        <f>F18*(1+'Traffic Projection'!$W$136)</f>
        <v>332755.92459504888</v>
      </c>
      <c r="H18" s="254">
        <f>G18*(1+'Traffic Projection'!$W$136)</f>
        <v>341009.38342413493</v>
      </c>
      <c r="I18" s="254">
        <f>H18*(1+'Traffic Projection'!$W$136)</f>
        <v>349467.55561099609</v>
      </c>
      <c r="J18" s="254">
        <f>I18*(1+'Traffic Projection'!$W$136)</f>
        <v>358135.51873095194</v>
      </c>
      <c r="K18" s="254">
        <f>J18*(1+'Traffic Projection'!$W$136)</f>
        <v>367018.47630015662</v>
      </c>
      <c r="L18" s="254">
        <f>K18*(1+'Traffic Projection'!$W$136)</f>
        <v>376121.76089935232</v>
      </c>
      <c r="M18" s="254">
        <f>L18*(1+'Traffic Projection'!$W$136)</f>
        <v>385450.83737510245</v>
      </c>
      <c r="N18" s="254">
        <f>M18*(1+'Traffic Projection'!$W$136)</f>
        <v>395011.30612042587</v>
      </c>
      <c r="O18" s="254">
        <f>N18*(1+'Traffic Projection'!$W$136)</f>
        <v>404808.90643680189</v>
      </c>
      <c r="P18" s="254">
        <f>O18*(1+'Traffic Projection'!$W$136)</f>
        <v>414849.51997956436</v>
      </c>
      <c r="Q18" s="254">
        <f>P18*(1+'Traffic Projection'!$W$136)</f>
        <v>425139.17428875284</v>
      </c>
      <c r="R18" s="254">
        <f>Q18*(1+'Traffic Projection'!$W$136)</f>
        <v>435684.04640754085</v>
      </c>
      <c r="S18" s="254">
        <f>R18*(1+'Traffic Projection'!$W$136)</f>
        <v>446490.46659041313</v>
      </c>
      <c r="T18" s="254">
        <f>S18*(1+'Traffic Projection'!$W$136)</f>
        <v>457564.92210331798</v>
      </c>
      <c r="U18" s="254">
        <f>T18*(1+'Traffic Projection'!$W$136)</f>
        <v>468914.0611180765</v>
      </c>
      <c r="V18" s="254">
        <f>U18*(1+'Traffic Projection'!$W$136)</f>
        <v>480544.69670338556</v>
      </c>
      <c r="W18" s="254">
        <f>V18*(1+'Traffic Projection'!$W$136)</f>
        <v>492463.81091481156</v>
      </c>
      <c r="X18" s="254">
        <f>W18*(1+'Traffic Projection'!$W$136)</f>
        <v>504678.55898622936</v>
      </c>
      <c r="Y18" s="254">
        <f>X18*(1+'Traffic Projection'!$W$136)</f>
        <v>517196.27362522302</v>
      </c>
      <c r="Z18" s="254">
        <f>Y18*(1+'Traffic Projection'!$W$136)</f>
        <v>530024.46941502695</v>
      </c>
      <c r="AA18" s="254">
        <f>Z18*(1+'Traffic Projection'!$W$136)</f>
        <v>543170.84732564946</v>
      </c>
      <c r="AB18" s="254">
        <f>AA18*(1+'Traffic Projection'!$W$136)</f>
        <v>556643.29933688778</v>
      </c>
      <c r="AC18" s="254">
        <f>AB18*(1+'Traffic Projection'!$W$136)</f>
        <v>570449.9131760092</v>
      </c>
      <c r="AD18" s="254">
        <f>AC18*(1+'Traffic Projection'!$W$136)</f>
        <v>584598.97717294202</v>
      </c>
      <c r="AE18" s="254">
        <f>AD18*(1+'Traffic Projection'!$W$136)</f>
        <v>599098.98523589235</v>
      </c>
      <c r="AF18" s="254">
        <f>AE18*(1+'Traffic Projection'!$W$136)</f>
        <v>613958.64195037191</v>
      </c>
      <c r="AG18" s="254">
        <f>AF18*(1+'Traffic Projection'!$W$136)</f>
        <v>629186.86780469946</v>
      </c>
      <c r="AH18" s="254">
        <f>AG18*(1+'Traffic Projection'!$W$136)</f>
        <v>644792.8045451116</v>
      </c>
      <c r="AI18" s="254">
        <f>AH18*(1+'Traffic Projection'!$W$136)</f>
        <v>660785.82066369883</v>
      </c>
      <c r="AJ18" s="254">
        <f>AI18*(1+'Traffic Projection'!$W$136)</f>
        <v>677175.51702246</v>
      </c>
      <c r="AK18" s="254">
        <f>AJ18*(1+'Traffic Projection'!$W$136)</f>
        <v>693971.73261685274</v>
      </c>
      <c r="AL18" s="254">
        <f>AK18*(1+'Traffic Projection'!$W$136)</f>
        <v>711184.55048229895</v>
      </c>
      <c r="AM18" s="254">
        <f>AL18*(1+'Traffic Projection'!$W$136)</f>
        <v>728824.30374719109</v>
      </c>
      <c r="AN18" s="254">
        <f>AM18*(1+'Traffic Projection'!$W$136)</f>
        <v>746901.58183603408</v>
      </c>
      <c r="AO18" s="254">
        <f>AN18*(1+'Traffic Projection'!$W$136)</f>
        <v>765427.23682644463</v>
      </c>
    </row>
    <row r="19" spans="1:41" s="126" customFormat="1" ht="15" x14ac:dyDescent="0.3">
      <c r="A19" s="19" t="s">
        <v>230</v>
      </c>
      <c r="B19" s="132" t="s">
        <v>222</v>
      </c>
      <c r="C19" s="134"/>
      <c r="D19" s="253">
        <f t="shared" ref="D19:AA19" si="33">D18*(1-ShareTruck)</f>
        <v>268982.14396202122</v>
      </c>
      <c r="E19" s="253">
        <f t="shared" si="33"/>
        <v>275653.79993223888</v>
      </c>
      <c r="F19" s="253">
        <f t="shared" si="33"/>
        <v>282490.93526376021</v>
      </c>
      <c r="G19" s="253">
        <f t="shared" si="33"/>
        <v>289497.65439769253</v>
      </c>
      <c r="H19" s="253">
        <f t="shared" si="33"/>
        <v>296678.16357899737</v>
      </c>
      <c r="I19" s="253">
        <f t="shared" si="33"/>
        <v>304036.77338156657</v>
      </c>
      <c r="J19" s="253">
        <f t="shared" si="33"/>
        <v>311577.90129592817</v>
      </c>
      <c r="K19" s="253">
        <f t="shared" si="33"/>
        <v>319306.07438113628</v>
      </c>
      <c r="L19" s="253">
        <f t="shared" si="33"/>
        <v>327225.93198243651</v>
      </c>
      <c r="M19" s="253">
        <f t="shared" si="33"/>
        <v>335342.22851633915</v>
      </c>
      <c r="N19" s="253">
        <f t="shared" si="33"/>
        <v>343659.83632477053</v>
      </c>
      <c r="O19" s="253">
        <f t="shared" si="33"/>
        <v>352183.74860001763</v>
      </c>
      <c r="P19" s="253">
        <f t="shared" si="33"/>
        <v>360919.08238222101</v>
      </c>
      <c r="Q19" s="253">
        <f t="shared" si="33"/>
        <v>369871.08163121494</v>
      </c>
      <c r="R19" s="253">
        <f t="shared" si="33"/>
        <v>379045.12037456053</v>
      </c>
      <c r="S19" s="253">
        <f t="shared" si="33"/>
        <v>388446.7059336594</v>
      </c>
      <c r="T19" s="253">
        <f t="shared" si="33"/>
        <v>398081.48222988663</v>
      </c>
      <c r="U19" s="253">
        <f t="shared" si="33"/>
        <v>407955.23317272653</v>
      </c>
      <c r="V19" s="253">
        <f t="shared" si="33"/>
        <v>418073.88613194542</v>
      </c>
      <c r="W19" s="253">
        <f t="shared" si="33"/>
        <v>428443.51549588604</v>
      </c>
      <c r="X19" s="253">
        <f t="shared" si="33"/>
        <v>439070.34631801955</v>
      </c>
      <c r="Y19" s="253">
        <f t="shared" si="33"/>
        <v>449960.75805394404</v>
      </c>
      <c r="Z19" s="253">
        <f t="shared" si="33"/>
        <v>461121.28839107347</v>
      </c>
      <c r="AA19" s="253">
        <f t="shared" si="33"/>
        <v>472558.63717331504</v>
      </c>
      <c r="AB19" s="253">
        <f t="shared" ref="AB19" si="34">AB18*(1-ShareTruck)</f>
        <v>484279.67042309238</v>
      </c>
      <c r="AC19" s="253">
        <f t="shared" ref="AC19" si="35">AC18*(1-ShareTruck)</f>
        <v>496291.42446312797</v>
      </c>
      <c r="AD19" s="253">
        <f t="shared" ref="AD19" si="36">AD18*(1-ShareTruck)</f>
        <v>508601.11014045955</v>
      </c>
      <c r="AE19" s="253">
        <f t="shared" ref="AE19:AG19" si="37">AE18*(1-ShareTruck)</f>
        <v>521216.11715522635</v>
      </c>
      <c r="AF19" s="253">
        <f t="shared" ref="AF19:AH19" si="38">AF18*(1-ShareTruck)</f>
        <v>534144.01849682361</v>
      </c>
      <c r="AG19" s="253">
        <f t="shared" si="37"/>
        <v>547392.57499008859</v>
      </c>
      <c r="AH19" s="253">
        <f t="shared" si="38"/>
        <v>560969.73995424714</v>
      </c>
      <c r="AI19" s="253">
        <f t="shared" ref="AI19:AN19" si="39">AI18*(1-ShareTruck)</f>
        <v>574883.66397741798</v>
      </c>
      <c r="AJ19" s="253">
        <f t="shared" si="39"/>
        <v>589142.69980954018</v>
      </c>
      <c r="AK19" s="253">
        <f t="shared" si="39"/>
        <v>603755.4073766619</v>
      </c>
      <c r="AL19" s="253">
        <f t="shared" si="39"/>
        <v>618730.55891960009</v>
      </c>
      <c r="AM19" s="253">
        <f t="shared" si="39"/>
        <v>634077.1442600562</v>
      </c>
      <c r="AN19" s="253">
        <f t="shared" si="39"/>
        <v>649804.37619734963</v>
      </c>
      <c r="AO19" s="253">
        <f t="shared" ref="AO19" si="40">AO18*(1-ShareTruck)</f>
        <v>665921.69603900681</v>
      </c>
    </row>
    <row r="20" spans="1:41" s="126" customFormat="1" ht="15" x14ac:dyDescent="0.3">
      <c r="A20" s="19" t="s">
        <v>264</v>
      </c>
      <c r="B20" s="132" t="s">
        <v>222</v>
      </c>
      <c r="C20" s="134"/>
      <c r="D20" s="253">
        <f t="shared" ref="D20" si="41">D18*(ShareTruck)</f>
        <v>40192.73415524455</v>
      </c>
      <c r="E20" s="253">
        <f t="shared" ref="E20:AA20" si="42">E18*(ShareTruck)</f>
        <v>41189.64826573684</v>
      </c>
      <c r="F20" s="253">
        <f t="shared" si="42"/>
        <v>42211.289177343482</v>
      </c>
      <c r="G20" s="253">
        <f t="shared" si="42"/>
        <v>43258.27019735636</v>
      </c>
      <c r="H20" s="253">
        <f t="shared" si="42"/>
        <v>44331.219845137544</v>
      </c>
      <c r="I20" s="253">
        <f t="shared" si="42"/>
        <v>45430.782229429497</v>
      </c>
      <c r="J20" s="253">
        <f t="shared" si="42"/>
        <v>46557.617435023756</v>
      </c>
      <c r="K20" s="253">
        <f t="shared" si="42"/>
        <v>47712.401919020362</v>
      </c>
      <c r="L20" s="253">
        <f t="shared" si="42"/>
        <v>48895.828916915802</v>
      </c>
      <c r="M20" s="253">
        <f t="shared" si="42"/>
        <v>50108.60885876332</v>
      </c>
      <c r="N20" s="253">
        <f t="shared" si="42"/>
        <v>51351.469795655365</v>
      </c>
      <c r="O20" s="253">
        <f t="shared" si="42"/>
        <v>52625.157836784245</v>
      </c>
      <c r="P20" s="253">
        <f t="shared" si="42"/>
        <v>53930.437597343371</v>
      </c>
      <c r="Q20" s="253">
        <f t="shared" si="42"/>
        <v>55268.092657537869</v>
      </c>
      <c r="R20" s="253">
        <f t="shared" si="42"/>
        <v>56638.926032980315</v>
      </c>
      <c r="S20" s="253">
        <f t="shared" si="42"/>
        <v>58043.760656753708</v>
      </c>
      <c r="T20" s="253">
        <f t="shared" si="42"/>
        <v>59483.439873431336</v>
      </c>
      <c r="U20" s="253">
        <f t="shared" si="42"/>
        <v>60958.827945349949</v>
      </c>
      <c r="V20" s="253">
        <f t="shared" si="42"/>
        <v>62470.810571440124</v>
      </c>
      <c r="W20" s="253">
        <f t="shared" si="42"/>
        <v>64020.295418925503</v>
      </c>
      <c r="X20" s="253">
        <f t="shared" si="42"/>
        <v>65608.212668209817</v>
      </c>
      <c r="Y20" s="253">
        <f t="shared" si="42"/>
        <v>67235.515571279</v>
      </c>
      <c r="Z20" s="253">
        <f t="shared" si="42"/>
        <v>68903.181023953512</v>
      </c>
      <c r="AA20" s="253">
        <f t="shared" si="42"/>
        <v>70612.210152334432</v>
      </c>
      <c r="AB20" s="253">
        <f t="shared" ref="AB20:AF20" si="43">AB18*(ShareTruck)</f>
        <v>72363.628913795415</v>
      </c>
      <c r="AC20" s="253">
        <f t="shared" si="43"/>
        <v>74158.488712881197</v>
      </c>
      <c r="AD20" s="253">
        <f t="shared" si="43"/>
        <v>75997.867032482463</v>
      </c>
      <c r="AE20" s="253">
        <f t="shared" si="43"/>
        <v>77882.868080666012</v>
      </c>
      <c r="AF20" s="253">
        <f t="shared" si="43"/>
        <v>79814.623453548353</v>
      </c>
      <c r="AG20" s="253">
        <f t="shared" ref="AG20:AH20" si="44">AG18*(ShareTruck)</f>
        <v>81794.292814610933</v>
      </c>
      <c r="AH20" s="253">
        <f t="shared" si="44"/>
        <v>83823.064590864509</v>
      </c>
      <c r="AI20" s="253">
        <f t="shared" ref="AI20:AN20" si="45">AI18*(ShareTruck)</f>
        <v>85902.156686280854</v>
      </c>
      <c r="AJ20" s="253">
        <f t="shared" si="45"/>
        <v>88032.817212919806</v>
      </c>
      <c r="AK20" s="253">
        <f t="shared" si="45"/>
        <v>90216.325240190854</v>
      </c>
      <c r="AL20" s="253">
        <f t="shared" si="45"/>
        <v>92453.991562698866</v>
      </c>
      <c r="AM20" s="253">
        <f t="shared" si="45"/>
        <v>94747.15948713485</v>
      </c>
      <c r="AN20" s="253">
        <f t="shared" si="45"/>
        <v>97097.205638684434</v>
      </c>
      <c r="AO20" s="253">
        <f t="shared" ref="AO20" si="46">AO18*(ShareTruck)</f>
        <v>99505.5407874378</v>
      </c>
    </row>
    <row r="21" spans="1:41" s="126" customFormat="1" ht="15" x14ac:dyDescent="0.3">
      <c r="A21" s="101"/>
      <c r="B21" s="132"/>
      <c r="C21" s="134"/>
      <c r="D21" s="134"/>
      <c r="E21" s="253"/>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row>
    <row r="22" spans="1:41" s="126" customFormat="1" x14ac:dyDescent="0.3">
      <c r="A22" s="219" t="s">
        <v>232</v>
      </c>
      <c r="B22" s="126" t="s">
        <v>222</v>
      </c>
      <c r="D22" s="128">
        <f>'Traffic Projection'!W148*(1+'Traffic Projection'!W161)^(2019-2015)</f>
        <v>127156.54010765166</v>
      </c>
      <c r="E22" s="128">
        <f>D22*(1+'Traffic Projection'!$W$161)</f>
        <v>130231.82904956897</v>
      </c>
      <c r="F22" s="128">
        <f>E22*(1+'Traffic Projection'!$W$161)</f>
        <v>133381.49404849659</v>
      </c>
      <c r="G22" s="128">
        <f>F22*(1+'Traffic Projection'!$W$161)</f>
        <v>136607.33389406398</v>
      </c>
      <c r="H22" s="128">
        <f>G22*(1+'Traffic Projection'!$W$161)</f>
        <v>139911.19087974128</v>
      </c>
      <c r="I22" s="128">
        <f>H22*(1+'Traffic Projection'!$W$161)</f>
        <v>143294.95185498236</v>
      </c>
      <c r="J22" s="128">
        <f>I22*(1+'Traffic Projection'!$W$161)</f>
        <v>146760.54930281415</v>
      </c>
      <c r="K22" s="128">
        <f>J22*(1+'Traffic Projection'!$W$161)</f>
        <v>150309.96244348749</v>
      </c>
      <c r="L22" s="128">
        <f>K22*(1+'Traffic Projection'!$W$161)</f>
        <v>153945.21836481974</v>
      </c>
      <c r="M22" s="128">
        <f>L22*(1+'Traffic Projection'!$W$161)</f>
        <v>157668.39317987501</v>
      </c>
      <c r="N22" s="128">
        <f>M22*(1+'Traffic Projection'!$W$161)</f>
        <v>161481.61321264281</v>
      </c>
      <c r="O22" s="128">
        <f>N22*(1+'Traffic Projection'!$W$161)</f>
        <v>165387.05621239243</v>
      </c>
      <c r="P22" s="128">
        <f>O22*(1+'Traffic Projection'!$W$161)</f>
        <v>169386.95259739654</v>
      </c>
      <c r="Q22" s="128">
        <f>P22*(1+'Traffic Projection'!$W$161)</f>
        <v>173483.58672873446</v>
      </c>
      <c r="R22" s="128">
        <f>Q22*(1+'Traffic Projection'!$W$161)</f>
        <v>177679.29821490226</v>
      </c>
      <c r="S22" s="128">
        <f>R22*(1+'Traffic Projection'!$W$161)</f>
        <v>181976.483247975</v>
      </c>
      <c r="T22" s="128">
        <f>S22*(1+'Traffic Projection'!$W$161)</f>
        <v>186377.59597208429</v>
      </c>
      <c r="U22" s="128">
        <f>T22*(1+'Traffic Projection'!$W$161)</f>
        <v>190885.14988499225</v>
      </c>
      <c r="V22" s="128">
        <f>U22*(1+'Traffic Projection'!$W$161)</f>
        <v>195501.71927356292</v>
      </c>
      <c r="W22" s="128">
        <f>V22*(1+'Traffic Projection'!$W$161)</f>
        <v>200229.94068395052</v>
      </c>
      <c r="X22" s="128">
        <f>W22*(1+'Traffic Projection'!$W$161)</f>
        <v>205072.51442734431</v>
      </c>
      <c r="Y22" s="128">
        <f>X22*(1+'Traffic Projection'!$W$161)</f>
        <v>210032.20612212989</v>
      </c>
      <c r="Z22" s="128">
        <f>Y22*(1+'Traffic Projection'!$W$161)</f>
        <v>215111.84827334801</v>
      </c>
      <c r="AA22" s="128">
        <f>Z22*(1+'Traffic Projection'!$W$161)</f>
        <v>220314.3418903524</v>
      </c>
      <c r="AB22" s="128">
        <f>AA22*(1+'Traffic Projection'!$W$161)</f>
        <v>225642.65814359102</v>
      </c>
      <c r="AC22" s="128">
        <f>AB22*(1+'Traffic Projection'!$W$161)</f>
        <v>231099.84006145649</v>
      </c>
      <c r="AD22" s="128">
        <f>AC22*(1+'Traffic Projection'!$W$161)</f>
        <v>236689.00426817502</v>
      </c>
      <c r="AE22" s="128">
        <f>AD22*(1+'Traffic Projection'!$W$161)</f>
        <v>242413.34276372628</v>
      </c>
      <c r="AF22" s="128">
        <f>AE22*(1+'Traffic Projection'!$W$161)</f>
        <v>248276.12474681076</v>
      </c>
      <c r="AG22" s="128">
        <f>AF22*(1+'Traffic Projection'!$W$161)</f>
        <v>254280.69848190568</v>
      </c>
      <c r="AH22" s="128">
        <f>AG22*(1+'Traffic Projection'!$W$161)</f>
        <v>260430.49321147584</v>
      </c>
      <c r="AI22" s="128">
        <f>AH22*(1+'Traffic Projection'!$W$161)</f>
        <v>266729.02111443132</v>
      </c>
      <c r="AJ22" s="128">
        <f>AI22*(1+'Traffic Projection'!$W$161)</f>
        <v>273179.87931195064</v>
      </c>
      <c r="AK22" s="128">
        <f>AJ22*(1+'Traffic Projection'!$W$161)</f>
        <v>279786.75192181487</v>
      </c>
      <c r="AL22" s="128">
        <f>AK22*(1+'Traffic Projection'!$W$161)</f>
        <v>286553.41216242599</v>
      </c>
      <c r="AM22" s="128">
        <f>AL22*(1+'Traffic Projection'!$W$161)</f>
        <v>293483.72450771095</v>
      </c>
      <c r="AN22" s="128">
        <f>AM22*(1+'Traffic Projection'!$W$161)</f>
        <v>300581.64689414238</v>
      </c>
      <c r="AO22" s="128">
        <f>AN22*(1+'Traffic Projection'!$W$161)</f>
        <v>307851.23298113613</v>
      </c>
    </row>
    <row r="23" spans="1:41" s="126" customFormat="1" x14ac:dyDescent="0.3">
      <c r="A23" s="19" t="s">
        <v>230</v>
      </c>
      <c r="B23" s="132" t="s">
        <v>222</v>
      </c>
      <c r="D23" s="128">
        <f t="shared" ref="D23:AA23" si="47">D22*(1-ShareTruck)</f>
        <v>110626.18989365693</v>
      </c>
      <c r="E23" s="128">
        <f t="shared" si="47"/>
        <v>113301.691273125</v>
      </c>
      <c r="F23" s="128">
        <f t="shared" si="47"/>
        <v>116041.89982219203</v>
      </c>
      <c r="G23" s="128">
        <f t="shared" si="47"/>
        <v>118848.38048783566</v>
      </c>
      <c r="H23" s="128">
        <f t="shared" si="47"/>
        <v>121722.73606537491</v>
      </c>
      <c r="I23" s="128">
        <f t="shared" si="47"/>
        <v>124666.60811383465</v>
      </c>
      <c r="J23" s="128">
        <f t="shared" si="47"/>
        <v>127681.67789344832</v>
      </c>
      <c r="K23" s="128">
        <f t="shared" si="47"/>
        <v>130769.66732583412</v>
      </c>
      <c r="L23" s="128">
        <f t="shared" si="47"/>
        <v>133932.33997739316</v>
      </c>
      <c r="M23" s="128">
        <f t="shared" si="47"/>
        <v>137171.50206649126</v>
      </c>
      <c r="N23" s="128">
        <f t="shared" si="47"/>
        <v>140489.00349499926</v>
      </c>
      <c r="O23" s="128">
        <f t="shared" si="47"/>
        <v>143886.73890478141</v>
      </c>
      <c r="P23" s="128">
        <f t="shared" si="47"/>
        <v>147366.64875973499</v>
      </c>
      <c r="Q23" s="128">
        <f t="shared" si="47"/>
        <v>150930.72045399898</v>
      </c>
      <c r="R23" s="128">
        <f t="shared" si="47"/>
        <v>154580.98944696496</v>
      </c>
      <c r="S23" s="128">
        <f t="shared" si="47"/>
        <v>158319.54042573826</v>
      </c>
      <c r="T23" s="128">
        <f t="shared" si="47"/>
        <v>162148.50849571332</v>
      </c>
      <c r="U23" s="128">
        <f t="shared" si="47"/>
        <v>166070.08039994325</v>
      </c>
      <c r="V23" s="128">
        <f t="shared" si="47"/>
        <v>170086.49576799973</v>
      </c>
      <c r="W23" s="128">
        <f t="shared" si="47"/>
        <v>174200.04839503695</v>
      </c>
      <c r="X23" s="128">
        <f t="shared" si="47"/>
        <v>178413.08755178956</v>
      </c>
      <c r="Y23" s="128">
        <f t="shared" si="47"/>
        <v>182728.01932625301</v>
      </c>
      <c r="Z23" s="128">
        <f t="shared" si="47"/>
        <v>187147.30799781275</v>
      </c>
      <c r="AA23" s="128">
        <f t="shared" si="47"/>
        <v>191673.4774446066</v>
      </c>
      <c r="AB23" s="128">
        <f t="shared" ref="AB23" si="48">AB22*(1-ShareTruck)</f>
        <v>196309.11258492418</v>
      </c>
      <c r="AC23" s="128">
        <f t="shared" ref="AC23" si="49">AC22*(1-ShareTruck)</f>
        <v>201056.86085346714</v>
      </c>
      <c r="AD23" s="128">
        <f t="shared" ref="AD23" si="50">AD22*(1-ShareTruck)</f>
        <v>205919.43371331226</v>
      </c>
      <c r="AE23" s="128">
        <f t="shared" ref="AE23:AG23" si="51">AE22*(1-ShareTruck)</f>
        <v>210899.60820444187</v>
      </c>
      <c r="AF23" s="128">
        <f t="shared" ref="AF23:AH23" si="52">AF22*(1-ShareTruck)</f>
        <v>216000.22852972537</v>
      </c>
      <c r="AG23" s="128">
        <f t="shared" si="51"/>
        <v>221224.20767925793</v>
      </c>
      <c r="AH23" s="128">
        <f t="shared" si="52"/>
        <v>226574.52909398399</v>
      </c>
      <c r="AI23" s="128">
        <f t="shared" ref="AI23:AN23" si="53">AI22*(1-ShareTruck)</f>
        <v>232054.24836955525</v>
      </c>
      <c r="AJ23" s="128">
        <f t="shared" si="53"/>
        <v>237666.49500139707</v>
      </c>
      <c r="AK23" s="128">
        <f t="shared" si="53"/>
        <v>243414.47417197895</v>
      </c>
      <c r="AL23" s="128">
        <f t="shared" si="53"/>
        <v>249301.46858131062</v>
      </c>
      <c r="AM23" s="128">
        <f t="shared" si="53"/>
        <v>255330.84032170853</v>
      </c>
      <c r="AN23" s="128">
        <f t="shared" si="53"/>
        <v>261506.03279790387</v>
      </c>
      <c r="AO23" s="128">
        <f t="shared" ref="AO23" si="54">AO22*(1-ShareTruck)</f>
        <v>267830.57269358844</v>
      </c>
    </row>
    <row r="24" spans="1:41" s="126" customFormat="1" x14ac:dyDescent="0.3">
      <c r="A24" s="19" t="s">
        <v>264</v>
      </c>
      <c r="B24" s="132" t="s">
        <v>222</v>
      </c>
      <c r="D24" s="128">
        <f t="shared" ref="D24:E24" si="55">D22*(ShareTruck)</f>
        <v>16530.350213994716</v>
      </c>
      <c r="E24" s="128">
        <f t="shared" si="55"/>
        <v>16930.137776443968</v>
      </c>
      <c r="F24" s="128">
        <f t="shared" ref="F24:AA24" si="56">F22*(ShareTruck)</f>
        <v>17339.594226304558</v>
      </c>
      <c r="G24" s="128">
        <f t="shared" si="56"/>
        <v>17758.953406228316</v>
      </c>
      <c r="H24" s="128">
        <f t="shared" si="56"/>
        <v>18188.454814366367</v>
      </c>
      <c r="I24" s="128">
        <f t="shared" si="56"/>
        <v>18628.343741147706</v>
      </c>
      <c r="J24" s="128">
        <f t="shared" si="56"/>
        <v>19078.871409365842</v>
      </c>
      <c r="K24" s="128">
        <f t="shared" si="56"/>
        <v>19540.295117653375</v>
      </c>
      <c r="L24" s="128">
        <f t="shared" si="56"/>
        <v>20012.878387426568</v>
      </c>
      <c r="M24" s="128">
        <f t="shared" si="56"/>
        <v>20496.891113383754</v>
      </c>
      <c r="N24" s="128">
        <f t="shared" si="56"/>
        <v>20992.609717643565</v>
      </c>
      <c r="O24" s="128">
        <f t="shared" si="56"/>
        <v>21500.317307611018</v>
      </c>
      <c r="P24" s="128">
        <f t="shared" si="56"/>
        <v>22020.303837661551</v>
      </c>
      <c r="Q24" s="128">
        <f t="shared" si="56"/>
        <v>22552.866274735479</v>
      </c>
      <c r="R24" s="128">
        <f t="shared" si="56"/>
        <v>23098.308767937295</v>
      </c>
      <c r="S24" s="128">
        <f t="shared" si="56"/>
        <v>23656.94282223675</v>
      </c>
      <c r="T24" s="128">
        <f t="shared" si="56"/>
        <v>24229.087476370958</v>
      </c>
      <c r="U24" s="128">
        <f t="shared" si="56"/>
        <v>24815.069485048993</v>
      </c>
      <c r="V24" s="128">
        <f t="shared" si="56"/>
        <v>25415.223505563179</v>
      </c>
      <c r="W24" s="128">
        <f t="shared" si="56"/>
        <v>26029.892288913568</v>
      </c>
      <c r="X24" s="128">
        <f t="shared" si="56"/>
        <v>26659.42687555476</v>
      </c>
      <c r="Y24" s="128">
        <f t="shared" si="56"/>
        <v>27304.186795876885</v>
      </c>
      <c r="Z24" s="128">
        <f t="shared" si="56"/>
        <v>27964.540275535241</v>
      </c>
      <c r="AA24" s="128">
        <f t="shared" si="56"/>
        <v>28640.864445745814</v>
      </c>
      <c r="AB24" s="128">
        <f t="shared" ref="AB24:AF24" si="57">AB22*(ShareTruck)</f>
        <v>29333.545558666832</v>
      </c>
      <c r="AC24" s="128">
        <f t="shared" si="57"/>
        <v>30042.979207989345</v>
      </c>
      <c r="AD24" s="128">
        <f t="shared" si="57"/>
        <v>30769.570554862752</v>
      </c>
      <c r="AE24" s="128">
        <f t="shared" si="57"/>
        <v>31513.734559284418</v>
      </c>
      <c r="AF24" s="128">
        <f t="shared" si="57"/>
        <v>32275.896217085399</v>
      </c>
      <c r="AG24" s="128">
        <f t="shared" ref="AG24:AH24" si="58">AG22*(ShareTruck)</f>
        <v>33056.490802647742</v>
      </c>
      <c r="AH24" s="128">
        <f t="shared" si="58"/>
        <v>33855.964117491858</v>
      </c>
      <c r="AI24" s="128">
        <f t="shared" ref="AI24:AN24" si="59">AI22*(ShareTruck)</f>
        <v>34674.772744876071</v>
      </c>
      <c r="AJ24" s="128">
        <f t="shared" si="59"/>
        <v>35513.384310553585</v>
      </c>
      <c r="AK24" s="128">
        <f t="shared" si="59"/>
        <v>36372.277749835936</v>
      </c>
      <c r="AL24" s="128">
        <f t="shared" si="59"/>
        <v>37251.943581115382</v>
      </c>
      <c r="AM24" s="128">
        <f t="shared" si="59"/>
        <v>38152.884186002426</v>
      </c>
      <c r="AN24" s="128">
        <f t="shared" si="59"/>
        <v>39075.614096238511</v>
      </c>
      <c r="AO24" s="128">
        <f t="shared" ref="AO24" si="60">AO22*(ShareTruck)</f>
        <v>40020.660287547696</v>
      </c>
    </row>
    <row r="25" spans="1:41" s="126" customFormat="1" ht="15" x14ac:dyDescent="0.3">
      <c r="B25" s="131"/>
      <c r="C25" s="134"/>
      <c r="D25" s="134"/>
      <c r="E25" s="134"/>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row>
    <row r="26" spans="1:41" s="126" customFormat="1" ht="15" x14ac:dyDescent="0.3">
      <c r="A26" s="318" t="s">
        <v>303</v>
      </c>
      <c r="B26" s="133" t="s">
        <v>78</v>
      </c>
      <c r="C26" s="134"/>
      <c r="D26" s="273">
        <f>SUM(D27:D28)</f>
        <v>2040125.2649927014</v>
      </c>
      <c r="E26" s="273">
        <f t="shared" ref="E26:AN26" si="61">SUM(E27:E28)</f>
        <v>2092437.2015536386</v>
      </c>
      <c r="F26" s="273">
        <f t="shared" si="61"/>
        <v>2146090.4962917985</v>
      </c>
      <c r="G26" s="273">
        <f t="shared" si="61"/>
        <v>2201119.5436853422</v>
      </c>
      <c r="H26" s="273">
        <f t="shared" si="61"/>
        <v>2257559.620139529</v>
      </c>
      <c r="I26" s="273">
        <f t="shared" si="61"/>
        <v>2315446.9066006849</v>
      </c>
      <c r="J26" s="273">
        <f t="shared" si="61"/>
        <v>2374818.5117500126</v>
      </c>
      <c r="K26" s="273">
        <f t="shared" si="61"/>
        <v>2435712.4957921407</v>
      </c>
      <c r="L26" s="273">
        <f t="shared" si="61"/>
        <v>2498167.8948536376</v>
      </c>
      <c r="M26" s="273">
        <f t="shared" si="61"/>
        <v>2562224.7460071491</v>
      </c>
      <c r="N26" s="273">
        <f t="shared" si="61"/>
        <v>2627924.1129371845</v>
      </c>
      <c r="O26" s="273">
        <f t="shared" si="61"/>
        <v>2695308.1122640199</v>
      </c>
      <c r="P26" s="273">
        <f t="shared" si="61"/>
        <v>2764419.9405425843</v>
      </c>
      <c r="Q26" s="273">
        <f t="shared" si="61"/>
        <v>2835303.9019536367</v>
      </c>
      <c r="R26" s="273">
        <f t="shared" si="61"/>
        <v>2908005.4367049886</v>
      </c>
      <c r="S26" s="273">
        <f t="shared" si="61"/>
        <v>2982571.1501609795</v>
      </c>
      <c r="T26" s="273">
        <f t="shared" si="61"/>
        <v>3059048.8427188741</v>
      </c>
      <c r="U26" s="273">
        <f t="shared" si="61"/>
        <v>3137487.5404513348</v>
      </c>
      <c r="V26" s="273">
        <f t="shared" si="61"/>
        <v>3217937.5265346216</v>
      </c>
      <c r="W26" s="273">
        <f t="shared" si="61"/>
        <v>3300450.373482646</v>
      </c>
      <c r="X26" s="273">
        <f t="shared" si="61"/>
        <v>3385078.9762075692</v>
      </c>
      <c r="Y26" s="273">
        <f t="shared" si="61"/>
        <v>3471877.5859281197</v>
      </c>
      <c r="Z26" s="273">
        <f t="shared" si="61"/>
        <v>3560901.8449473637</v>
      </c>
      <c r="AA26" s="273">
        <f t="shared" si="61"/>
        <v>3652208.8223222457</v>
      </c>
      <c r="AB26" s="273">
        <f t="shared" si="61"/>
        <v>3745857.0504477397</v>
      </c>
      <c r="AC26" s="273">
        <f t="shared" si="61"/>
        <v>3841906.5625790753</v>
      </c>
      <c r="AD26" s="273">
        <f t="shared" si="61"/>
        <v>3940418.9313161029</v>
      </c>
      <c r="AE26" s="273">
        <f t="shared" si="61"/>
        <v>4041457.3080744366</v>
      </c>
      <c r="AF26" s="273">
        <f t="shared" si="61"/>
        <v>4145086.4635687117</v>
      </c>
      <c r="AG26" s="273">
        <f t="shared" si="61"/>
        <v>4251372.8293338958</v>
      </c>
      <c r="AH26" s="273">
        <f t="shared" si="61"/>
        <v>4360384.5403112629</v>
      </c>
      <c r="AI26" s="273">
        <f t="shared" si="61"/>
        <v>4472191.4785263408</v>
      </c>
      <c r="AJ26" s="273">
        <f t="shared" si="61"/>
        <v>4586865.3178868238</v>
      </c>
      <c r="AK26" s="273">
        <f t="shared" si="61"/>
        <v>4704479.5701291831</v>
      </c>
      <c r="AL26" s="273">
        <f t="shared" si="61"/>
        <v>4825109.6319434056</v>
      </c>
      <c r="AM26" s="273">
        <f t="shared" si="61"/>
        <v>4948832.83330609</v>
      </c>
      <c r="AN26" s="273">
        <f t="shared" si="61"/>
        <v>5075728.4870528812</v>
      </c>
      <c r="AO26" s="273">
        <f t="shared" ref="AO26" si="62">SUM(AO27:AO28)</f>
        <v>5205877.9397220062</v>
      </c>
    </row>
    <row r="27" spans="1:41" s="126" customFormat="1" x14ac:dyDescent="0.3">
      <c r="A27" s="19" t="s">
        <v>223</v>
      </c>
      <c r="B27" s="133" t="s">
        <v>78</v>
      </c>
      <c r="C27" s="134"/>
      <c r="D27" s="257">
        <f>D15*timevalue_auto*Avg_Veh_Occ</f>
        <v>1729766.6337948744</v>
      </c>
      <c r="E27" s="257">
        <f t="shared" ref="E27:AN27" si="63">E15*timevalue_auto*Avg_Veh_Occ</f>
        <v>1774120.4996897841</v>
      </c>
      <c r="F27" s="257">
        <f t="shared" si="63"/>
        <v>1819611.666641027</v>
      </c>
      <c r="G27" s="257">
        <f t="shared" si="63"/>
        <v>1866269.2967896389</v>
      </c>
      <c r="H27" s="257">
        <f t="shared" si="63"/>
        <v>1914123.3000386176</v>
      </c>
      <c r="I27" s="257">
        <f t="shared" si="63"/>
        <v>1963204.3532266882</v>
      </c>
      <c r="J27" s="257">
        <f t="shared" si="63"/>
        <v>2013543.9197937041</v>
      </c>
      <c r="K27" s="257">
        <f t="shared" si="63"/>
        <v>2065174.2699503093</v>
      </c>
      <c r="L27" s="257">
        <f t="shared" si="63"/>
        <v>2118128.5013647745</v>
      </c>
      <c r="M27" s="257">
        <f t="shared" si="63"/>
        <v>2172440.5603802809</v>
      </c>
      <c r="N27" s="257">
        <f t="shared" si="63"/>
        <v>2228145.2637762404</v>
      </c>
      <c r="O27" s="257">
        <f t="shared" si="63"/>
        <v>2285278.3210876174</v>
      </c>
      <c r="P27" s="257">
        <f t="shared" si="63"/>
        <v>2343876.3574965484</v>
      </c>
      <c r="Q27" s="257">
        <f t="shared" si="63"/>
        <v>2403976.9373109355</v>
      </c>
      <c r="R27" s="257">
        <f t="shared" si="63"/>
        <v>2465618.5880450718</v>
      </c>
      <c r="S27" s="257">
        <f t="shared" si="63"/>
        <v>2528840.8251177273</v>
      </c>
      <c r="T27" s="257">
        <f t="shared" si="63"/>
        <v>2593684.1771835336</v>
      </c>
      <c r="U27" s="257">
        <f t="shared" si="63"/>
        <v>2660190.2121139024</v>
      </c>
      <c r="V27" s="257">
        <f t="shared" si="63"/>
        <v>2728401.5636441377</v>
      </c>
      <c r="W27" s="257">
        <f t="shared" si="63"/>
        <v>2798361.9587038136</v>
      </c>
      <c r="X27" s="257">
        <f t="shared" si="63"/>
        <v>2870116.2454479556</v>
      </c>
      <c r="Y27" s="257">
        <f t="shared" si="63"/>
        <v>2943710.4220069759</v>
      </c>
      <c r="Z27" s="257">
        <f t="shared" si="63"/>
        <v>3019191.6659738026</v>
      </c>
      <c r="AA27" s="257">
        <f t="shared" si="63"/>
        <v>3096608.3646471063</v>
      </c>
      <c r="AB27" s="257">
        <f t="shared" si="63"/>
        <v>3176010.1460500094</v>
      </c>
      <c r="AC27" s="257">
        <f t="shared" si="63"/>
        <v>3257447.9107441567</v>
      </c>
      <c r="AD27" s="257">
        <f t="shared" si="63"/>
        <v>3340973.8644595612</v>
      </c>
      <c r="AE27" s="257">
        <f t="shared" si="63"/>
        <v>3426641.5515611111</v>
      </c>
      <c r="AF27" s="257">
        <f t="shared" si="63"/>
        <v>3514505.8893732205</v>
      </c>
      <c r="AG27" s="257">
        <f t="shared" si="63"/>
        <v>3604623.2033846183</v>
      </c>
      <c r="AH27" s="257">
        <f t="shared" si="63"/>
        <v>3697051.2633558353</v>
      </c>
      <c r="AI27" s="257">
        <f t="shared" si="63"/>
        <v>3791849.3203525455</v>
      </c>
      <c r="AJ27" s="257">
        <f t="shared" si="63"/>
        <v>3889078.1447284971</v>
      </c>
      <c r="AK27" s="257">
        <f t="shared" si="63"/>
        <v>3988800.0650823899</v>
      </c>
      <c r="AL27" s="257">
        <f t="shared" si="63"/>
        <v>4091079.0082136597</v>
      </c>
      <c r="AM27" s="257">
        <f t="shared" si="63"/>
        <v>4195980.540102792</v>
      </c>
      <c r="AN27" s="257">
        <f t="shared" si="63"/>
        <v>4303571.9079424385</v>
      </c>
      <c r="AO27" s="257">
        <f t="shared" ref="AO27" si="64">AO15*timevalue_auto*Avg_Veh_Occ</f>
        <v>4413922.0832462693</v>
      </c>
    </row>
    <row r="28" spans="1:41" s="126" customFormat="1" x14ac:dyDescent="0.3">
      <c r="A28" s="19" t="s">
        <v>224</v>
      </c>
      <c r="B28" s="133" t="s">
        <v>78</v>
      </c>
      <c r="C28" s="134"/>
      <c r="D28" s="257">
        <f t="shared" ref="D28:AL28" si="65">D16*Avg_Truck_Occ*TimeValue_truck</f>
        <v>310358.63119782688</v>
      </c>
      <c r="E28" s="257">
        <f t="shared" si="65"/>
        <v>318316.70186385443</v>
      </c>
      <c r="F28" s="257">
        <f t="shared" si="65"/>
        <v>326478.82965077175</v>
      </c>
      <c r="G28" s="257">
        <f t="shared" si="65"/>
        <v>334850.2468957032</v>
      </c>
      <c r="H28" s="257">
        <f t="shared" si="65"/>
        <v>343436.32010091149</v>
      </c>
      <c r="I28" s="257">
        <f t="shared" si="65"/>
        <v>352242.55337399687</v>
      </c>
      <c r="J28" s="257">
        <f t="shared" si="65"/>
        <v>361274.59195630869</v>
      </c>
      <c r="K28" s="257">
        <f t="shared" si="65"/>
        <v>370538.2258418313</v>
      </c>
      <c r="L28" s="257">
        <f t="shared" si="65"/>
        <v>380039.39348886278</v>
      </c>
      <c r="M28" s="257">
        <f t="shared" si="65"/>
        <v>389784.18562686798</v>
      </c>
      <c r="N28" s="257">
        <f t="shared" si="65"/>
        <v>399778.84916094394</v>
      </c>
      <c r="O28" s="257">
        <f t="shared" si="65"/>
        <v>410029.79117640236</v>
      </c>
      <c r="P28" s="257">
        <f t="shared" si="65"/>
        <v>420543.58304603607</v>
      </c>
      <c r="Q28" s="257">
        <f t="shared" si="65"/>
        <v>431326.96464270115</v>
      </c>
      <c r="R28" s="257">
        <f t="shared" si="65"/>
        <v>442386.8486599169</v>
      </c>
      <c r="S28" s="257">
        <f t="shared" si="65"/>
        <v>453730.32504325244</v>
      </c>
      <c r="T28" s="257">
        <f t="shared" si="65"/>
        <v>465364.66553534038</v>
      </c>
      <c r="U28" s="257">
        <f t="shared" si="65"/>
        <v>477297.32833743253</v>
      </c>
      <c r="V28" s="257">
        <f t="shared" si="65"/>
        <v>489535.96289048396</v>
      </c>
      <c r="W28" s="257">
        <f t="shared" si="65"/>
        <v>502088.41477883223</v>
      </c>
      <c r="X28" s="257">
        <f t="shared" si="65"/>
        <v>514962.73075961391</v>
      </c>
      <c r="Y28" s="257">
        <f t="shared" si="65"/>
        <v>528167.16392114363</v>
      </c>
      <c r="Z28" s="257">
        <f t="shared" si="65"/>
        <v>541710.17897356115</v>
      </c>
      <c r="AA28" s="257">
        <f t="shared" si="65"/>
        <v>555600.45767513919</v>
      </c>
      <c r="AB28" s="257">
        <f t="shared" si="65"/>
        <v>569846.90439773002</v>
      </c>
      <c r="AC28" s="257">
        <f t="shared" si="65"/>
        <v>584458.65183491854</v>
      </c>
      <c r="AD28" s="257">
        <f t="shared" si="65"/>
        <v>599445.06685654155</v>
      </c>
      <c r="AE28" s="257">
        <f t="shared" si="65"/>
        <v>614815.75651332538</v>
      </c>
      <c r="AF28" s="257">
        <f t="shared" si="65"/>
        <v>630580.57419549115</v>
      </c>
      <c r="AG28" s="257">
        <f t="shared" si="65"/>
        <v>646749.62594927766</v>
      </c>
      <c r="AH28" s="257">
        <f t="shared" si="65"/>
        <v>663333.27695542795</v>
      </c>
      <c r="AI28" s="257">
        <f t="shared" si="65"/>
        <v>680342.15817379532</v>
      </c>
      <c r="AJ28" s="257">
        <f t="shared" si="65"/>
        <v>697787.17315832688</v>
      </c>
      <c r="AK28" s="257">
        <f t="shared" si="65"/>
        <v>715679.50504679314</v>
      </c>
      <c r="AL28" s="257">
        <f t="shared" si="65"/>
        <v>734030.62372974586</v>
      </c>
      <c r="AM28" s="257">
        <f t="shared" ref="AM28:AN28" si="66">AM16*Avg_Truck_Occ*TimeValue_truck</f>
        <v>752852.29320329824</v>
      </c>
      <c r="AN28" s="257">
        <f t="shared" si="66"/>
        <v>772156.57911044231</v>
      </c>
      <c r="AO28" s="257">
        <f t="shared" ref="AO28" si="67">AO16*Avg_Truck_Occ*TimeValue_truck</f>
        <v>791955.85647573718</v>
      </c>
    </row>
    <row r="29" spans="1:41" s="126" customFormat="1" ht="15" x14ac:dyDescent="0.3">
      <c r="B29" s="131"/>
      <c r="C29" s="134"/>
      <c r="D29" s="134"/>
      <c r="E29" s="134"/>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row>
    <row r="30" spans="1:41" x14ac:dyDescent="0.3">
      <c r="A30" s="318" t="s">
        <v>231</v>
      </c>
      <c r="B30" s="133" t="s">
        <v>78</v>
      </c>
      <c r="C30" s="95"/>
      <c r="D30" s="257">
        <f>SUM(D31:D32)</f>
        <v>7794038.9704386517</v>
      </c>
      <c r="E30" s="257">
        <f>SUM(E31:E32)</f>
        <v>7987357.1805744814</v>
      </c>
      <c r="F30" s="257">
        <f t="shared" ref="F30:AA30" si="68">SUM(F31:F32)</f>
        <v>8185470.3282916937</v>
      </c>
      <c r="G30" s="257">
        <f t="shared" si="68"/>
        <v>8388497.3440645225</v>
      </c>
      <c r="H30" s="257">
        <f t="shared" si="68"/>
        <v>8596560.108240366</v>
      </c>
      <c r="I30" s="257">
        <f t="shared" si="68"/>
        <v>8809783.5242064986</v>
      </c>
      <c r="J30" s="257">
        <f t="shared" si="68"/>
        <v>9028295.5933715664</v>
      </c>
      <c r="K30" s="257">
        <f t="shared" si="68"/>
        <v>9252227.4920068569</v>
      </c>
      <c r="L30" s="257">
        <f t="shared" si="68"/>
        <v>9481713.6499935165</v>
      </c>
      <c r="M30" s="257">
        <f t="shared" si="68"/>
        <v>9716891.8315229379</v>
      </c>
      <c r="N30" s="257">
        <f t="shared" si="68"/>
        <v>9957903.2177987956</v>
      </c>
      <c r="O30" s="257">
        <f t="shared" si="68"/>
        <v>10204892.491790369</v>
      </c>
      <c r="P30" s="257">
        <f t="shared" si="68"/>
        <v>10458007.925088035</v>
      </c>
      <c r="Q30" s="257">
        <f t="shared" si="68"/>
        <v>10717401.466913056</v>
      </c>
      <c r="R30" s="257">
        <f t="shared" si="68"/>
        <v>10983228.835335122</v>
      </c>
      <c r="S30" s="257">
        <f t="shared" si="68"/>
        <v>11255649.61075238</v>
      </c>
      <c r="T30" s="257">
        <f t="shared" si="68"/>
        <v>11534827.33169008</v>
      </c>
      <c r="U30" s="257">
        <f t="shared" si="68"/>
        <v>11820929.592975371</v>
      </c>
      <c r="V30" s="257">
        <f t="shared" si="68"/>
        <v>12114128.14634712</v>
      </c>
      <c r="W30" s="257">
        <f t="shared" si="68"/>
        <v>12414599.003561232</v>
      </c>
      <c r="X30" s="257">
        <f t="shared" si="68"/>
        <v>12722522.542053295</v>
      </c>
      <c r="Y30" s="257">
        <f t="shared" si="68"/>
        <v>13038083.613222027</v>
      </c>
      <c r="Z30" s="257">
        <f t="shared" si="68"/>
        <v>13361471.653398521</v>
      </c>
      <c r="AA30" s="257">
        <f t="shared" si="68"/>
        <v>13692880.79756787</v>
      </c>
      <c r="AB30" s="257">
        <f t="shared" ref="AB30:AF30" si="69">SUM(AB31:AB32)</f>
        <v>14032509.995911499</v>
      </c>
      <c r="AC30" s="257">
        <f t="shared" si="69"/>
        <v>14380563.133240124</v>
      </c>
      <c r="AD30" s="257">
        <f t="shared" si="69"/>
        <v>14737249.151389042</v>
      </c>
      <c r="AE30" s="257">
        <f t="shared" si="69"/>
        <v>15102782.17464925</v>
      </c>
      <c r="AF30" s="257">
        <f t="shared" si="69"/>
        <v>15477381.638309639</v>
      </c>
      <c r="AG30" s="257">
        <f t="shared" ref="AG30:AH30" si="70">SUM(AG31:AG32)</f>
        <v>15861272.420387521</v>
      </c>
      <c r="AH30" s="257">
        <f t="shared" si="70"/>
        <v>16254684.976626448</v>
      </c>
      <c r="AI30" s="257">
        <f t="shared" ref="AI30:AN30" si="71">SUM(AI31:AI32)</f>
        <v>16657855.478842491</v>
      </c>
      <c r="AJ30" s="257">
        <f t="shared" si="71"/>
        <v>17071025.956701916</v>
      </c>
      <c r="AK30" s="257">
        <f t="shared" si="71"/>
        <v>17494444.44301546</v>
      </c>
      <c r="AL30" s="257">
        <f t="shared" si="71"/>
        <v>17928365.122636355</v>
      </c>
      <c r="AM30" s="257">
        <f t="shared" si="71"/>
        <v>18373048.485051543</v>
      </c>
      <c r="AN30" s="257">
        <f t="shared" si="71"/>
        <v>18828761.48075768</v>
      </c>
      <c r="AO30" s="257">
        <f t="shared" ref="AO30" si="72">SUM(AO31:AO32)</f>
        <v>19295777.681515738</v>
      </c>
    </row>
    <row r="31" spans="1:41" x14ac:dyDescent="0.3">
      <c r="A31" s="19" t="s">
        <v>223</v>
      </c>
      <c r="B31" s="133" t="s">
        <v>78</v>
      </c>
      <c r="C31" s="225"/>
      <c r="D31" s="257">
        <f>D19*timevalue_auto*Avg_Veh_Occ</f>
        <v>6608353.3128589373</v>
      </c>
      <c r="E31" s="257">
        <f t="shared" ref="E31:AA31" si="73">E19*timevalue_auto*Avg_Veh_Occ</f>
        <v>6772262.5567352446</v>
      </c>
      <c r="F31" s="257">
        <f t="shared" si="73"/>
        <v>6940237.2975600613</v>
      </c>
      <c r="G31" s="257">
        <f t="shared" si="73"/>
        <v>7112378.3732425105</v>
      </c>
      <c r="H31" s="257">
        <f t="shared" si="73"/>
        <v>7288789.1228088075</v>
      </c>
      <c r="I31" s="257">
        <f t="shared" si="73"/>
        <v>7469575.4484383278</v>
      </c>
      <c r="J31" s="257">
        <f t="shared" si="73"/>
        <v>7654845.8790383646</v>
      </c>
      <c r="K31" s="257">
        <f t="shared" si="73"/>
        <v>7844711.6353957569</v>
      </c>
      <c r="L31" s="257">
        <f t="shared" si="73"/>
        <v>8039286.6969445003</v>
      </c>
      <c r="M31" s="257">
        <f t="shared" si="73"/>
        <v>8238687.8701894209</v>
      </c>
      <c r="N31" s="257">
        <f t="shared" si="73"/>
        <v>8443034.8588269632</v>
      </c>
      <c r="O31" s="257">
        <f t="shared" si="73"/>
        <v>8652450.3356052339</v>
      </c>
      <c r="P31" s="257">
        <f t="shared" si="73"/>
        <v>8867060.0159664061</v>
      </c>
      <c r="Q31" s="257">
        <f t="shared" si="73"/>
        <v>9086992.7335156891</v>
      </c>
      <c r="R31" s="257">
        <f t="shared" si="73"/>
        <v>9312380.5173622034</v>
      </c>
      <c r="S31" s="257">
        <f t="shared" si="73"/>
        <v>9543358.671378145</v>
      </c>
      <c r="T31" s="257">
        <f t="shared" si="73"/>
        <v>9780065.8554238565</v>
      </c>
      <c r="U31" s="257">
        <f t="shared" si="73"/>
        <v>10022644.168587547</v>
      </c>
      <c r="V31" s="257">
        <f t="shared" si="73"/>
        <v>10271239.234489636</v>
      </c>
      <c r="W31" s="257">
        <f t="shared" si="73"/>
        <v>10526000.288702929</v>
      </c>
      <c r="X31" s="257">
        <f t="shared" si="73"/>
        <v>10787080.268341105</v>
      </c>
      <c r="Y31" s="257">
        <f t="shared" si="73"/>
        <v>11054635.903869297</v>
      </c>
      <c r="Z31" s="257">
        <f t="shared" si="73"/>
        <v>11328827.813191893</v>
      </c>
      <c r="AA31" s="257">
        <f t="shared" si="73"/>
        <v>11609820.598074004</v>
      </c>
      <c r="AB31" s="257">
        <f t="shared" ref="AB31:AF31" si="74">AB19*timevalue_auto*Avg_Veh_Occ</f>
        <v>11897782.942954535</v>
      </c>
      <c r="AC31" s="257">
        <f t="shared" si="74"/>
        <v>12192887.716210129</v>
      </c>
      <c r="AD31" s="257">
        <f t="shared" si="74"/>
        <v>12495312.073930809</v>
      </c>
      <c r="AE31" s="257">
        <f t="shared" si="74"/>
        <v>12805237.566269603</v>
      </c>
      <c r="AF31" s="257">
        <f t="shared" si="74"/>
        <v>13122850.246429963</v>
      </c>
      <c r="AG31" s="257">
        <f t="shared" ref="AG31:AH31" si="75">AG19*timevalue_auto*Avg_Veh_Occ</f>
        <v>13448340.782356499</v>
      </c>
      <c r="AH31" s="257">
        <f t="shared" si="75"/>
        <v>13781904.571195945</v>
      </c>
      <c r="AI31" s="257">
        <f t="shared" ref="AI31:AN31" si="76">AI19*timevalue_auto*Avg_Veh_Occ</f>
        <v>14123741.856597206</v>
      </c>
      <c r="AJ31" s="257">
        <f t="shared" si="76"/>
        <v>14474057.848920783</v>
      </c>
      <c r="AK31" s="257">
        <f t="shared" si="76"/>
        <v>14833062.848429829</v>
      </c>
      <c r="AL31" s="257">
        <f t="shared" si="76"/>
        <v>15200972.371536737</v>
      </c>
      <c r="AM31" s="257">
        <f t="shared" si="76"/>
        <v>15578007.280181063</v>
      </c>
      <c r="AN31" s="257">
        <f t="shared" si="76"/>
        <v>15964393.914416488</v>
      </c>
      <c r="AO31" s="257">
        <f t="shared" ref="AO31" si="77">AO19*timevalue_auto*Avg_Veh_Occ</f>
        <v>16360364.228286322</v>
      </c>
    </row>
    <row r="32" spans="1:41" x14ac:dyDescent="0.3">
      <c r="A32" s="19" t="s">
        <v>224</v>
      </c>
      <c r="B32" s="133" t="s">
        <v>78</v>
      </c>
      <c r="C32" s="225"/>
      <c r="D32" s="257">
        <f t="shared" ref="D32" si="78">D20*Avg_Truck_Occ*TimeValue_truck</f>
        <v>1185685.6575797142</v>
      </c>
      <c r="E32" s="257">
        <f t="shared" ref="E32:AA32" si="79">E20*Avg_Truck_Occ*TimeValue_truck</f>
        <v>1215094.6238392368</v>
      </c>
      <c r="F32" s="257">
        <f t="shared" si="79"/>
        <v>1245233.0307316328</v>
      </c>
      <c r="G32" s="257">
        <f t="shared" si="79"/>
        <v>1276118.9708220125</v>
      </c>
      <c r="H32" s="257">
        <f t="shared" si="79"/>
        <v>1307770.9854315575</v>
      </c>
      <c r="I32" s="257">
        <f t="shared" si="79"/>
        <v>1340208.0757681702</v>
      </c>
      <c r="J32" s="257">
        <f t="shared" si="79"/>
        <v>1373449.7143332008</v>
      </c>
      <c r="K32" s="257">
        <f t="shared" si="79"/>
        <v>1407515.8566111007</v>
      </c>
      <c r="L32" s="257">
        <f t="shared" si="79"/>
        <v>1442426.9530490162</v>
      </c>
      <c r="M32" s="257">
        <f t="shared" si="79"/>
        <v>1478203.9613335179</v>
      </c>
      <c r="N32" s="257">
        <f t="shared" si="79"/>
        <v>1514868.3589718333</v>
      </c>
      <c r="O32" s="257">
        <f t="shared" si="79"/>
        <v>1552442.1561851352</v>
      </c>
      <c r="P32" s="257">
        <f t="shared" si="79"/>
        <v>1590947.9091216295</v>
      </c>
      <c r="Q32" s="257">
        <f t="shared" si="79"/>
        <v>1630408.7333973672</v>
      </c>
      <c r="R32" s="257">
        <f t="shared" si="79"/>
        <v>1670848.3179729192</v>
      </c>
      <c r="S32" s="257">
        <f t="shared" si="79"/>
        <v>1712290.9393742343</v>
      </c>
      <c r="T32" s="257">
        <f t="shared" si="79"/>
        <v>1754761.4762662244</v>
      </c>
      <c r="U32" s="257">
        <f t="shared" si="79"/>
        <v>1798285.4243878236</v>
      </c>
      <c r="V32" s="257">
        <f t="shared" si="79"/>
        <v>1842888.9118574837</v>
      </c>
      <c r="W32" s="257">
        <f t="shared" si="79"/>
        <v>1888598.7148583024</v>
      </c>
      <c r="X32" s="257">
        <f t="shared" si="79"/>
        <v>1935442.2737121896</v>
      </c>
      <c r="Y32" s="257">
        <f t="shared" si="79"/>
        <v>1983447.7093527305</v>
      </c>
      <c r="Z32" s="257">
        <f t="shared" si="79"/>
        <v>2032643.8402066287</v>
      </c>
      <c r="AA32" s="257">
        <f t="shared" si="79"/>
        <v>2083060.1994938657</v>
      </c>
      <c r="AB32" s="257">
        <f t="shared" ref="AB32:AF32" si="80">AB20*Avg_Truck_Occ*TimeValue_truck</f>
        <v>2134727.0529569648</v>
      </c>
      <c r="AC32" s="257">
        <f t="shared" si="80"/>
        <v>2187675.4170299955</v>
      </c>
      <c r="AD32" s="257">
        <f t="shared" si="80"/>
        <v>2241937.0774582326</v>
      </c>
      <c r="AE32" s="257">
        <f t="shared" si="80"/>
        <v>2297544.6083796471</v>
      </c>
      <c r="AF32" s="257">
        <f t="shared" si="80"/>
        <v>2354531.3918796764</v>
      </c>
      <c r="AG32" s="257">
        <f t="shared" ref="AG32:AH32" si="81">AG20*Avg_Truck_Occ*TimeValue_truck</f>
        <v>2412931.6380310226</v>
      </c>
      <c r="AH32" s="257">
        <f t="shared" si="81"/>
        <v>2472780.4054305032</v>
      </c>
      <c r="AI32" s="257">
        <f t="shared" ref="AI32:AN32" si="82">AI20*Avg_Truck_Occ*TimeValue_truck</f>
        <v>2534113.6222452852</v>
      </c>
      <c r="AJ32" s="257">
        <f t="shared" si="82"/>
        <v>2596968.1077811341</v>
      </c>
      <c r="AK32" s="257">
        <f t="shared" si="82"/>
        <v>2661381.5945856301</v>
      </c>
      <c r="AL32" s="257">
        <f t="shared" si="82"/>
        <v>2727392.7510996168</v>
      </c>
      <c r="AM32" s="257">
        <f t="shared" si="82"/>
        <v>2795041.2048704783</v>
      </c>
      <c r="AN32" s="257">
        <f t="shared" si="82"/>
        <v>2864367.5663411906</v>
      </c>
      <c r="AO32" s="257">
        <f t="shared" ref="AO32" si="83">AO20*Avg_Truck_Occ*TimeValue_truck</f>
        <v>2935413.4532294152</v>
      </c>
    </row>
    <row r="33" spans="1:41" x14ac:dyDescent="0.3">
      <c r="A33" s="19"/>
      <c r="B33" s="133"/>
      <c r="C33" s="225"/>
      <c r="D33" s="257"/>
      <c r="E33" s="225"/>
      <c r="F33" s="1"/>
      <c r="G33" s="1"/>
      <c r="H33" s="1"/>
      <c r="I33" s="1"/>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row>
    <row r="34" spans="1:41" x14ac:dyDescent="0.3">
      <c r="A34" s="318" t="s">
        <v>233</v>
      </c>
      <c r="B34" s="133" t="s">
        <v>78</v>
      </c>
      <c r="C34" s="95"/>
      <c r="D34" s="257">
        <f>SUM(D35:D36)</f>
        <v>3205509.5646202075</v>
      </c>
      <c r="E34" s="257">
        <f>SUM(E35:E36)</f>
        <v>3283035.0156032322</v>
      </c>
      <c r="F34" s="257">
        <f t="shared" ref="F34:AA34" si="84">SUM(F35:F36)</f>
        <v>3362435.4245075984</v>
      </c>
      <c r="G34" s="257">
        <f t="shared" si="84"/>
        <v>3443756.1373088821</v>
      </c>
      <c r="H34" s="257">
        <f t="shared" si="84"/>
        <v>3527043.5966779385</v>
      </c>
      <c r="I34" s="257">
        <f t="shared" si="84"/>
        <v>3612345.3685045475</v>
      </c>
      <c r="J34" s="257">
        <f t="shared" si="84"/>
        <v>3699710.1690625311</v>
      </c>
      <c r="K34" s="257">
        <f t="shared" si="84"/>
        <v>3789187.8928318671</v>
      </c>
      <c r="L34" s="257">
        <f t="shared" si="84"/>
        <v>3880829.6409936789</v>
      </c>
      <c r="M34" s="257">
        <f t="shared" si="84"/>
        <v>3974687.7506143781</v>
      </c>
      <c r="N34" s="257">
        <f t="shared" si="84"/>
        <v>4070815.8245356274</v>
      </c>
      <c r="O34" s="257">
        <f t="shared" si="84"/>
        <v>4169268.7619871954</v>
      </c>
      <c r="P34" s="257">
        <f t="shared" si="84"/>
        <v>4270102.7899401858</v>
      </c>
      <c r="Q34" s="257">
        <f t="shared" si="84"/>
        <v>4373375.4952185433</v>
      </c>
      <c r="R34" s="257">
        <f t="shared" si="84"/>
        <v>4479145.857387186</v>
      </c>
      <c r="S34" s="257">
        <f t="shared" si="84"/>
        <v>4587474.2824355224</v>
      </c>
      <c r="T34" s="257">
        <f t="shared" si="84"/>
        <v>4698422.6372756287</v>
      </c>
      <c r="U34" s="257">
        <f t="shared" si="84"/>
        <v>4812054.2850747518</v>
      </c>
      <c r="V34" s="257">
        <f t="shared" si="84"/>
        <v>4928434.1214423319</v>
      </c>
      <c r="W34" s="257">
        <f t="shared" si="84"/>
        <v>5047628.6114922184</v>
      </c>
      <c r="X34" s="257">
        <f t="shared" si="84"/>
        <v>5169705.8278012322</v>
      </c>
      <c r="Y34" s="257">
        <f t="shared" si="84"/>
        <v>5294735.4892857522</v>
      </c>
      <c r="Z34" s="257">
        <f t="shared" si="84"/>
        <v>5422789.001018553</v>
      </c>
      <c r="AA34" s="257">
        <f t="shared" si="84"/>
        <v>5553939.4950085972</v>
      </c>
      <c r="AB34" s="257">
        <f t="shared" ref="AB34:AF34" si="85">SUM(AB35:AB36)</f>
        <v>5688261.8719670894</v>
      </c>
      <c r="AC34" s="257">
        <f t="shared" si="85"/>
        <v>5825832.8440836668</v>
      </c>
      <c r="AD34" s="257">
        <f t="shared" si="85"/>
        <v>5966730.9788371073</v>
      </c>
      <c r="AE34" s="257">
        <f t="shared" si="85"/>
        <v>6111036.7438656185</v>
      </c>
      <c r="AF34" s="257">
        <f t="shared" si="85"/>
        <v>6258832.5529223122</v>
      </c>
      <c r="AG34" s="257">
        <f t="shared" ref="AG34:AH34" si="86">SUM(AG35:AG36)</f>
        <v>6410202.8129421175</v>
      </c>
      <c r="AH34" s="257">
        <f t="shared" si="86"/>
        <v>6565233.9722470092</v>
      </c>
      <c r="AI34" s="257">
        <f t="shared" ref="AI34:AN34" si="87">SUM(AI35:AI36)</f>
        <v>6724014.5699170781</v>
      </c>
      <c r="AJ34" s="257">
        <f t="shared" si="87"/>
        <v>6886635.2863556538</v>
      </c>
      <c r="AK34" s="257">
        <f t="shared" si="87"/>
        <v>7053188.9950773399</v>
      </c>
      <c r="AL34" s="257">
        <f t="shared" si="87"/>
        <v>7223770.8157485444</v>
      </c>
      <c r="AM34" s="257">
        <f t="shared" si="87"/>
        <v>7398478.1685108077</v>
      </c>
      <c r="AN34" s="257">
        <f t="shared" si="87"/>
        <v>7577410.829617939</v>
      </c>
      <c r="AO34" s="257">
        <f t="shared" ref="AO34" si="88">SUM(AO35:AO36)</f>
        <v>7760670.9884187384</v>
      </c>
    </row>
    <row r="35" spans="1:41" x14ac:dyDescent="0.3">
      <c r="A35" s="19" t="s">
        <v>223</v>
      </c>
      <c r="B35" s="133" t="s">
        <v>78</v>
      </c>
      <c r="C35" s="95"/>
      <c r="D35" s="257">
        <f t="shared" ref="D35" si="89">D23*Avg_Veh_Occ*timevalue_auto</f>
        <v>2717864.2333073635</v>
      </c>
      <c r="E35" s="257">
        <f t="shared" ref="E35:AA35" si="90">E23*Avg_Veh_Occ*timevalue_auto</f>
        <v>2783595.951198135</v>
      </c>
      <c r="F35" s="257">
        <f t="shared" si="90"/>
        <v>2850917.3948316141</v>
      </c>
      <c r="G35" s="257">
        <f t="shared" si="90"/>
        <v>2919867.0118251466</v>
      </c>
      <c r="H35" s="257">
        <f t="shared" si="90"/>
        <v>2990484.1796541307</v>
      </c>
      <c r="I35" s="257">
        <f t="shared" si="90"/>
        <v>3062809.2281406899</v>
      </c>
      <c r="J35" s="257">
        <f t="shared" si="90"/>
        <v>3136883.4624862387</v>
      </c>
      <c r="K35" s="257">
        <f t="shared" si="90"/>
        <v>3212749.1868610927</v>
      </c>
      <c r="L35" s="257">
        <f t="shared" si="90"/>
        <v>3290449.7285645953</v>
      </c>
      <c r="M35" s="257">
        <f t="shared" si="90"/>
        <v>3370029.4627695573</v>
      </c>
      <c r="N35" s="257">
        <f t="shared" si="90"/>
        <v>3451533.8378651422</v>
      </c>
      <c r="O35" s="257">
        <f t="shared" si="90"/>
        <v>3535009.40141267</v>
      </c>
      <c r="P35" s="257">
        <f t="shared" si="90"/>
        <v>3620503.8267291696</v>
      </c>
      <c r="Q35" s="257">
        <f t="shared" si="90"/>
        <v>3708065.9401138471</v>
      </c>
      <c r="R35" s="257">
        <f t="shared" si="90"/>
        <v>3797745.7487330358</v>
      </c>
      <c r="S35" s="257">
        <f t="shared" si="90"/>
        <v>3889594.4691795381</v>
      </c>
      <c r="T35" s="257">
        <f t="shared" si="90"/>
        <v>3983664.5567226852</v>
      </c>
      <c r="U35" s="257">
        <f t="shared" si="90"/>
        <v>4080009.7352658063</v>
      </c>
      <c r="V35" s="257">
        <f t="shared" si="90"/>
        <v>4178685.0280282181</v>
      </c>
      <c r="W35" s="257">
        <f t="shared" si="90"/>
        <v>4279746.7889692681</v>
      </c>
      <c r="X35" s="257">
        <f t="shared" si="90"/>
        <v>4383252.7349723671</v>
      </c>
      <c r="Y35" s="257">
        <f t="shared" si="90"/>
        <v>4489261.9788073841</v>
      </c>
      <c r="Z35" s="257">
        <f t="shared" si="90"/>
        <v>4597835.0628902633</v>
      </c>
      <c r="AA35" s="257">
        <f t="shared" si="90"/>
        <v>4709033.9938590955</v>
      </c>
      <c r="AB35" s="257">
        <f t="shared" ref="AB35:AF35" si="91">AB23*Avg_Veh_Occ*timevalue_auto</f>
        <v>4822922.2779864175</v>
      </c>
      <c r="AC35" s="257">
        <f t="shared" si="91"/>
        <v>4939564.9574479815</v>
      </c>
      <c r="AD35" s="257">
        <f t="shared" si="91"/>
        <v>5059028.6474686563</v>
      </c>
      <c r="AE35" s="257">
        <f t="shared" si="91"/>
        <v>5181381.5743667278</v>
      </c>
      <c r="AF35" s="257">
        <f t="shared" si="91"/>
        <v>5306693.6145182932</v>
      </c>
      <c r="AG35" s="257">
        <f t="shared" ref="AG35:AH35" si="92">AG23*Avg_Veh_Occ*timevalue_auto</f>
        <v>5435036.3342640093</v>
      </c>
      <c r="AH35" s="257">
        <f t="shared" si="92"/>
        <v>5566483.030780999</v>
      </c>
      <c r="AI35" s="257">
        <f t="shared" ref="AI35:AN35" si="93">AI23*Avg_Veh_Occ*timevalue_auto</f>
        <v>5701108.7739432342</v>
      </c>
      <c r="AJ35" s="257">
        <f t="shared" si="93"/>
        <v>5838990.4491943233</v>
      </c>
      <c r="AK35" s="257">
        <f t="shared" si="93"/>
        <v>5980206.8014571797</v>
      </c>
      <c r="AL35" s="257">
        <f t="shared" si="93"/>
        <v>6124838.4801056404</v>
      </c>
      <c r="AM35" s="257">
        <f t="shared" si="93"/>
        <v>6272968.0850237356</v>
      </c>
      <c r="AN35" s="257">
        <f t="shared" si="93"/>
        <v>6424680.2137789028</v>
      </c>
      <c r="AO35" s="257">
        <f t="shared" ref="AO35" si="94">AO23*Avg_Veh_Occ*timevalue_auto</f>
        <v>6580061.5099360812</v>
      </c>
    </row>
    <row r="36" spans="1:41" x14ac:dyDescent="0.3">
      <c r="A36" s="19" t="s">
        <v>224</v>
      </c>
      <c r="B36" s="133" t="s">
        <v>78</v>
      </c>
      <c r="C36" s="225"/>
      <c r="D36" s="257">
        <f t="shared" ref="D36" si="95">D24*Avg_Truck_Occ*TimeValue_truck</f>
        <v>487645.33131284412</v>
      </c>
      <c r="E36" s="257">
        <f t="shared" ref="E36:AA36" si="96">E24*Avg_Truck_Occ*TimeValue_truck</f>
        <v>499439.06440509704</v>
      </c>
      <c r="F36" s="257">
        <f t="shared" si="96"/>
        <v>511518.02967598446</v>
      </c>
      <c r="G36" s="257">
        <f t="shared" si="96"/>
        <v>523889.12548373535</v>
      </c>
      <c r="H36" s="257">
        <f t="shared" si="96"/>
        <v>536559.41702380788</v>
      </c>
      <c r="I36" s="257">
        <f t="shared" si="96"/>
        <v>549536.14036385738</v>
      </c>
      <c r="J36" s="257">
        <f t="shared" si="96"/>
        <v>562826.70657629229</v>
      </c>
      <c r="K36" s="257">
        <f t="shared" si="96"/>
        <v>576438.70597077452</v>
      </c>
      <c r="L36" s="257">
        <f t="shared" si="96"/>
        <v>590379.91242908372</v>
      </c>
      <c r="M36" s="257">
        <f t="shared" si="96"/>
        <v>604658.28784482076</v>
      </c>
      <c r="N36" s="257">
        <f t="shared" si="96"/>
        <v>619281.98667048512</v>
      </c>
      <c r="O36" s="257">
        <f t="shared" si="96"/>
        <v>634259.36057452508</v>
      </c>
      <c r="P36" s="257">
        <f t="shared" si="96"/>
        <v>649598.9632110158</v>
      </c>
      <c r="Q36" s="257">
        <f t="shared" si="96"/>
        <v>665309.55510469666</v>
      </c>
      <c r="R36" s="257">
        <f t="shared" si="96"/>
        <v>681400.10865415016</v>
      </c>
      <c r="S36" s="257">
        <f t="shared" si="96"/>
        <v>697879.8132559841</v>
      </c>
      <c r="T36" s="257">
        <f t="shared" si="96"/>
        <v>714758.08055294328</v>
      </c>
      <c r="U36" s="257">
        <f t="shared" si="96"/>
        <v>732044.54980894527</v>
      </c>
      <c r="V36" s="257">
        <f t="shared" si="96"/>
        <v>749749.09341411374</v>
      </c>
      <c r="W36" s="257">
        <f t="shared" si="96"/>
        <v>767881.82252295024</v>
      </c>
      <c r="X36" s="257">
        <f t="shared" si="96"/>
        <v>786453.0928288654</v>
      </c>
      <c r="Y36" s="257">
        <f t="shared" si="96"/>
        <v>805473.51047836815</v>
      </c>
      <c r="Z36" s="257">
        <f t="shared" si="96"/>
        <v>824953.93812828965</v>
      </c>
      <c r="AA36" s="257">
        <f t="shared" si="96"/>
        <v>844905.50114950154</v>
      </c>
      <c r="AB36" s="257">
        <f t="shared" ref="AB36:AF36" si="97">AB24*Avg_Truck_Occ*TimeValue_truck</f>
        <v>865339.59398067161</v>
      </c>
      <c r="AC36" s="257">
        <f t="shared" si="97"/>
        <v>886267.88663568569</v>
      </c>
      <c r="AD36" s="257">
        <f t="shared" si="97"/>
        <v>907702.33136845124</v>
      </c>
      <c r="AE36" s="257">
        <f t="shared" si="97"/>
        <v>929655.16949889029</v>
      </c>
      <c r="AF36" s="257">
        <f t="shared" si="97"/>
        <v>952138.93840401922</v>
      </c>
      <c r="AG36" s="257">
        <f t="shared" ref="AG36:AH36" si="98">AG24*Avg_Truck_Occ*TimeValue_truck</f>
        <v>975166.47867810843</v>
      </c>
      <c r="AH36" s="257">
        <f t="shared" si="98"/>
        <v>998750.94146600983</v>
      </c>
      <c r="AI36" s="257">
        <f t="shared" ref="AI36:AN36" si="99">AI24*Avg_Truck_Occ*TimeValue_truck</f>
        <v>1022905.7959738441</v>
      </c>
      <c r="AJ36" s="257">
        <f t="shared" si="99"/>
        <v>1047644.8371613307</v>
      </c>
      <c r="AK36" s="257">
        <f t="shared" si="99"/>
        <v>1072982.19362016</v>
      </c>
      <c r="AL36" s="257">
        <f t="shared" si="99"/>
        <v>1098932.3356429038</v>
      </c>
      <c r="AM36" s="257">
        <f t="shared" si="99"/>
        <v>1125510.0834870716</v>
      </c>
      <c r="AN36" s="257">
        <f t="shared" si="99"/>
        <v>1152730.6158390362</v>
      </c>
      <c r="AO36" s="257">
        <f t="shared" ref="AO36" si="100">AO24*Avg_Truck_Occ*TimeValue_truck</f>
        <v>1180609.4784826571</v>
      </c>
    </row>
    <row r="37" spans="1:41" x14ac:dyDescent="0.3">
      <c r="A37" s="19"/>
      <c r="B37" s="133"/>
      <c r="C37" s="225"/>
      <c r="D37" s="257"/>
      <c r="E37" s="225"/>
      <c r="F37" s="5"/>
      <c r="G37" s="5"/>
      <c r="H37" s="5"/>
      <c r="I37" s="5"/>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row>
    <row r="38" spans="1:41" x14ac:dyDescent="0.3">
      <c r="A38" s="167" t="s">
        <v>234</v>
      </c>
      <c r="B38" s="133" t="s">
        <v>78</v>
      </c>
      <c r="C38" s="95"/>
      <c r="D38" s="257">
        <f>SUM(D30,D34,D26)</f>
        <v>13039673.800051561</v>
      </c>
      <c r="E38" s="257">
        <f t="shared" ref="E38:AN38" si="101">SUM(E30,E34,E26)</f>
        <v>13362829.397731353</v>
      </c>
      <c r="F38" s="257">
        <f t="shared" si="101"/>
        <v>13693996.249091089</v>
      </c>
      <c r="G38" s="257">
        <f t="shared" si="101"/>
        <v>14033373.025058746</v>
      </c>
      <c r="H38" s="257">
        <f t="shared" si="101"/>
        <v>14381163.325057834</v>
      </c>
      <c r="I38" s="257">
        <f t="shared" si="101"/>
        <v>14737575.799311731</v>
      </c>
      <c r="J38" s="257">
        <f t="shared" si="101"/>
        <v>15102824.27418411</v>
      </c>
      <c r="K38" s="257">
        <f t="shared" si="101"/>
        <v>15477127.880630866</v>
      </c>
      <c r="L38" s="257">
        <f t="shared" si="101"/>
        <v>15860711.185840834</v>
      </c>
      <c r="M38" s="257">
        <f t="shared" si="101"/>
        <v>16253804.328144465</v>
      </c>
      <c r="N38" s="257">
        <f t="shared" si="101"/>
        <v>16656643.155271607</v>
      </c>
      <c r="O38" s="257">
        <f t="shared" si="101"/>
        <v>17069469.366041582</v>
      </c>
      <c r="P38" s="257">
        <f t="shared" si="101"/>
        <v>17492530.655570805</v>
      </c>
      <c r="Q38" s="257">
        <f t="shared" si="101"/>
        <v>17926080.864085235</v>
      </c>
      <c r="R38" s="257">
        <f t="shared" si="101"/>
        <v>18370380.129427299</v>
      </c>
      <c r="S38" s="257">
        <f t="shared" si="101"/>
        <v>18825695.043348882</v>
      </c>
      <c r="T38" s="257">
        <f t="shared" si="101"/>
        <v>19292298.811684582</v>
      </c>
      <c r="U38" s="257">
        <f t="shared" si="101"/>
        <v>19770471.418501459</v>
      </c>
      <c r="V38" s="257">
        <f t="shared" si="101"/>
        <v>20260499.794324074</v>
      </c>
      <c r="W38" s="257">
        <f t="shared" si="101"/>
        <v>20762677.988536097</v>
      </c>
      <c r="X38" s="257">
        <f t="shared" si="101"/>
        <v>21277307.346062098</v>
      </c>
      <c r="Y38" s="257">
        <f t="shared" si="101"/>
        <v>21804696.688435897</v>
      </c>
      <c r="Z38" s="257">
        <f t="shared" si="101"/>
        <v>22345162.499364439</v>
      </c>
      <c r="AA38" s="257">
        <f t="shared" si="101"/>
        <v>22899029.114898715</v>
      </c>
      <c r="AB38" s="257">
        <f t="shared" si="101"/>
        <v>23466628.918326329</v>
      </c>
      <c r="AC38" s="257">
        <f t="shared" si="101"/>
        <v>24048302.53990287</v>
      </c>
      <c r="AD38" s="257">
        <f t="shared" si="101"/>
        <v>24644399.061542254</v>
      </c>
      <c r="AE38" s="257">
        <f t="shared" si="101"/>
        <v>25255276.226589307</v>
      </c>
      <c r="AF38" s="257">
        <f t="shared" si="101"/>
        <v>25881300.654800661</v>
      </c>
      <c r="AG38" s="257">
        <f t="shared" si="101"/>
        <v>26522848.062663533</v>
      </c>
      <c r="AH38" s="257">
        <f t="shared" si="101"/>
        <v>27180303.489184719</v>
      </c>
      <c r="AI38" s="257">
        <f t="shared" si="101"/>
        <v>27854061.527285911</v>
      </c>
      <c r="AJ38" s="257">
        <f t="shared" si="101"/>
        <v>28544526.560944393</v>
      </c>
      <c r="AK38" s="257">
        <f t="shared" si="101"/>
        <v>29252113.00822198</v>
      </c>
      <c r="AL38" s="257">
        <f t="shared" si="101"/>
        <v>29977245.570328303</v>
      </c>
      <c r="AM38" s="257">
        <f t="shared" si="101"/>
        <v>30720359.486868441</v>
      </c>
      <c r="AN38" s="257">
        <f t="shared" si="101"/>
        <v>31481900.7974285</v>
      </c>
      <c r="AO38" s="257">
        <f t="shared" ref="AO38" si="102">SUM(AO30,AO34,AO26)</f>
        <v>32262326.609656483</v>
      </c>
    </row>
    <row r="39" spans="1:41" x14ac:dyDescent="0.3">
      <c r="F39" s="5"/>
      <c r="G39" s="5"/>
      <c r="H39" s="5"/>
      <c r="I39" s="5"/>
      <c r="J39" s="5"/>
      <c r="K39" s="5"/>
      <c r="L39" s="5"/>
      <c r="M39" s="5"/>
      <c r="N39" s="5"/>
      <c r="O39" s="5"/>
    </row>
    <row r="40" spans="1:41" x14ac:dyDescent="0.3">
      <c r="A40" s="102" t="s">
        <v>70</v>
      </c>
      <c r="B40" s="104" t="s">
        <v>1</v>
      </c>
      <c r="C40" s="105"/>
      <c r="D40" s="317">
        <f>Base.Year</f>
        <v>2019</v>
      </c>
      <c r="E40" s="317">
        <f>D40+1</f>
        <v>2020</v>
      </c>
      <c r="F40" s="317">
        <f t="shared" ref="F40:AO40" si="103">E40+1</f>
        <v>2021</v>
      </c>
      <c r="G40" s="317">
        <f t="shared" si="103"/>
        <v>2022</v>
      </c>
      <c r="H40" s="317">
        <f t="shared" si="103"/>
        <v>2023</v>
      </c>
      <c r="I40" s="317">
        <f t="shared" si="103"/>
        <v>2024</v>
      </c>
      <c r="J40" s="317">
        <f t="shared" si="103"/>
        <v>2025</v>
      </c>
      <c r="K40" s="317">
        <f t="shared" si="103"/>
        <v>2026</v>
      </c>
      <c r="L40" s="317">
        <f t="shared" si="103"/>
        <v>2027</v>
      </c>
      <c r="M40" s="317">
        <f t="shared" si="103"/>
        <v>2028</v>
      </c>
      <c r="N40" s="317">
        <f t="shared" si="103"/>
        <v>2029</v>
      </c>
      <c r="O40" s="317">
        <f t="shared" si="103"/>
        <v>2030</v>
      </c>
      <c r="P40" s="317">
        <f t="shared" si="103"/>
        <v>2031</v>
      </c>
      <c r="Q40" s="317">
        <f t="shared" si="103"/>
        <v>2032</v>
      </c>
      <c r="R40" s="317">
        <f t="shared" si="103"/>
        <v>2033</v>
      </c>
      <c r="S40" s="317">
        <f t="shared" si="103"/>
        <v>2034</v>
      </c>
      <c r="T40" s="317">
        <f t="shared" si="103"/>
        <v>2035</v>
      </c>
      <c r="U40" s="317">
        <f t="shared" si="103"/>
        <v>2036</v>
      </c>
      <c r="V40" s="317">
        <f t="shared" si="103"/>
        <v>2037</v>
      </c>
      <c r="W40" s="317">
        <f t="shared" si="103"/>
        <v>2038</v>
      </c>
      <c r="X40" s="317">
        <f t="shared" si="103"/>
        <v>2039</v>
      </c>
      <c r="Y40" s="317">
        <f t="shared" si="103"/>
        <v>2040</v>
      </c>
      <c r="Z40" s="317">
        <f t="shared" si="103"/>
        <v>2041</v>
      </c>
      <c r="AA40" s="317">
        <f t="shared" si="103"/>
        <v>2042</v>
      </c>
      <c r="AB40" s="317">
        <f t="shared" si="103"/>
        <v>2043</v>
      </c>
      <c r="AC40" s="317">
        <f t="shared" si="103"/>
        <v>2044</v>
      </c>
      <c r="AD40" s="317">
        <f t="shared" si="103"/>
        <v>2045</v>
      </c>
      <c r="AE40" s="317">
        <f t="shared" si="103"/>
        <v>2046</v>
      </c>
      <c r="AF40" s="317">
        <f t="shared" si="103"/>
        <v>2047</v>
      </c>
      <c r="AG40" s="317">
        <f t="shared" si="103"/>
        <v>2048</v>
      </c>
      <c r="AH40" s="317">
        <f t="shared" si="103"/>
        <v>2049</v>
      </c>
      <c r="AI40" s="317">
        <f t="shared" si="103"/>
        <v>2050</v>
      </c>
      <c r="AJ40" s="317">
        <f t="shared" si="103"/>
        <v>2051</v>
      </c>
      <c r="AK40" s="317">
        <f t="shared" si="103"/>
        <v>2052</v>
      </c>
      <c r="AL40" s="317">
        <f t="shared" si="103"/>
        <v>2053</v>
      </c>
      <c r="AM40" s="317">
        <f t="shared" si="103"/>
        <v>2054</v>
      </c>
      <c r="AN40" s="317">
        <f t="shared" si="103"/>
        <v>2055</v>
      </c>
      <c r="AO40" s="317">
        <f t="shared" si="103"/>
        <v>2056</v>
      </c>
    </row>
    <row r="41" spans="1:41" s="126" customFormat="1" x14ac:dyDescent="0.3">
      <c r="B41" s="131"/>
      <c r="C41" s="134"/>
      <c r="D41" s="134"/>
      <c r="E41" s="134"/>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row>
    <row r="42" spans="1:41" s="126" customFormat="1" ht="15" x14ac:dyDescent="0.3">
      <c r="A42" s="318" t="s">
        <v>275</v>
      </c>
      <c r="B42" s="132" t="s">
        <v>222</v>
      </c>
      <c r="C42" s="134"/>
      <c r="D42" s="253">
        <f>'Traffic Projection'!W99*(1+'Traffic Projection'!W111)^(2019-2015)</f>
        <v>80927.935123292526</v>
      </c>
      <c r="E42" s="253">
        <f>D42*(1+'Traffic Projection'!$W$111)</f>
        <v>83003.051333469208</v>
      </c>
      <c r="F42" s="253">
        <f>E42*(1+'Traffic Projection'!$W$111)</f>
        <v>85131.376701635381</v>
      </c>
      <c r="G42" s="253">
        <f>F42*(1+'Traffic Projection'!$W$111)</f>
        <v>87314.275592099919</v>
      </c>
      <c r="H42" s="253">
        <f>G42*(1+'Traffic Projection'!$W$111)</f>
        <v>89553.147353562323</v>
      </c>
      <c r="I42" s="253">
        <f>H42*(1+'Traffic Projection'!$W$111)</f>
        <v>91849.427216166063</v>
      </c>
      <c r="J42" s="253">
        <f>I42*(1+'Traffic Projection'!$W$111)</f>
        <v>94204.587211553764</v>
      </c>
      <c r="K42" s="253">
        <f>J42*(1+'Traffic Projection'!$W$111)</f>
        <v>96620.137116514015</v>
      </c>
      <c r="L42" s="253">
        <f>'Traffic Projection'!X99*(1+'Traffic Projection'!$X$111)^(2027-2015)</f>
        <v>83579.291100342802</v>
      </c>
      <c r="M42" s="253">
        <f>L42*(1+'Traffic Projection'!$X$111)</f>
        <v>84960.290750182452</v>
      </c>
      <c r="N42" s="253">
        <f>M42*(1+'Traffic Projection'!$X$111)</f>
        <v>86364.10897155758</v>
      </c>
      <c r="O42" s="253">
        <f>N42*(1+'Traffic Projection'!$X$111)</f>
        <v>87791.122800919256</v>
      </c>
      <c r="P42" s="253">
        <f>O42*(1+'Traffic Projection'!$X$111)</f>
        <v>89241.71550457766</v>
      </c>
      <c r="Q42" s="253">
        <f>P42*(1+'Traffic Projection'!$X$111)</f>
        <v>90716.276681639443</v>
      </c>
      <c r="R42" s="253">
        <f>Q42*(1+'Traffic Projection'!$X$111)</f>
        <v>92215.202368645987</v>
      </c>
      <c r="S42" s="253">
        <f>R42*(1+'Traffic Projection'!$X$111)</f>
        <v>93738.895145940551</v>
      </c>
      <c r="T42" s="253">
        <f>S42*(1+'Traffic Projection'!$X$111)</f>
        <v>95287.764245793063</v>
      </c>
      <c r="U42" s="253">
        <f>T42*(1+'Traffic Projection'!$X$111)</f>
        <v>96862.225662311394</v>
      </c>
      <c r="V42" s="253">
        <f>U42*(1+'Traffic Projection'!$X$111)</f>
        <v>98462.702263168714</v>
      </c>
      <c r="W42" s="253">
        <f>V42*(1+'Traffic Projection'!$X$111)</f>
        <v>100089.62390317702</v>
      </c>
      <c r="X42" s="253">
        <f>W42*(1+'Traffic Projection'!$X$111)</f>
        <v>101743.42753973721</v>
      </c>
      <c r="Y42" s="253">
        <f>X42*(1+'Traffic Projection'!$X$111)</f>
        <v>103424.55735019676</v>
      </c>
      <c r="Z42" s="253">
        <f>Y42*(1+'Traffic Projection'!$X$111)</f>
        <v>105133.46485114656</v>
      </c>
      <c r="AA42" s="253">
        <f>Z42*(1+'Traffic Projection'!$X$111)</f>
        <v>106870.6090196889</v>
      </c>
      <c r="AB42" s="253">
        <f>AA42*(1+'Traffic Projection'!$X$111)</f>
        <v>108636.45641670917</v>
      </c>
      <c r="AC42" s="253">
        <f>AB42*(1+'Traffic Projection'!$X$111)</f>
        <v>110431.48131218451</v>
      </c>
      <c r="AD42" s="253">
        <f>AC42*(1+'Traffic Projection'!$X$111)</f>
        <v>112256.1658125628</v>
      </c>
      <c r="AE42" s="253">
        <f>AD42*(1+'Traffic Projection'!$X$111)</f>
        <v>114110.99999024651</v>
      </c>
      <c r="AF42" s="253">
        <f>AE42*(1+'Traffic Projection'!$X$111)</f>
        <v>115996.48201521592</v>
      </c>
      <c r="AG42" s="253">
        <f>AF42*(1+'Traffic Projection'!$X$111)</f>
        <v>117913.11828882733</v>
      </c>
      <c r="AH42" s="253">
        <f>AG42*(1+'Traffic Projection'!$X$111)</f>
        <v>119861.42357982189</v>
      </c>
      <c r="AI42" s="253">
        <f>AH42*(1+'Traffic Projection'!$X$111)</f>
        <v>121841.9211625818</v>
      </c>
      <c r="AJ42" s="253">
        <f>AI42*(1+'Traffic Projection'!$X$111)</f>
        <v>123855.14295767101</v>
      </c>
      <c r="AK42" s="253">
        <f>AJ42*(1+'Traffic Projection'!$X$111)</f>
        <v>125901.62967469799</v>
      </c>
      <c r="AL42" s="253">
        <f>AK42*(1+'Traffic Projection'!$X$111)</f>
        <v>127981.93095753917</v>
      </c>
      <c r="AM42" s="253">
        <f>AL42*(1+'Traffic Projection'!$X$111)</f>
        <v>130096.60553196182</v>
      </c>
      <c r="AN42" s="253">
        <f>AM42*(1+'Traffic Projection'!$X$111)</f>
        <v>132246.22135568623</v>
      </c>
      <c r="AO42" s="253">
        <f>AN42*(1+'Traffic Projection'!$X$111)</f>
        <v>134431.35577092739</v>
      </c>
    </row>
    <row r="43" spans="1:41" s="126" customFormat="1" x14ac:dyDescent="0.3">
      <c r="A43" s="19" t="s">
        <v>230</v>
      </c>
      <c r="B43" s="132" t="s">
        <v>222</v>
      </c>
      <c r="C43" s="134"/>
      <c r="D43" s="128">
        <f t="shared" ref="D43:AN43" si="104">D42*(1-ShareTruck)</f>
        <v>70407.303557264502</v>
      </c>
      <c r="E43" s="128">
        <f t="shared" si="104"/>
        <v>72212.654660118205</v>
      </c>
      <c r="F43" s="128">
        <f t="shared" si="104"/>
        <v>74064.297730422782</v>
      </c>
      <c r="G43" s="128">
        <f t="shared" si="104"/>
        <v>75963.419765126935</v>
      </c>
      <c r="H43" s="128">
        <f t="shared" si="104"/>
        <v>77911.238197599218</v>
      </c>
      <c r="I43" s="128">
        <f t="shared" si="104"/>
        <v>79909.00167806448</v>
      </c>
      <c r="J43" s="128">
        <f t="shared" si="104"/>
        <v>81957.990874051771</v>
      </c>
      <c r="K43" s="128">
        <f t="shared" si="104"/>
        <v>84059.519291367193</v>
      </c>
      <c r="L43" s="128">
        <f t="shared" si="104"/>
        <v>72713.983257298241</v>
      </c>
      <c r="M43" s="128">
        <f t="shared" si="104"/>
        <v>73915.452952658728</v>
      </c>
      <c r="N43" s="128">
        <f t="shared" si="104"/>
        <v>75136.774805255089</v>
      </c>
      <c r="O43" s="128">
        <f t="shared" si="104"/>
        <v>76378.276836799749</v>
      </c>
      <c r="P43" s="128">
        <f t="shared" si="104"/>
        <v>77640.292488982566</v>
      </c>
      <c r="Q43" s="128">
        <f t="shared" si="104"/>
        <v>78923.160713026315</v>
      </c>
      <c r="R43" s="128">
        <f t="shared" si="104"/>
        <v>80227.226060722009</v>
      </c>
      <c r="S43" s="128">
        <f t="shared" si="104"/>
        <v>81552.838776968274</v>
      </c>
      <c r="T43" s="128">
        <f t="shared" si="104"/>
        <v>82900.354893839962</v>
      </c>
      <c r="U43" s="128">
        <f t="shared" si="104"/>
        <v>84270.136326210908</v>
      </c>
      <c r="V43" s="128">
        <f t="shared" si="104"/>
        <v>85662.550968956784</v>
      </c>
      <c r="W43" s="128">
        <f t="shared" si="104"/>
        <v>87077.972795764013</v>
      </c>
      <c r="X43" s="128">
        <f t="shared" si="104"/>
        <v>88516.781959571366</v>
      </c>
      <c r="Y43" s="128">
        <f t="shared" si="104"/>
        <v>89979.364894671176</v>
      </c>
      <c r="Z43" s="128">
        <f t="shared" si="104"/>
        <v>91466.114420497513</v>
      </c>
      <c r="AA43" s="128">
        <f t="shared" si="104"/>
        <v>92977.429847129344</v>
      </c>
      <c r="AB43" s="128">
        <f t="shared" si="104"/>
        <v>94513.717082536983</v>
      </c>
      <c r="AC43" s="128">
        <f t="shared" si="104"/>
        <v>96075.388741600516</v>
      </c>
      <c r="AD43" s="128">
        <f t="shared" si="104"/>
        <v>97662.864256929635</v>
      </c>
      <c r="AE43" s="128">
        <f t="shared" si="104"/>
        <v>99276.569991514465</v>
      </c>
      <c r="AF43" s="128">
        <f t="shared" si="104"/>
        <v>100916.93935323785</v>
      </c>
      <c r="AG43" s="128">
        <f t="shared" si="104"/>
        <v>102584.41291127978</v>
      </c>
      <c r="AH43" s="128">
        <f t="shared" si="104"/>
        <v>104279.43851444504</v>
      </c>
      <c r="AI43" s="128">
        <f t="shared" si="104"/>
        <v>106002.47141144617</v>
      </c>
      <c r="AJ43" s="128">
        <f t="shared" si="104"/>
        <v>107753.97437317377</v>
      </c>
      <c r="AK43" s="128">
        <f t="shared" si="104"/>
        <v>109534.41781698725</v>
      </c>
      <c r="AL43" s="128">
        <f t="shared" si="104"/>
        <v>111344.27993305908</v>
      </c>
      <c r="AM43" s="128">
        <f t="shared" si="104"/>
        <v>113184.04681280677</v>
      </c>
      <c r="AN43" s="128">
        <f t="shared" si="104"/>
        <v>115054.21257944702</v>
      </c>
      <c r="AO43" s="128">
        <f t="shared" ref="AO43" si="105">AO42*(1-ShareTruck)</f>
        <v>116955.27952070683</v>
      </c>
    </row>
    <row r="44" spans="1:41" s="126" customFormat="1" x14ac:dyDescent="0.3">
      <c r="A44" s="19" t="s">
        <v>264</v>
      </c>
      <c r="B44" s="132" t="s">
        <v>222</v>
      </c>
      <c r="C44" s="134"/>
      <c r="D44" s="128">
        <f t="shared" ref="D44:E44" si="106">D42*(ShareTruck)</f>
        <v>10520.631566028029</v>
      </c>
      <c r="E44" s="128">
        <f t="shared" si="106"/>
        <v>10790.396673350997</v>
      </c>
      <c r="F44" s="128">
        <f t="shared" ref="F44:AN44" si="107">F42*(ShareTruck)</f>
        <v>11067.078971212601</v>
      </c>
      <c r="G44" s="128">
        <f t="shared" si="107"/>
        <v>11350.855826972989</v>
      </c>
      <c r="H44" s="128">
        <f t="shared" si="107"/>
        <v>11641.909155963102</v>
      </c>
      <c r="I44" s="128">
        <f t="shared" si="107"/>
        <v>11940.425538101588</v>
      </c>
      <c r="J44" s="128">
        <f t="shared" si="107"/>
        <v>12246.596337501989</v>
      </c>
      <c r="K44" s="128">
        <f t="shared" si="107"/>
        <v>12560.617825146823</v>
      </c>
      <c r="L44" s="128">
        <f t="shared" si="107"/>
        <v>10865.307843044564</v>
      </c>
      <c r="M44" s="128">
        <f t="shared" si="107"/>
        <v>11044.83779752372</v>
      </c>
      <c r="N44" s="128">
        <f t="shared" si="107"/>
        <v>11227.334166302486</v>
      </c>
      <c r="O44" s="128">
        <f t="shared" si="107"/>
        <v>11412.845964119504</v>
      </c>
      <c r="P44" s="128">
        <f t="shared" si="107"/>
        <v>11601.423015595095</v>
      </c>
      <c r="Q44" s="128">
        <f t="shared" si="107"/>
        <v>11793.115968613129</v>
      </c>
      <c r="R44" s="128">
        <f t="shared" si="107"/>
        <v>11987.976307923978</v>
      </c>
      <c r="S44" s="128">
        <f t="shared" si="107"/>
        <v>12186.056368972271</v>
      </c>
      <c r="T44" s="128">
        <f t="shared" si="107"/>
        <v>12387.409351953098</v>
      </c>
      <c r="U44" s="128">
        <f t="shared" si="107"/>
        <v>12592.089336100482</v>
      </c>
      <c r="V44" s="128">
        <f t="shared" si="107"/>
        <v>12800.151294211933</v>
      </c>
      <c r="W44" s="128">
        <f t="shared" si="107"/>
        <v>13011.651107413014</v>
      </c>
      <c r="X44" s="128">
        <f t="shared" si="107"/>
        <v>13226.645580165838</v>
      </c>
      <c r="Y44" s="128">
        <f t="shared" si="107"/>
        <v>13445.192455525579</v>
      </c>
      <c r="Z44" s="128">
        <f t="shared" si="107"/>
        <v>13667.350430649054</v>
      </c>
      <c r="AA44" s="128">
        <f t="shared" si="107"/>
        <v>13893.179172559558</v>
      </c>
      <c r="AB44" s="128">
        <f t="shared" si="107"/>
        <v>14122.739334172193</v>
      </c>
      <c r="AC44" s="128">
        <f t="shared" si="107"/>
        <v>14356.092570583987</v>
      </c>
      <c r="AD44" s="128">
        <f t="shared" si="107"/>
        <v>14593.301555633165</v>
      </c>
      <c r="AE44" s="128">
        <f t="shared" si="107"/>
        <v>14834.429998732046</v>
      </c>
      <c r="AF44" s="128">
        <f t="shared" si="107"/>
        <v>15079.54266197807</v>
      </c>
      <c r="AG44" s="128">
        <f t="shared" si="107"/>
        <v>15328.705377547554</v>
      </c>
      <c r="AH44" s="128">
        <f t="shared" si="107"/>
        <v>15581.985065376846</v>
      </c>
      <c r="AI44" s="128">
        <f t="shared" si="107"/>
        <v>15839.449751135635</v>
      </c>
      <c r="AJ44" s="128">
        <f t="shared" si="107"/>
        <v>16101.168584497231</v>
      </c>
      <c r="AK44" s="128">
        <f t="shared" si="107"/>
        <v>16367.211857710739</v>
      </c>
      <c r="AL44" s="128">
        <f t="shared" si="107"/>
        <v>16637.651024480092</v>
      </c>
      <c r="AM44" s="128">
        <f t="shared" si="107"/>
        <v>16912.558719155037</v>
      </c>
      <c r="AN44" s="128">
        <f t="shared" si="107"/>
        <v>17192.00877623921</v>
      </c>
      <c r="AO44" s="128">
        <f t="shared" ref="AO44" si="108">AO42*(ShareTruck)</f>
        <v>17476.076250220562</v>
      </c>
    </row>
    <row r="45" spans="1:41" s="126" customFormat="1" x14ac:dyDescent="0.3">
      <c r="B45" s="131"/>
      <c r="C45" s="134"/>
      <c r="D45" s="134"/>
      <c r="E45" s="134"/>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row>
    <row r="46" spans="1:41" s="126" customFormat="1" x14ac:dyDescent="0.3">
      <c r="A46" s="318" t="s">
        <v>221</v>
      </c>
      <c r="B46" s="132" t="s">
        <v>222</v>
      </c>
      <c r="D46" s="128">
        <f>('Traffic Projection'!H62)*(1+CAGR_NoBuild_TT_Douglas_Anderson)^4</f>
        <v>309174.87811726576</v>
      </c>
      <c r="E46" s="128">
        <f>D46*(1+CAGR_NoBuild_TT_Douglas_Anderson)</f>
        <v>316843.4481979757</v>
      </c>
      <c r="F46" s="128">
        <f t="shared" ref="F46:K46" si="109">E46*(1+CAGR_NoBuild_TT_Douglas_Anderson)</f>
        <v>324702.2244411037</v>
      </c>
      <c r="G46" s="128">
        <f t="shared" si="109"/>
        <v>332755.92459504888</v>
      </c>
      <c r="H46" s="128">
        <f t="shared" si="109"/>
        <v>341009.38342413493</v>
      </c>
      <c r="I46" s="128">
        <f t="shared" si="109"/>
        <v>349467.55561099609</v>
      </c>
      <c r="J46" s="128">
        <f t="shared" si="109"/>
        <v>358135.51873095194</v>
      </c>
      <c r="K46" s="128">
        <f t="shared" si="109"/>
        <v>367018.47630015662</v>
      </c>
      <c r="L46" s="128">
        <f>'Traffic Projection'!L62*(1+CAGR_Build_TT_Douglas_Anderson)^(2027-2015)</f>
        <v>315283.48164254474</v>
      </c>
      <c r="M46" s="128">
        <f t="shared" ref="M46" si="110">L46*(1+CAGR_Build_TT_Douglas_Anderson)</f>
        <v>320080.79075856268</v>
      </c>
      <c r="N46" s="128">
        <f t="shared" ref="N46" si="111">M46*(1+CAGR_Build_TT_Douglas_Anderson)</f>
        <v>324951.09505540878</v>
      </c>
      <c r="O46" s="128">
        <f t="shared" ref="O46" si="112">N46*(1+CAGR_Build_TT_Douglas_Anderson)</f>
        <v>329895.50521748868</v>
      </c>
      <c r="P46" s="128">
        <f t="shared" ref="P46" si="113">O46*(1+CAGR_Build_TT_Douglas_Anderson)</f>
        <v>334915.14882922568</v>
      </c>
      <c r="Q46" s="128">
        <f t="shared" ref="Q46" si="114">P46*(1+CAGR_Build_TT_Douglas_Anderson)</f>
        <v>340011.17063220916</v>
      </c>
      <c r="R46" s="128">
        <f t="shared" ref="R46" si="115">Q46*(1+CAGR_Build_TT_Douglas_Anderson)</f>
        <v>345184.73278625548</v>
      </c>
      <c r="S46" s="128">
        <f t="shared" ref="S46" si="116">R46*(1+CAGR_Build_TT_Douglas_Anderson)</f>
        <v>350437.01513444138</v>
      </c>
      <c r="T46" s="128">
        <f t="shared" ref="T46" si="117">S46*(1+CAGR_Build_TT_Douglas_Anderson)</f>
        <v>355769.2154721698</v>
      </c>
      <c r="U46" s="128">
        <f t="shared" ref="U46" si="118">T46*(1+CAGR_Build_TT_Douglas_Anderson)</f>
        <v>361182.54982033023</v>
      </c>
      <c r="V46" s="128">
        <f t="shared" ref="V46" si="119">U46*(1+CAGR_Build_TT_Douglas_Anderson)</f>
        <v>366678.25270261487</v>
      </c>
      <c r="W46" s="128">
        <f t="shared" ref="W46" si="120">V46*(1+CAGR_Build_TT_Douglas_Anderson)</f>
        <v>372257.57742705493</v>
      </c>
      <c r="X46" s="128">
        <f t="shared" ref="X46" si="121">W46*(1+CAGR_Build_TT_Douglas_Anderson)</f>
        <v>377921.79637184023</v>
      </c>
      <c r="Y46" s="128">
        <f t="shared" ref="Y46" si="122">X46*(1+CAGR_Build_TT_Douglas_Anderson)</f>
        <v>383672.20127548825</v>
      </c>
      <c r="Z46" s="128">
        <f t="shared" ref="Z46" si="123">Y46*(1+CAGR_Build_TT_Douglas_Anderson)</f>
        <v>389510.10353142803</v>
      </c>
      <c r="AA46" s="128">
        <f t="shared" ref="AA46" si="124">Z46*(1+CAGR_Build_TT_Douglas_Anderson)</f>
        <v>395436.83448706672</v>
      </c>
      <c r="AB46" s="128">
        <f t="shared" ref="AB46" si="125">AA46*(1+CAGR_Build_TT_Douglas_Anderson)</f>
        <v>401453.74574740627</v>
      </c>
      <c r="AC46" s="128">
        <f t="shared" ref="AC46" si="126">AB46*(1+CAGR_Build_TT_Douglas_Anderson)</f>
        <v>407562.20948328025</v>
      </c>
      <c r="AD46" s="128">
        <f t="shared" ref="AD46" si="127">AC46*(1+CAGR_Build_TT_Douglas_Anderson)</f>
        <v>413763.61874428077</v>
      </c>
      <c r="AE46" s="128">
        <f t="shared" ref="AE46" si="128">AD46*(1+CAGR_Build_TT_Douglas_Anderson)</f>
        <v>420059.38777644647</v>
      </c>
      <c r="AF46" s="128">
        <f t="shared" ref="AF46" si="129">AE46*(1+CAGR_Build_TT_Douglas_Anderson)</f>
        <v>426450.95234478486</v>
      </c>
      <c r="AG46" s="128">
        <f t="shared" ref="AG46" si="130">AF46*(1+CAGR_Build_TT_Douglas_Anderson)</f>
        <v>432939.77006070199</v>
      </c>
      <c r="AH46" s="128">
        <f t="shared" ref="AH46" si="131">AG46*(1+CAGR_Build_TT_Douglas_Anderson)</f>
        <v>439527.32071441395</v>
      </c>
      <c r="AI46" s="128">
        <f t="shared" ref="AI46" si="132">AH46*(1+CAGR_Build_TT_Douglas_Anderson)</f>
        <v>446215.10661241662</v>
      </c>
      <c r="AJ46" s="128">
        <f t="shared" ref="AJ46" si="133">AI46*(1+CAGR_Build_TT_Douglas_Anderson)</f>
        <v>453004.65292009036</v>
      </c>
      <c r="AK46" s="128">
        <f t="shared" ref="AK46" si="134">AJ46*(1+CAGR_Build_TT_Douglas_Anderson)</f>
        <v>459897.50800951739</v>
      </c>
      <c r="AL46" s="128">
        <f t="shared" ref="AL46" si="135">AK46*(1+CAGR_Build_TT_Douglas_Anderson)</f>
        <v>466895.24381259183</v>
      </c>
      <c r="AM46" s="128">
        <f t="shared" ref="AM46" si="136">AL46*(1+CAGR_Build_TT_Douglas_Anderson)</f>
        <v>473999.4561795023</v>
      </c>
      <c r="AN46" s="128">
        <f t="shared" ref="AN46:AO46" si="137">AM46*(1+CAGR_Build_TT_Douglas_Anderson)</f>
        <v>481211.76524266961</v>
      </c>
      <c r="AO46" s="128">
        <f t="shared" si="137"/>
        <v>488533.81578622159</v>
      </c>
    </row>
    <row r="47" spans="1:41" s="126" customFormat="1" x14ac:dyDescent="0.3">
      <c r="A47" s="19" t="s">
        <v>230</v>
      </c>
      <c r="B47" s="132" t="s">
        <v>222</v>
      </c>
      <c r="D47" s="128">
        <f t="shared" ref="D47:AA47" si="138">D46*(1-ShareTruck)</f>
        <v>268982.14396202122</v>
      </c>
      <c r="E47" s="128">
        <f t="shared" si="138"/>
        <v>275653.79993223888</v>
      </c>
      <c r="F47" s="128">
        <f t="shared" si="138"/>
        <v>282490.93526376021</v>
      </c>
      <c r="G47" s="128">
        <f t="shared" si="138"/>
        <v>289497.65439769253</v>
      </c>
      <c r="H47" s="128">
        <f t="shared" si="138"/>
        <v>296678.16357899737</v>
      </c>
      <c r="I47" s="128">
        <f t="shared" si="138"/>
        <v>304036.77338156657</v>
      </c>
      <c r="J47" s="128">
        <f t="shared" si="138"/>
        <v>311577.90129592817</v>
      </c>
      <c r="K47" s="128">
        <f t="shared" si="138"/>
        <v>319306.07438113628</v>
      </c>
      <c r="L47" s="128">
        <f t="shared" si="138"/>
        <v>274296.62902901391</v>
      </c>
      <c r="M47" s="128">
        <f t="shared" ref="M47:O47" si="139">M46*(1-ShareTruck)</f>
        <v>278470.28795994952</v>
      </c>
      <c r="N47" s="128">
        <f t="shared" si="139"/>
        <v>282707.45269820566</v>
      </c>
      <c r="O47" s="128">
        <f t="shared" si="139"/>
        <v>287009.08953921514</v>
      </c>
      <c r="P47" s="128">
        <f t="shared" si="138"/>
        <v>291376.17948142637</v>
      </c>
      <c r="Q47" s="128">
        <f t="shared" si="138"/>
        <v>295809.71845002199</v>
      </c>
      <c r="R47" s="128">
        <f t="shared" si="138"/>
        <v>300310.71752404229</v>
      </c>
      <c r="S47" s="128">
        <f t="shared" si="138"/>
        <v>304880.203166964</v>
      </c>
      <c r="T47" s="128">
        <f t="shared" si="138"/>
        <v>309519.21746078774</v>
      </c>
      <c r="U47" s="128">
        <f t="shared" si="138"/>
        <v>314228.81834368728</v>
      </c>
      <c r="V47" s="128">
        <f t="shared" si="138"/>
        <v>319010.07985127496</v>
      </c>
      <c r="W47" s="128">
        <f t="shared" si="138"/>
        <v>323864.0923615378</v>
      </c>
      <c r="X47" s="128">
        <f t="shared" si="138"/>
        <v>328791.96284350101</v>
      </c>
      <c r="Y47" s="128">
        <f t="shared" si="138"/>
        <v>333794.81510967476</v>
      </c>
      <c r="Z47" s="128">
        <f t="shared" si="138"/>
        <v>338873.79007234238</v>
      </c>
      <c r="AA47" s="128">
        <f t="shared" si="138"/>
        <v>344030.04600374802</v>
      </c>
      <c r="AB47" s="128">
        <f t="shared" ref="AB47" si="140">AB46*(1-ShareTruck)</f>
        <v>349264.75880024343</v>
      </c>
      <c r="AC47" s="128">
        <f t="shared" ref="AC47" si="141">AC46*(1-ShareTruck)</f>
        <v>354579.1222504538</v>
      </c>
      <c r="AD47" s="128">
        <f t="shared" ref="AD47" si="142">AD46*(1-ShareTruck)</f>
        <v>359974.34830752428</v>
      </c>
      <c r="AE47" s="128">
        <f t="shared" ref="AE47:AG47" si="143">AE46*(1-ShareTruck)</f>
        <v>365451.66736550845</v>
      </c>
      <c r="AF47" s="128">
        <f t="shared" ref="AF47:AH47" si="144">AF46*(1-ShareTruck)</f>
        <v>371012.32853996282</v>
      </c>
      <c r="AG47" s="128">
        <f t="shared" si="143"/>
        <v>376657.59995281073</v>
      </c>
      <c r="AH47" s="128">
        <f t="shared" si="144"/>
        <v>382388.76902154012</v>
      </c>
      <c r="AI47" s="128">
        <f t="shared" ref="AI47:AN47" si="145">AI46*(1-ShareTruck)</f>
        <v>388207.14275280247</v>
      </c>
      <c r="AJ47" s="128">
        <f t="shared" si="145"/>
        <v>394114.04804047861</v>
      </c>
      <c r="AK47" s="128">
        <f t="shared" si="145"/>
        <v>400110.83196828014</v>
      </c>
      <c r="AL47" s="128">
        <f t="shared" si="145"/>
        <v>406198.86211695487</v>
      </c>
      <c r="AM47" s="128">
        <f t="shared" si="145"/>
        <v>412379.52687616699</v>
      </c>
      <c r="AN47" s="128">
        <f t="shared" si="145"/>
        <v>418654.23576112255</v>
      </c>
      <c r="AO47" s="128">
        <f t="shared" ref="AO47" si="146">AO46*(1-ShareTruck)</f>
        <v>425024.4197340128</v>
      </c>
    </row>
    <row r="48" spans="1:41" s="126" customFormat="1" x14ac:dyDescent="0.3">
      <c r="A48" s="19" t="s">
        <v>264</v>
      </c>
      <c r="B48" s="132" t="s">
        <v>222</v>
      </c>
      <c r="D48" s="128">
        <f t="shared" ref="D48" si="147">D46*(ShareTruck)</f>
        <v>40192.73415524455</v>
      </c>
      <c r="E48" s="128">
        <f t="shared" ref="E48:AA48" si="148">E46*(ShareTruck)</f>
        <v>41189.64826573684</v>
      </c>
      <c r="F48" s="128">
        <f t="shared" si="148"/>
        <v>42211.289177343482</v>
      </c>
      <c r="G48" s="128">
        <f t="shared" si="148"/>
        <v>43258.27019735636</v>
      </c>
      <c r="H48" s="128">
        <f t="shared" si="148"/>
        <v>44331.219845137544</v>
      </c>
      <c r="I48" s="128">
        <f t="shared" si="148"/>
        <v>45430.782229429497</v>
      </c>
      <c r="J48" s="128">
        <f t="shared" si="148"/>
        <v>46557.617435023756</v>
      </c>
      <c r="K48" s="128">
        <f t="shared" si="148"/>
        <v>47712.401919020362</v>
      </c>
      <c r="L48" s="128">
        <f t="shared" si="148"/>
        <v>40986.85261353082</v>
      </c>
      <c r="M48" s="128">
        <f t="shared" ref="M48:O48" si="149">M46*(ShareTruck)</f>
        <v>41610.502798613154</v>
      </c>
      <c r="N48" s="128">
        <f t="shared" si="149"/>
        <v>42243.642357203142</v>
      </c>
      <c r="O48" s="128">
        <f t="shared" si="149"/>
        <v>42886.41567827353</v>
      </c>
      <c r="P48" s="128">
        <f t="shared" si="148"/>
        <v>43538.969347799342</v>
      </c>
      <c r="Q48" s="128">
        <f t="shared" si="148"/>
        <v>44201.452182187189</v>
      </c>
      <c r="R48" s="128">
        <f t="shared" si="148"/>
        <v>44874.015262213215</v>
      </c>
      <c r="S48" s="128">
        <f t="shared" si="148"/>
        <v>45556.811967477377</v>
      </c>
      <c r="T48" s="128">
        <f t="shared" si="148"/>
        <v>46249.998011382078</v>
      </c>
      <c r="U48" s="128">
        <f t="shared" si="148"/>
        <v>46953.731476642934</v>
      </c>
      <c r="V48" s="128">
        <f t="shared" si="148"/>
        <v>47668.172851339936</v>
      </c>
      <c r="W48" s="128">
        <f t="shared" si="148"/>
        <v>48393.485065517139</v>
      </c>
      <c r="X48" s="128">
        <f t="shared" si="148"/>
        <v>49129.83352833923</v>
      </c>
      <c r="Y48" s="128">
        <f t="shared" si="148"/>
        <v>49877.38616581347</v>
      </c>
      <c r="Z48" s="128">
        <f t="shared" si="148"/>
        <v>50636.313459085643</v>
      </c>
      <c r="AA48" s="128">
        <f t="shared" si="148"/>
        <v>51406.788483318676</v>
      </c>
      <c r="AB48" s="128">
        <f t="shared" ref="AB48:AF48" si="150">AB46*(ShareTruck)</f>
        <v>52188.986947162819</v>
      </c>
      <c r="AC48" s="128">
        <f t="shared" si="150"/>
        <v>52983.087232826438</v>
      </c>
      <c r="AD48" s="128">
        <f t="shared" si="150"/>
        <v>53789.270436756502</v>
      </c>
      <c r="AE48" s="128">
        <f t="shared" si="150"/>
        <v>54607.72041093804</v>
      </c>
      <c r="AF48" s="128">
        <f t="shared" si="150"/>
        <v>55438.623804822033</v>
      </c>
      <c r="AG48" s="128">
        <f t="shared" ref="AG48:AH48" si="151">AG46*(ShareTruck)</f>
        <v>56282.170107891259</v>
      </c>
      <c r="AH48" s="128">
        <f t="shared" si="151"/>
        <v>57138.551692873814</v>
      </c>
      <c r="AI48" s="128">
        <f t="shared" ref="AI48:AN48" si="152">AI46*(ShareTruck)</f>
        <v>58007.963859614167</v>
      </c>
      <c r="AJ48" s="128">
        <f t="shared" si="152"/>
        <v>58890.604879611747</v>
      </c>
      <c r="AK48" s="128">
        <f t="shared" si="152"/>
        <v>59786.676041237261</v>
      </c>
      <c r="AL48" s="128">
        <f t="shared" si="152"/>
        <v>60696.381695636941</v>
      </c>
      <c r="AM48" s="128">
        <f t="shared" si="152"/>
        <v>61619.929303335302</v>
      </c>
      <c r="AN48" s="128">
        <f t="shared" si="152"/>
        <v>62557.529481547055</v>
      </c>
      <c r="AO48" s="128">
        <f t="shared" ref="AO48" si="153">AO46*(ShareTruck)</f>
        <v>63509.396052208809</v>
      </c>
    </row>
    <row r="49" spans="1:41" s="126" customFormat="1" x14ac:dyDescent="0.3">
      <c r="A49" s="101"/>
      <c r="B49" s="132"/>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row>
    <row r="50" spans="1:41" s="126" customFormat="1" x14ac:dyDescent="0.3">
      <c r="A50" s="219" t="s">
        <v>232</v>
      </c>
      <c r="B50" s="126" t="s">
        <v>222</v>
      </c>
      <c r="D50" s="128">
        <f>('Traffic Projection'!H75)*(1+CAGR_NoBuild_TT_Anderson_I240)^4</f>
        <v>127156.54010765166</v>
      </c>
      <c r="E50" s="128">
        <f t="shared" ref="E50:K50" si="154">D50*(1+CAGR_NoBuild_TT_Anderson_I240)</f>
        <v>130231.82904956897</v>
      </c>
      <c r="F50" s="128">
        <f t="shared" si="154"/>
        <v>133381.49404849659</v>
      </c>
      <c r="G50" s="128">
        <f t="shared" si="154"/>
        <v>136607.33389406398</v>
      </c>
      <c r="H50" s="128">
        <f t="shared" si="154"/>
        <v>139911.19087974128</v>
      </c>
      <c r="I50" s="128">
        <f t="shared" si="154"/>
        <v>143294.95185498236</v>
      </c>
      <c r="J50" s="128">
        <f t="shared" si="154"/>
        <v>146760.54930281415</v>
      </c>
      <c r="K50" s="128">
        <f t="shared" si="154"/>
        <v>150309.96244348749</v>
      </c>
      <c r="L50" s="128">
        <f>'Traffic Projection'!L75*(1+CAGR_Build_TT_Anderson_I240)^(2027-2015)</f>
        <v>129465.47778671188</v>
      </c>
      <c r="M50" s="128">
        <f t="shared" ref="M50" si="155">L50*(1+CAGR_Build_TT_Anderson_I240)</f>
        <v>131390.35148534569</v>
      </c>
      <c r="N50" s="128">
        <f t="shared" ref="N50" si="156">M50*(1+CAGR_Build_TT_Anderson_I240)</f>
        <v>133343.8439232684</v>
      </c>
      <c r="O50" s="128">
        <f t="shared" ref="O50" si="157">N50*(1+CAGR_Build_TT_Anderson_I240)</f>
        <v>135326.38059969022</v>
      </c>
      <c r="P50" s="128">
        <f t="shared" ref="P50:AA50" si="158">O50*(1+CAGR_Build_TT_Anderson_I240)</f>
        <v>137338.39334008106</v>
      </c>
      <c r="Q50" s="128">
        <f t="shared" si="158"/>
        <v>139380.32039022847</v>
      </c>
      <c r="R50" s="128">
        <f t="shared" si="158"/>
        <v>141452.60651169397</v>
      </c>
      <c r="S50" s="128">
        <f t="shared" si="158"/>
        <v>143555.70307868862</v>
      </c>
      <c r="T50" s="128">
        <f t="shared" si="158"/>
        <v>145690.06817638892</v>
      </c>
      <c r="U50" s="128">
        <f t="shared" si="158"/>
        <v>147856.16670071444</v>
      </c>
      <c r="V50" s="128">
        <f t="shared" si="158"/>
        <v>150054.47045958901</v>
      </c>
      <c r="W50" s="128">
        <f t="shared" si="158"/>
        <v>152285.45827570726</v>
      </c>
      <c r="X50" s="128">
        <f t="shared" si="158"/>
        <v>154549.6160908294</v>
      </c>
      <c r="Y50" s="128">
        <f t="shared" si="158"/>
        <v>156847.43707162619</v>
      </c>
      <c r="Z50" s="128">
        <f t="shared" si="158"/>
        <v>159179.42171709807</v>
      </c>
      <c r="AA50" s="128">
        <f t="shared" si="158"/>
        <v>161546.07796759103</v>
      </c>
      <c r="AB50" s="128">
        <f t="shared" ref="AB50:AF50" si="159">AA50*(1+CAGR_Build_TT_Anderson_I240)</f>
        <v>163947.92131543349</v>
      </c>
      <c r="AC50" s="128">
        <f t="shared" si="159"/>
        <v>166385.47491721806</v>
      </c>
      <c r="AD50" s="128">
        <f t="shared" si="159"/>
        <v>168859.26970775271</v>
      </c>
      <c r="AE50" s="128">
        <f t="shared" si="159"/>
        <v>171369.84451570606</v>
      </c>
      <c r="AF50" s="128">
        <f t="shared" si="159"/>
        <v>173917.74618097226</v>
      </c>
      <c r="AG50" s="128">
        <f t="shared" ref="AG50" si="160">AF50*(1+CAGR_Build_TT_Anderson_I240)</f>
        <v>176503.52967378058</v>
      </c>
      <c r="AH50" s="128">
        <f t="shared" ref="AH50" si="161">AG50*(1+CAGR_Build_TT_Anderson_I240)</f>
        <v>179127.75821557615</v>
      </c>
      <c r="AI50" s="128">
        <f t="shared" ref="AI50" si="162">AH50*(1+CAGR_Build_TT_Anderson_I240)</f>
        <v>181791.00340169776</v>
      </c>
      <c r="AJ50" s="128">
        <f t="shared" ref="AJ50" si="163">AI50*(1+CAGR_Build_TT_Anderson_I240)</f>
        <v>184493.84532587972</v>
      </c>
      <c r="AK50" s="128">
        <f t="shared" ref="AK50" si="164">AJ50*(1+CAGR_Build_TT_Anderson_I240)</f>
        <v>187236.87270660474</v>
      </c>
      <c r="AL50" s="128">
        <f t="shared" ref="AL50" si="165">AK50*(1+CAGR_Build_TT_Anderson_I240)</f>
        <v>190020.68301533538</v>
      </c>
      <c r="AM50" s="128">
        <f t="shared" ref="AM50" si="166">AL50*(1+CAGR_Build_TT_Anderson_I240)</f>
        <v>192845.88260665216</v>
      </c>
      <c r="AN50" s="128">
        <f t="shared" ref="AN50:AO50" si="167">AM50*(1+CAGR_Build_TT_Anderson_I240)</f>
        <v>195713.08685032633</v>
      </c>
      <c r="AO50" s="128">
        <f t="shared" si="167"/>
        <v>198622.92026535654</v>
      </c>
    </row>
    <row r="51" spans="1:41" s="126" customFormat="1" ht="15" x14ac:dyDescent="0.3">
      <c r="A51" s="19" t="s">
        <v>230</v>
      </c>
      <c r="B51" s="132" t="s">
        <v>222</v>
      </c>
      <c r="D51" s="128">
        <f t="shared" ref="D51:AA51" si="168">D50*(1-ShareTruck)</f>
        <v>110626.18989365693</v>
      </c>
      <c r="E51" s="128">
        <f t="shared" si="168"/>
        <v>113301.691273125</v>
      </c>
      <c r="F51" s="128">
        <f t="shared" si="168"/>
        <v>116041.89982219203</v>
      </c>
      <c r="G51" s="128">
        <f t="shared" si="168"/>
        <v>118848.38048783566</v>
      </c>
      <c r="H51" s="128">
        <f t="shared" si="168"/>
        <v>121722.73606537491</v>
      </c>
      <c r="I51" s="128">
        <f t="shared" si="168"/>
        <v>124666.60811383465</v>
      </c>
      <c r="J51" s="128">
        <f t="shared" si="168"/>
        <v>127681.67789344832</v>
      </c>
      <c r="K51" s="128">
        <f t="shared" si="168"/>
        <v>130769.66732583412</v>
      </c>
      <c r="L51" s="128">
        <f t="shared" si="168"/>
        <v>112634.96567443934</v>
      </c>
      <c r="M51" s="128">
        <f t="shared" ref="M51:O51" si="169">M50*(1-ShareTruck)</f>
        <v>114309.60579225075</v>
      </c>
      <c r="N51" s="128">
        <f t="shared" si="169"/>
        <v>116009.1442132435</v>
      </c>
      <c r="O51" s="128">
        <f t="shared" si="169"/>
        <v>117733.9511217305</v>
      </c>
      <c r="P51" s="128">
        <f t="shared" si="168"/>
        <v>119484.40220587053</v>
      </c>
      <c r="Q51" s="128">
        <f t="shared" si="168"/>
        <v>121260.87873949877</v>
      </c>
      <c r="R51" s="128">
        <f t="shared" si="168"/>
        <v>123063.76766517376</v>
      </c>
      <c r="S51" s="128">
        <f t="shared" si="168"/>
        <v>124893.46167845909</v>
      </c>
      <c r="T51" s="128">
        <f t="shared" si="168"/>
        <v>126750.35931345835</v>
      </c>
      <c r="U51" s="128">
        <f t="shared" si="168"/>
        <v>128634.86502962156</v>
      </c>
      <c r="V51" s="128">
        <f t="shared" si="168"/>
        <v>130547.38929984244</v>
      </c>
      <c r="W51" s="128">
        <f t="shared" si="168"/>
        <v>132488.34869986531</v>
      </c>
      <c r="X51" s="128">
        <f t="shared" si="168"/>
        <v>134458.16599902158</v>
      </c>
      <c r="Y51" s="128">
        <f t="shared" si="168"/>
        <v>136457.27025231477</v>
      </c>
      <c r="Z51" s="128">
        <f t="shared" si="168"/>
        <v>138486.09689387531</v>
      </c>
      <c r="AA51" s="128">
        <f t="shared" si="168"/>
        <v>140545.08783180421</v>
      </c>
      <c r="AB51" s="128">
        <f t="shared" ref="AB51" si="170">AB50*(1-ShareTruck)</f>
        <v>142634.69154442713</v>
      </c>
      <c r="AC51" s="128">
        <f t="shared" ref="AC51" si="171">AC50*(1-ShareTruck)</f>
        <v>144755.36317797971</v>
      </c>
      <c r="AD51" s="128">
        <f t="shared" ref="AD51" si="172">AD50*(1-ShareTruck)</f>
        <v>146907.56464574486</v>
      </c>
      <c r="AE51" s="128">
        <f t="shared" ref="AE51:AG51" si="173">AE50*(1-ShareTruck)</f>
        <v>149091.76472866428</v>
      </c>
      <c r="AF51" s="128">
        <f t="shared" ref="AF51:AH51" si="174">AF50*(1-ShareTruck)</f>
        <v>151308.43917744586</v>
      </c>
      <c r="AG51" s="128">
        <f t="shared" si="173"/>
        <v>153558.07081618911</v>
      </c>
      <c r="AH51" s="128">
        <f t="shared" si="174"/>
        <v>155841.14964755124</v>
      </c>
      <c r="AI51" s="128">
        <f t="shared" ref="AI51:AN51" si="175">AI50*(1-ShareTruck)</f>
        <v>158158.17295947706</v>
      </c>
      <c r="AJ51" s="128">
        <f t="shared" si="175"/>
        <v>160509.64543351537</v>
      </c>
      <c r="AK51" s="128">
        <f t="shared" si="175"/>
        <v>162896.07925474612</v>
      </c>
      <c r="AL51" s="128">
        <f t="shared" si="175"/>
        <v>165317.99422334178</v>
      </c>
      <c r="AM51" s="128">
        <f t="shared" si="175"/>
        <v>167775.91786778739</v>
      </c>
      <c r="AN51" s="128">
        <f t="shared" si="175"/>
        <v>170270.3855597839</v>
      </c>
      <c r="AO51" s="128">
        <f t="shared" ref="AO51" si="176">AO50*(1-ShareTruck)</f>
        <v>172801.94063086019</v>
      </c>
    </row>
    <row r="52" spans="1:41" s="126" customFormat="1" ht="15" x14ac:dyDescent="0.3">
      <c r="A52" s="19" t="s">
        <v>264</v>
      </c>
      <c r="B52" s="132" t="s">
        <v>222</v>
      </c>
      <c r="D52" s="128">
        <f t="shared" ref="D52" si="177">D50*(ShareTruck)</f>
        <v>16530.350213994716</v>
      </c>
      <c r="E52" s="128">
        <f t="shared" ref="E52:AA52" si="178">E50*(ShareTruck)</f>
        <v>16930.137776443968</v>
      </c>
      <c r="F52" s="128">
        <f t="shared" si="178"/>
        <v>17339.594226304558</v>
      </c>
      <c r="G52" s="128">
        <f t="shared" si="178"/>
        <v>17758.953406228316</v>
      </c>
      <c r="H52" s="128">
        <f t="shared" si="178"/>
        <v>18188.454814366367</v>
      </c>
      <c r="I52" s="128">
        <f t="shared" si="178"/>
        <v>18628.343741147706</v>
      </c>
      <c r="J52" s="128">
        <f t="shared" si="178"/>
        <v>19078.871409365842</v>
      </c>
      <c r="K52" s="128">
        <f t="shared" si="178"/>
        <v>19540.295117653375</v>
      </c>
      <c r="L52" s="128">
        <f t="shared" si="178"/>
        <v>16830.512112272547</v>
      </c>
      <c r="M52" s="128">
        <f t="shared" ref="M52:O52" si="179">M50*(ShareTruck)</f>
        <v>17080.745693094941</v>
      </c>
      <c r="N52" s="128">
        <f t="shared" si="179"/>
        <v>17334.699710024892</v>
      </c>
      <c r="O52" s="128">
        <f t="shared" si="179"/>
        <v>17592.429477959729</v>
      </c>
      <c r="P52" s="128">
        <f t="shared" si="178"/>
        <v>17853.991134210541</v>
      </c>
      <c r="Q52" s="128">
        <f t="shared" si="178"/>
        <v>18119.441650729703</v>
      </c>
      <c r="R52" s="128">
        <f t="shared" si="178"/>
        <v>18388.838846520215</v>
      </c>
      <c r="S52" s="128">
        <f t="shared" si="178"/>
        <v>18662.241400229519</v>
      </c>
      <c r="T52" s="128">
        <f t="shared" si="178"/>
        <v>18939.708862930558</v>
      </c>
      <c r="U52" s="128">
        <f t="shared" si="178"/>
        <v>19221.301671092879</v>
      </c>
      <c r="V52" s="128">
        <f t="shared" si="178"/>
        <v>19507.081159746573</v>
      </c>
      <c r="W52" s="128">
        <f t="shared" si="178"/>
        <v>19797.109575841943</v>
      </c>
      <c r="X52" s="128">
        <f t="shared" si="178"/>
        <v>20091.450091807823</v>
      </c>
      <c r="Y52" s="128">
        <f t="shared" si="178"/>
        <v>20390.166819311406</v>
      </c>
      <c r="Z52" s="128">
        <f t="shared" si="178"/>
        <v>20693.324823222749</v>
      </c>
      <c r="AA52" s="128">
        <f t="shared" si="178"/>
        <v>21000.990135786833</v>
      </c>
      <c r="AB52" s="128">
        <f t="shared" ref="AB52:AF52" si="180">AB50*(ShareTruck)</f>
        <v>21313.229771006354</v>
      </c>
      <c r="AC52" s="128">
        <f t="shared" si="180"/>
        <v>21630.111739238349</v>
      </c>
      <c r="AD52" s="128">
        <f t="shared" si="180"/>
        <v>21951.705062007852</v>
      </c>
      <c r="AE52" s="128">
        <f t="shared" si="180"/>
        <v>22278.079787041788</v>
      </c>
      <c r="AF52" s="128">
        <f t="shared" si="180"/>
        <v>22609.307003526395</v>
      </c>
      <c r="AG52" s="128">
        <f t="shared" ref="AG52:AH52" si="181">AG50*(ShareTruck)</f>
        <v>22945.458857591475</v>
      </c>
      <c r="AH52" s="128">
        <f t="shared" si="181"/>
        <v>23286.608568024902</v>
      </c>
      <c r="AI52" s="128">
        <f t="shared" ref="AI52:AN52" si="182">AI50*(ShareTruck)</f>
        <v>23632.830442220711</v>
      </c>
      <c r="AJ52" s="128">
        <f t="shared" si="182"/>
        <v>23984.199892364366</v>
      </c>
      <c r="AK52" s="128">
        <f t="shared" si="182"/>
        <v>24340.793451858619</v>
      </c>
      <c r="AL52" s="128">
        <f t="shared" si="182"/>
        <v>24702.688791993602</v>
      </c>
      <c r="AM52" s="128">
        <f t="shared" si="182"/>
        <v>25069.964738864783</v>
      </c>
      <c r="AN52" s="128">
        <f t="shared" si="182"/>
        <v>25442.701290542424</v>
      </c>
      <c r="AO52" s="128">
        <f t="shared" ref="AO52" si="183">AO50*(ShareTruck)</f>
        <v>25820.979634496351</v>
      </c>
    </row>
    <row r="53" spans="1:41" s="126" customFormat="1" ht="15" x14ac:dyDescent="0.3">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row>
    <row r="54" spans="1:41" s="126" customFormat="1" x14ac:dyDescent="0.3">
      <c r="A54" s="318" t="s">
        <v>303</v>
      </c>
      <c r="B54" s="133" t="s">
        <v>78</v>
      </c>
      <c r="D54" s="319">
        <f>SUM(D55:D56)</f>
        <v>2040125.2649927014</v>
      </c>
      <c r="E54" s="319">
        <f t="shared" ref="E54:AN54" si="184">SUM(E55:E56)</f>
        <v>2092437.2015536388</v>
      </c>
      <c r="F54" s="319">
        <f t="shared" si="184"/>
        <v>2146090.496291799</v>
      </c>
      <c r="G54" s="319">
        <f t="shared" si="184"/>
        <v>2201119.5436853417</v>
      </c>
      <c r="H54" s="319">
        <f t="shared" si="184"/>
        <v>2257559.620139529</v>
      </c>
      <c r="I54" s="319">
        <f t="shared" si="184"/>
        <v>2315446.9066006853</v>
      </c>
      <c r="J54" s="319">
        <f t="shared" si="184"/>
        <v>2374818.5117500126</v>
      </c>
      <c r="K54" s="319">
        <f t="shared" si="184"/>
        <v>2435712.4957921407</v>
      </c>
      <c r="L54" s="319">
        <f>SUM(L55:L56)</f>
        <v>2106963.7220351179</v>
      </c>
      <c r="M54" s="319">
        <f t="shared" si="184"/>
        <v>2141777.5631678696</v>
      </c>
      <c r="N54" s="319">
        <f t="shared" si="184"/>
        <v>2177166.6413214304</v>
      </c>
      <c r="O54" s="319">
        <f t="shared" si="184"/>
        <v>2213140.4612680217</v>
      </c>
      <c r="P54" s="319">
        <f t="shared" si="184"/>
        <v>2249708.684829379</v>
      </c>
      <c r="Q54" s="319">
        <f t="shared" si="184"/>
        <v>2286881.1334717181</v>
      </c>
      <c r="R54" s="319">
        <f t="shared" si="184"/>
        <v>2324667.7909435756</v>
      </c>
      <c r="S54" s="319">
        <f t="shared" si="184"/>
        <v>2363078.8059572387</v>
      </c>
      <c r="T54" s="319">
        <f t="shared" si="184"/>
        <v>2402124.4949144768</v>
      </c>
      <c r="U54" s="319">
        <f t="shared" si="184"/>
        <v>2441815.3446773137</v>
      </c>
      <c r="V54" s="319">
        <f t="shared" si="184"/>
        <v>2482162.0153845823</v>
      </c>
      <c r="W54" s="319">
        <f t="shared" si="184"/>
        <v>2523175.3433150146</v>
      </c>
      <c r="X54" s="319">
        <f t="shared" si="184"/>
        <v>2564866.3437976418</v>
      </c>
      <c r="Y54" s="319">
        <f t="shared" si="184"/>
        <v>2607246.214170286</v>
      </c>
      <c r="Z54" s="319">
        <f t="shared" si="184"/>
        <v>2650326.3367869304</v>
      </c>
      <c r="AA54" s="319">
        <f t="shared" si="184"/>
        <v>2694118.2820747811</v>
      </c>
      <c r="AB54" s="319">
        <f t="shared" si="184"/>
        <v>2738633.8116418486</v>
      </c>
      <c r="AC54" s="319">
        <f t="shared" si="184"/>
        <v>2783884.8814358693</v>
      </c>
      <c r="AD54" s="319">
        <f t="shared" si="184"/>
        <v>2829883.6449554255</v>
      </c>
      <c r="AE54" s="319">
        <f t="shared" si="184"/>
        <v>2876642.4565141229</v>
      </c>
      <c r="AF54" s="319">
        <f t="shared" si="184"/>
        <v>2924173.8745587007</v>
      </c>
      <c r="AG54" s="319">
        <f t="shared" si="184"/>
        <v>2972490.6650419752</v>
      </c>
      <c r="AH54" s="319">
        <f t="shared" si="184"/>
        <v>3021605.8048515026</v>
      </c>
      <c r="AI54" s="319">
        <f t="shared" si="184"/>
        <v>3071532.4852949111</v>
      </c>
      <c r="AJ54" s="319">
        <f t="shared" si="184"/>
        <v>3122284.1156428019</v>
      </c>
      <c r="AK54" s="319">
        <f t="shared" si="184"/>
        <v>3173874.3267302099</v>
      </c>
      <c r="AL54" s="319">
        <f t="shared" si="184"/>
        <v>3226316.9746175585</v>
      </c>
      <c r="AM54" s="319">
        <f t="shared" si="184"/>
        <v>3279626.1443121103</v>
      </c>
      <c r="AN54" s="319">
        <f t="shared" si="184"/>
        <v>3333816.1535509117</v>
      </c>
      <c r="AO54" s="319">
        <f t="shared" ref="AO54" si="185">SUM(AO55:AO56)</f>
        <v>3388901.5566462325</v>
      </c>
    </row>
    <row r="55" spans="1:41" s="126" customFormat="1" x14ac:dyDescent="0.3">
      <c r="A55" s="19" t="s">
        <v>223</v>
      </c>
      <c r="B55" s="133" t="s">
        <v>78</v>
      </c>
      <c r="D55" s="319">
        <f t="shared" ref="D55:AN55" si="186">D43*Avg_Veh_Occ*timevalue_auto</f>
        <v>1729766.6337948744</v>
      </c>
      <c r="E55" s="319">
        <f t="shared" si="186"/>
        <v>1774120.4996897844</v>
      </c>
      <c r="F55" s="319">
        <f t="shared" si="186"/>
        <v>1819611.6666410272</v>
      </c>
      <c r="G55" s="319">
        <f t="shared" si="186"/>
        <v>1866269.2967896387</v>
      </c>
      <c r="H55" s="319">
        <f t="shared" si="186"/>
        <v>1914123.3000386176</v>
      </c>
      <c r="I55" s="319">
        <f t="shared" si="186"/>
        <v>1963204.3532266885</v>
      </c>
      <c r="J55" s="319">
        <f t="shared" si="186"/>
        <v>2013543.9197937041</v>
      </c>
      <c r="K55" s="319">
        <f t="shared" si="186"/>
        <v>2065174.2699503093</v>
      </c>
      <c r="L55" s="319">
        <f t="shared" si="186"/>
        <v>1786437.1406653035</v>
      </c>
      <c r="M55" s="319">
        <f t="shared" si="186"/>
        <v>1815954.8481409198</v>
      </c>
      <c r="N55" s="319">
        <f t="shared" si="186"/>
        <v>1845960.2834155071</v>
      </c>
      <c r="O55" s="319">
        <f t="shared" si="186"/>
        <v>1876461.5053264962</v>
      </c>
      <c r="P55" s="319">
        <f t="shared" si="186"/>
        <v>1907466.7058693238</v>
      </c>
      <c r="Q55" s="319">
        <f t="shared" si="186"/>
        <v>1938984.2123976306</v>
      </c>
      <c r="R55" s="319">
        <f t="shared" si="186"/>
        <v>1971022.4898598182</v>
      </c>
      <c r="S55" s="319">
        <f t="shared" si="186"/>
        <v>2003590.1430725567</v>
      </c>
      <c r="T55" s="319">
        <f t="shared" si="186"/>
        <v>2036695.9190318603</v>
      </c>
      <c r="U55" s="319">
        <f t="shared" si="186"/>
        <v>2070348.7092623496</v>
      </c>
      <c r="V55" s="319">
        <f t="shared" si="186"/>
        <v>2104557.5522053302</v>
      </c>
      <c r="W55" s="319">
        <f t="shared" si="186"/>
        <v>2139331.6356463307</v>
      </c>
      <c r="X55" s="319">
        <f t="shared" si="186"/>
        <v>2174680.2991827494</v>
      </c>
      <c r="Y55" s="319">
        <f t="shared" si="186"/>
        <v>2210613.0367322816</v>
      </c>
      <c r="Z55" s="319">
        <f t="shared" si="186"/>
        <v>2247139.4990827832</v>
      </c>
      <c r="AA55" s="319">
        <f t="shared" si="186"/>
        <v>2284269.496484274</v>
      </c>
      <c r="AB55" s="319">
        <f t="shared" si="186"/>
        <v>2322013.001283769</v>
      </c>
      <c r="AC55" s="319">
        <f t="shared" si="186"/>
        <v>2360380.1506036418</v>
      </c>
      <c r="AD55" s="319">
        <f t="shared" si="186"/>
        <v>2399381.2490642471</v>
      </c>
      <c r="AE55" s="319">
        <f t="shared" si="186"/>
        <v>2439026.7715515275</v>
      </c>
      <c r="AF55" s="319">
        <f t="shared" si="186"/>
        <v>2479327.3660303475</v>
      </c>
      <c r="AG55" s="319">
        <f t="shared" si="186"/>
        <v>2520293.8564043222</v>
      </c>
      <c r="AH55" s="319">
        <f t="shared" si="186"/>
        <v>2561937.2454228858</v>
      </c>
      <c r="AI55" s="319">
        <f t="shared" si="186"/>
        <v>2604268.7176364097</v>
      </c>
      <c r="AJ55" s="319">
        <f t="shared" si="186"/>
        <v>2647299.6424001334</v>
      </c>
      <c r="AK55" s="319">
        <f t="shared" si="186"/>
        <v>2691041.5769277429</v>
      </c>
      <c r="AL55" s="319">
        <f t="shared" si="186"/>
        <v>2735506.2693953956</v>
      </c>
      <c r="AM55" s="319">
        <f t="shared" si="186"/>
        <v>2780705.6620970368</v>
      </c>
      <c r="AN55" s="319">
        <f t="shared" si="186"/>
        <v>2826651.8946518549</v>
      </c>
      <c r="AO55" s="319">
        <f t="shared" ref="AO55" si="187">AO43*Avg_Veh_Occ*timevalue_auto</f>
        <v>2873357.3072647257</v>
      </c>
    </row>
    <row r="56" spans="1:41" s="126" customFormat="1" x14ac:dyDescent="0.3">
      <c r="A56" s="19" t="s">
        <v>224</v>
      </c>
      <c r="B56" s="133" t="s">
        <v>78</v>
      </c>
      <c r="D56" s="319">
        <f t="shared" ref="D56:AN56" si="188">D44*Avg_Truck_Occ*TimeValue_truck</f>
        <v>310358.63119782688</v>
      </c>
      <c r="E56" s="319">
        <f t="shared" si="188"/>
        <v>318316.70186385443</v>
      </c>
      <c r="F56" s="319">
        <f t="shared" si="188"/>
        <v>326478.82965077175</v>
      </c>
      <c r="G56" s="319">
        <f t="shared" si="188"/>
        <v>334850.2468957032</v>
      </c>
      <c r="H56" s="319">
        <f t="shared" si="188"/>
        <v>343436.32010091149</v>
      </c>
      <c r="I56" s="319">
        <f t="shared" si="188"/>
        <v>352242.55337399687</v>
      </c>
      <c r="J56" s="319">
        <f t="shared" si="188"/>
        <v>361274.59195630869</v>
      </c>
      <c r="K56" s="319">
        <f t="shared" si="188"/>
        <v>370538.2258418313</v>
      </c>
      <c r="L56" s="319">
        <f t="shared" si="188"/>
        <v>320526.58136981464</v>
      </c>
      <c r="M56" s="319">
        <f t="shared" si="188"/>
        <v>325822.71502694977</v>
      </c>
      <c r="N56" s="319">
        <f t="shared" si="188"/>
        <v>331206.35790592333</v>
      </c>
      <c r="O56" s="319">
        <f t="shared" si="188"/>
        <v>336678.95594152535</v>
      </c>
      <c r="P56" s="319">
        <f t="shared" si="188"/>
        <v>342241.97896005533</v>
      </c>
      <c r="Q56" s="319">
        <f t="shared" si="188"/>
        <v>347896.92107408727</v>
      </c>
      <c r="R56" s="319">
        <f t="shared" si="188"/>
        <v>353645.30108375737</v>
      </c>
      <c r="S56" s="319">
        <f t="shared" si="188"/>
        <v>359488.66288468201</v>
      </c>
      <c r="T56" s="319">
        <f t="shared" si="188"/>
        <v>365428.57588261639</v>
      </c>
      <c r="U56" s="319">
        <f t="shared" si="188"/>
        <v>371466.63541496423</v>
      </c>
      <c r="V56" s="319">
        <f t="shared" si="188"/>
        <v>377604.46317925205</v>
      </c>
      <c r="W56" s="319">
        <f t="shared" si="188"/>
        <v>383843.7076686839</v>
      </c>
      <c r="X56" s="319">
        <f t="shared" si="188"/>
        <v>390186.04461489222</v>
      </c>
      <c r="Y56" s="319">
        <f t="shared" si="188"/>
        <v>396633.17743800458</v>
      </c>
      <c r="Z56" s="319">
        <f t="shared" si="188"/>
        <v>403186.8377041471</v>
      </c>
      <c r="AA56" s="319">
        <f t="shared" si="188"/>
        <v>409848.78559050697</v>
      </c>
      <c r="AB56" s="319">
        <f t="shared" si="188"/>
        <v>416620.81035807967</v>
      </c>
      <c r="AC56" s="319">
        <f t="shared" si="188"/>
        <v>423504.73083222762</v>
      </c>
      <c r="AD56" s="319">
        <f t="shared" si="188"/>
        <v>430502.39589117834</v>
      </c>
      <c r="AE56" s="319">
        <f t="shared" si="188"/>
        <v>437615.68496259535</v>
      </c>
      <c r="AF56" s="319">
        <f t="shared" si="188"/>
        <v>444846.50852835306</v>
      </c>
      <c r="AG56" s="319">
        <f t="shared" si="188"/>
        <v>452196.80863765284</v>
      </c>
      <c r="AH56" s="319">
        <f t="shared" si="188"/>
        <v>459668.55942861695</v>
      </c>
      <c r="AI56" s="319">
        <f t="shared" si="188"/>
        <v>467263.76765850122</v>
      </c>
      <c r="AJ56" s="319">
        <f t="shared" si="188"/>
        <v>474984.47324266832</v>
      </c>
      <c r="AK56" s="319">
        <f t="shared" si="188"/>
        <v>482832.74980246683</v>
      </c>
      <c r="AL56" s="319">
        <f t="shared" si="188"/>
        <v>490810.70522216271</v>
      </c>
      <c r="AM56" s="319">
        <f t="shared" si="188"/>
        <v>498920.4822150736</v>
      </c>
      <c r="AN56" s="319">
        <f t="shared" si="188"/>
        <v>507164.2588990567</v>
      </c>
      <c r="AO56" s="319">
        <f t="shared" ref="AO56" si="189">AO44*Avg_Truck_Occ*TimeValue_truck</f>
        <v>515544.24938150658</v>
      </c>
    </row>
    <row r="57" spans="1:41" s="126" customFormat="1" x14ac:dyDescent="0.3">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row>
    <row r="58" spans="1:41" s="126" customFormat="1" x14ac:dyDescent="0.3">
      <c r="A58" s="318" t="s">
        <v>231</v>
      </c>
      <c r="B58" s="133" t="s">
        <v>78</v>
      </c>
      <c r="D58" s="258">
        <f>SUM(D59:D60)</f>
        <v>7794038.9704386517</v>
      </c>
      <c r="E58" s="258">
        <f>SUM(E59:E60)</f>
        <v>7987357.1805744814</v>
      </c>
      <c r="F58" s="258">
        <f t="shared" ref="F58:AA58" si="190">SUM(F59:F60)</f>
        <v>8185470.3282916937</v>
      </c>
      <c r="G58" s="258">
        <f t="shared" si="190"/>
        <v>8388497.3440645225</v>
      </c>
      <c r="H58" s="258">
        <f t="shared" si="190"/>
        <v>8596560.108240366</v>
      </c>
      <c r="I58" s="258">
        <f t="shared" si="190"/>
        <v>8809783.5242064986</v>
      </c>
      <c r="J58" s="258">
        <f t="shared" si="190"/>
        <v>9028295.5933715645</v>
      </c>
      <c r="K58" s="258">
        <f t="shared" si="190"/>
        <v>9252227.4920068569</v>
      </c>
      <c r="L58" s="258">
        <f t="shared" si="190"/>
        <v>7948031.7340839729</v>
      </c>
      <c r="M58" s="258">
        <f t="shared" si="190"/>
        <v>8068967.8671591291</v>
      </c>
      <c r="N58" s="258">
        <f t="shared" si="190"/>
        <v>8191744.1474270094</v>
      </c>
      <c r="O58" s="258">
        <f t="shared" si="190"/>
        <v>8316388.5743085071</v>
      </c>
      <c r="P58" s="258">
        <f t="shared" si="190"/>
        <v>8442929.5732597653</v>
      </c>
      <c r="Q58" s="258">
        <f t="shared" si="190"/>
        <v>8571396.002254663</v>
      </c>
      <c r="R58" s="258">
        <f t="shared" si="190"/>
        <v>8701817.1583659612</v>
      </c>
      <c r="S58" s="258">
        <f t="shared" si="190"/>
        <v>8834222.7844465543</v>
      </c>
      <c r="T58" s="258">
        <f t="shared" si="190"/>
        <v>8968643.0759124048</v>
      </c>
      <c r="U58" s="258">
        <f t="shared" si="190"/>
        <v>9105108.6876286753</v>
      </c>
      <c r="V58" s="258">
        <f t="shared" si="190"/>
        <v>9243650.7409006525</v>
      </c>
      <c r="W58" s="258">
        <f t="shared" si="190"/>
        <v>9384300.8305710163</v>
      </c>
      <c r="X58" s="258">
        <f t="shared" si="190"/>
        <v>9527091.0322251394</v>
      </c>
      <c r="Y58" s="258">
        <f t="shared" si="190"/>
        <v>9672053.9095059875</v>
      </c>
      <c r="Z58" s="258">
        <f t="shared" si="190"/>
        <v>9819222.5215403344</v>
      </c>
      <c r="AA58" s="258">
        <f t="shared" si="190"/>
        <v>9968630.4304779842</v>
      </c>
      <c r="AB58" s="258">
        <f t="shared" ref="AB58:AF58" si="191">SUM(AB59:AB60)</f>
        <v>10120311.709145684</v>
      </c>
      <c r="AC58" s="258">
        <f t="shared" si="191"/>
        <v>10274300.948817531</v>
      </c>
      <c r="AD58" s="258">
        <f t="shared" si="191"/>
        <v>10430633.267103573</v>
      </c>
      <c r="AE58" s="258">
        <f t="shared" si="191"/>
        <v>10589344.315958485</v>
      </c>
      <c r="AF58" s="258">
        <f t="shared" si="191"/>
        <v>10750470.289812058</v>
      </c>
      <c r="AG58" s="258">
        <f t="shared" ref="AG58:AH58" si="192">SUM(AG59:AG60)</f>
        <v>10914047.933823448</v>
      </c>
      <c r="AH58" s="258">
        <f t="shared" si="192"/>
        <v>11080114.552260976</v>
      </c>
      <c r="AI58" s="258">
        <f t="shared" ref="AI58:AN58" si="193">SUM(AI59:AI60)</f>
        <v>11248708.017009469</v>
      </c>
      <c r="AJ58" s="258">
        <f t="shared" si="193"/>
        <v>11419866.776207026</v>
      </c>
      <c r="AK58" s="258">
        <f t="shared" si="193"/>
        <v>11593629.863013206</v>
      </c>
      <c r="AL58" s="258">
        <f t="shared" si="193"/>
        <v>11770036.904510638</v>
      </c>
      <c r="AM58" s="258">
        <f t="shared" si="193"/>
        <v>11949128.130742062</v>
      </c>
      <c r="AN58" s="258">
        <f t="shared" si="193"/>
        <v>12130944.383884897</v>
      </c>
      <c r="AO58" s="258">
        <f t="shared" ref="AO58" si="194">SUM(AO59:AO60)</f>
        <v>12315527.127565386</v>
      </c>
    </row>
    <row r="59" spans="1:41" s="126" customFormat="1" x14ac:dyDescent="0.3">
      <c r="A59" s="19" t="s">
        <v>223</v>
      </c>
      <c r="B59" s="133" t="s">
        <v>78</v>
      </c>
      <c r="D59" s="258">
        <f t="shared" ref="D59" si="195">D47*Avg_Veh_Occ*timevalue_auto</f>
        <v>6608353.3128589373</v>
      </c>
      <c r="E59" s="258">
        <f t="shared" ref="E59:AA59" si="196">E47*Avg_Veh_Occ*timevalue_auto</f>
        <v>6772262.5567352446</v>
      </c>
      <c r="F59" s="258">
        <f t="shared" si="196"/>
        <v>6940237.2975600613</v>
      </c>
      <c r="G59" s="258">
        <f t="shared" si="196"/>
        <v>7112378.3732425105</v>
      </c>
      <c r="H59" s="258">
        <f t="shared" si="196"/>
        <v>7288789.1228088075</v>
      </c>
      <c r="I59" s="258">
        <f t="shared" si="196"/>
        <v>7469575.4484383278</v>
      </c>
      <c r="J59" s="258">
        <f t="shared" si="196"/>
        <v>7654845.8790383637</v>
      </c>
      <c r="K59" s="258">
        <f t="shared" si="196"/>
        <v>7844711.6353957569</v>
      </c>
      <c r="L59" s="258">
        <f t="shared" si="196"/>
        <v>6738919.5819848143</v>
      </c>
      <c r="M59" s="258">
        <f t="shared" si="196"/>
        <v>6841458.0346000409</v>
      </c>
      <c r="N59" s="258">
        <f t="shared" si="196"/>
        <v>6945556.6978895171</v>
      </c>
      <c r="O59" s="258">
        <f t="shared" si="196"/>
        <v>7051239.3117994377</v>
      </c>
      <c r="P59" s="258">
        <f t="shared" si="196"/>
        <v>7158529.9774996843</v>
      </c>
      <c r="Q59" s="258">
        <f t="shared" si="196"/>
        <v>7267453.1628801404</v>
      </c>
      <c r="R59" s="258">
        <f t="shared" si="196"/>
        <v>7378033.7081306716</v>
      </c>
      <c r="S59" s="258">
        <f t="shared" si="196"/>
        <v>7490296.8314059721</v>
      </c>
      <c r="T59" s="258">
        <f t="shared" si="196"/>
        <v>7604268.1345766336</v>
      </c>
      <c r="U59" s="258">
        <f t="shared" si="196"/>
        <v>7719973.6090677092</v>
      </c>
      <c r="V59" s="258">
        <f t="shared" si="196"/>
        <v>7837439.6417861236</v>
      </c>
      <c r="W59" s="258">
        <f t="shared" si="196"/>
        <v>7956693.0211382611</v>
      </c>
      <c r="X59" s="258">
        <f t="shared" si="196"/>
        <v>8077760.943139133</v>
      </c>
      <c r="Y59" s="258">
        <f t="shared" si="196"/>
        <v>8200671.0176144904</v>
      </c>
      <c r="Z59" s="258">
        <f t="shared" si="196"/>
        <v>8325451.2744973078</v>
      </c>
      <c r="AA59" s="258">
        <f t="shared" si="196"/>
        <v>8452130.1702200826</v>
      </c>
      <c r="AB59" s="258">
        <f t="shared" ref="AB59:AF59" si="197">AB47*Avg_Veh_Occ*timevalue_auto</f>
        <v>8580736.5942043811</v>
      </c>
      <c r="AC59" s="258">
        <f t="shared" si="197"/>
        <v>8711299.8754491508</v>
      </c>
      <c r="AD59" s="258">
        <f t="shared" si="197"/>
        <v>8843849.7892192565</v>
      </c>
      <c r="AE59" s="258">
        <f t="shared" si="197"/>
        <v>8978416.5638358127</v>
      </c>
      <c r="AF59" s="258">
        <f t="shared" si="197"/>
        <v>9115030.8875698075</v>
      </c>
      <c r="AG59" s="258">
        <f t="shared" ref="AG59:AH59" si="198">AG47*Avg_Veh_Occ*timevalue_auto</f>
        <v>9253723.9156406559</v>
      </c>
      <c r="AH59" s="258">
        <f t="shared" si="198"/>
        <v>9394527.277321199</v>
      </c>
      <c r="AI59" s="258">
        <f t="shared" ref="AI59:AN59" si="199">AI47*Avg_Veh_Occ*timevalue_auto</f>
        <v>9537473.0831508506</v>
      </c>
      <c r="AJ59" s="258">
        <f t="shared" si="199"/>
        <v>9682593.9322584793</v>
      </c>
      <c r="AK59" s="258">
        <f t="shared" si="199"/>
        <v>9829922.9197967071</v>
      </c>
      <c r="AL59" s="258">
        <f t="shared" si="199"/>
        <v>9979493.6444893479</v>
      </c>
      <c r="AM59" s="258">
        <f t="shared" si="199"/>
        <v>10131340.21629367</v>
      </c>
      <c r="AN59" s="258">
        <f t="shared" si="199"/>
        <v>10285497.26417926</v>
      </c>
      <c r="AO59" s="258">
        <f t="shared" ref="AO59" si="200">AO47*Avg_Veh_Occ*timevalue_auto</f>
        <v>10441999.944025226</v>
      </c>
    </row>
    <row r="60" spans="1:41" s="126" customFormat="1" x14ac:dyDescent="0.3">
      <c r="A60" s="19" t="s">
        <v>224</v>
      </c>
      <c r="B60" s="133" t="s">
        <v>78</v>
      </c>
      <c r="D60" s="258">
        <f t="shared" ref="D60" si="201">D48*Avg_Truck_Occ*TimeValue_truck</f>
        <v>1185685.6575797142</v>
      </c>
      <c r="E60" s="258">
        <f t="shared" ref="E60:AA60" si="202">E48*Avg_Truck_Occ*TimeValue_truck</f>
        <v>1215094.6238392368</v>
      </c>
      <c r="F60" s="258">
        <f t="shared" si="202"/>
        <v>1245233.0307316328</v>
      </c>
      <c r="G60" s="258">
        <f t="shared" si="202"/>
        <v>1276118.9708220125</v>
      </c>
      <c r="H60" s="258">
        <f t="shared" si="202"/>
        <v>1307770.9854315575</v>
      </c>
      <c r="I60" s="258">
        <f t="shared" si="202"/>
        <v>1340208.0757681702</v>
      </c>
      <c r="J60" s="258">
        <f t="shared" si="202"/>
        <v>1373449.7143332008</v>
      </c>
      <c r="K60" s="258">
        <f t="shared" si="202"/>
        <v>1407515.8566111007</v>
      </c>
      <c r="L60" s="258">
        <f t="shared" si="202"/>
        <v>1209112.1520991591</v>
      </c>
      <c r="M60" s="258">
        <f t="shared" si="202"/>
        <v>1227509.832559088</v>
      </c>
      <c r="N60" s="258">
        <f t="shared" si="202"/>
        <v>1246187.4495374926</v>
      </c>
      <c r="O60" s="258">
        <f t="shared" si="202"/>
        <v>1265149.2625090692</v>
      </c>
      <c r="P60" s="258">
        <f t="shared" si="202"/>
        <v>1284399.5957600805</v>
      </c>
      <c r="Q60" s="258">
        <f t="shared" si="202"/>
        <v>1303942.839374522</v>
      </c>
      <c r="R60" s="258">
        <f t="shared" si="202"/>
        <v>1323783.4502352898</v>
      </c>
      <c r="S60" s="258">
        <f t="shared" si="202"/>
        <v>1343925.9530405826</v>
      </c>
      <c r="T60" s="258">
        <f t="shared" si="202"/>
        <v>1364374.9413357712</v>
      </c>
      <c r="U60" s="258">
        <f t="shared" si="202"/>
        <v>1385135.0785609665</v>
      </c>
      <c r="V60" s="258">
        <f t="shared" si="202"/>
        <v>1406211.0991145282</v>
      </c>
      <c r="W60" s="258">
        <f t="shared" si="202"/>
        <v>1427607.8094327557</v>
      </c>
      <c r="X60" s="258">
        <f t="shared" si="202"/>
        <v>1449330.0890860073</v>
      </c>
      <c r="Y60" s="258">
        <f t="shared" si="202"/>
        <v>1471382.8918914974</v>
      </c>
      <c r="Z60" s="258">
        <f t="shared" si="202"/>
        <v>1493771.2470430264</v>
      </c>
      <c r="AA60" s="258">
        <f t="shared" si="202"/>
        <v>1516500.2602579009</v>
      </c>
      <c r="AB60" s="258">
        <f t="shared" ref="AB60:AF60" si="203">AB48*Avg_Truck_Occ*TimeValue_truck</f>
        <v>1539575.1149413032</v>
      </c>
      <c r="AC60" s="258">
        <f t="shared" si="203"/>
        <v>1563001.0733683798</v>
      </c>
      <c r="AD60" s="258">
        <f t="shared" si="203"/>
        <v>1586783.4778843168</v>
      </c>
      <c r="AE60" s="258">
        <f t="shared" si="203"/>
        <v>1610927.7521226723</v>
      </c>
      <c r="AF60" s="258">
        <f t="shared" si="203"/>
        <v>1635439.40224225</v>
      </c>
      <c r="AG60" s="258">
        <f t="shared" ref="AG60:AH60" si="204">AG48*Avg_Truck_Occ*TimeValue_truck</f>
        <v>1660324.0181827922</v>
      </c>
      <c r="AH60" s="258">
        <f t="shared" si="204"/>
        <v>1685587.2749397776</v>
      </c>
      <c r="AI60" s="258">
        <f t="shared" ref="AI60:AN60" si="205">AI48*Avg_Truck_Occ*TimeValue_truck</f>
        <v>1711234.9338586179</v>
      </c>
      <c r="AJ60" s="258">
        <f t="shared" si="205"/>
        <v>1737272.8439485466</v>
      </c>
      <c r="AK60" s="258">
        <f t="shared" si="205"/>
        <v>1763706.9432164992</v>
      </c>
      <c r="AL60" s="258">
        <f t="shared" si="205"/>
        <v>1790543.2600212898</v>
      </c>
      <c r="AM60" s="258">
        <f t="shared" si="205"/>
        <v>1817787.9144483914</v>
      </c>
      <c r="AN60" s="258">
        <f t="shared" si="205"/>
        <v>1845447.1197056381</v>
      </c>
      <c r="AO60" s="258">
        <f t="shared" ref="AO60" si="206">AO48*Avg_Truck_Occ*TimeValue_truck</f>
        <v>1873527.1835401598</v>
      </c>
    </row>
    <row r="61" spans="1:41" s="126" customFormat="1" x14ac:dyDescent="0.3">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row>
    <row r="62" spans="1:41" s="126" customFormat="1" x14ac:dyDescent="0.3">
      <c r="A62" s="318" t="s">
        <v>233</v>
      </c>
      <c r="B62" s="133" t="s">
        <v>78</v>
      </c>
      <c r="C62" s="134"/>
      <c r="D62" s="273">
        <f>SUM(D63:D64)</f>
        <v>3205509.5646202075</v>
      </c>
      <c r="E62" s="273">
        <f>SUM(E63:E64)</f>
        <v>3283035.0156032322</v>
      </c>
      <c r="F62" s="273">
        <f t="shared" ref="F62:AA62" si="207">SUM(F63:F64)</f>
        <v>3362435.4245075984</v>
      </c>
      <c r="G62" s="273">
        <f t="shared" si="207"/>
        <v>3443756.1373088821</v>
      </c>
      <c r="H62" s="273">
        <f t="shared" si="207"/>
        <v>3527043.5966779385</v>
      </c>
      <c r="I62" s="273">
        <f t="shared" si="207"/>
        <v>3612345.3685045475</v>
      </c>
      <c r="J62" s="273">
        <f t="shared" si="207"/>
        <v>3699710.1690625311</v>
      </c>
      <c r="K62" s="273">
        <f t="shared" si="207"/>
        <v>3789187.8928318671</v>
      </c>
      <c r="L62" s="273">
        <f t="shared" si="207"/>
        <v>3263715.9440016663</v>
      </c>
      <c r="M62" s="273">
        <f t="shared" si="207"/>
        <v>3312240.3930503167</v>
      </c>
      <c r="N62" s="273">
        <f t="shared" si="207"/>
        <v>3361486.2964767003</v>
      </c>
      <c r="O62" s="273">
        <f t="shared" si="207"/>
        <v>3411464.3807584872</v>
      </c>
      <c r="P62" s="273">
        <f t="shared" si="207"/>
        <v>3462185.5318530379</v>
      </c>
      <c r="Q62" s="273">
        <f t="shared" si="207"/>
        <v>3513660.7975685322</v>
      </c>
      <c r="R62" s="273">
        <f t="shared" si="207"/>
        <v>3565901.3899703356</v>
      </c>
      <c r="S62" s="273">
        <f t="shared" si="207"/>
        <v>3618918.687823154</v>
      </c>
      <c r="T62" s="273">
        <f t="shared" si="207"/>
        <v>3672724.2390694963</v>
      </c>
      <c r="U62" s="273">
        <f t="shared" si="207"/>
        <v>3727329.7633449826</v>
      </c>
      <c r="V62" s="273">
        <f t="shared" si="207"/>
        <v>3782747.1545310533</v>
      </c>
      <c r="W62" s="273">
        <f t="shared" si="207"/>
        <v>3838988.4833456283</v>
      </c>
      <c r="X62" s="273">
        <f t="shared" si="207"/>
        <v>3896065.9999722936</v>
      </c>
      <c r="Y62" s="273">
        <f t="shared" si="207"/>
        <v>3953992.1367285559</v>
      </c>
      <c r="Z62" s="273">
        <f t="shared" si="207"/>
        <v>4012779.5107737998</v>
      </c>
      <c r="AA62" s="273">
        <f t="shared" si="207"/>
        <v>4072440.9268574775</v>
      </c>
      <c r="AB62" s="273">
        <f t="shared" ref="AB62:AF62" si="208">SUM(AB63:AB64)</f>
        <v>4132989.380108173</v>
      </c>
      <c r="AC62" s="273">
        <f t="shared" si="208"/>
        <v>4194438.0588641372</v>
      </c>
      <c r="AD62" s="273">
        <f t="shared" si="208"/>
        <v>4256800.347545892</v>
      </c>
      <c r="AE62" s="273">
        <f t="shared" si="208"/>
        <v>4320089.8295715563</v>
      </c>
      <c r="AF62" s="273">
        <f t="shared" si="208"/>
        <v>4384320.2903155191</v>
      </c>
      <c r="AG62" s="273">
        <f t="shared" ref="AG62:AH62" si="209">SUM(AG63:AG64)</f>
        <v>4449505.7201110823</v>
      </c>
      <c r="AH62" s="273">
        <f t="shared" si="209"/>
        <v>4515660.3172977734</v>
      </c>
      <c r="AI62" s="273">
        <f t="shared" ref="AI62:AN62" si="210">SUM(AI63:AI64)</f>
        <v>4582798.4913139436</v>
      </c>
      <c r="AJ62" s="273">
        <f t="shared" si="210"/>
        <v>4650934.8658353547</v>
      </c>
      <c r="AK62" s="273">
        <f t="shared" si="210"/>
        <v>4720084.2819604324</v>
      </c>
      <c r="AL62" s="273">
        <f t="shared" si="210"/>
        <v>4790261.8014428727</v>
      </c>
      <c r="AM62" s="273">
        <f t="shared" si="210"/>
        <v>4861482.7099723127</v>
      </c>
      <c r="AN62" s="273">
        <f t="shared" si="210"/>
        <v>4933762.5205037724</v>
      </c>
      <c r="AO62" s="273">
        <f t="shared" ref="AO62" si="211">SUM(AO63:AO64)</f>
        <v>5007116.9766366165</v>
      </c>
    </row>
    <row r="63" spans="1:41" x14ac:dyDescent="0.3">
      <c r="A63" s="19" t="s">
        <v>223</v>
      </c>
      <c r="B63" s="133" t="s">
        <v>78</v>
      </c>
      <c r="C63" s="5"/>
      <c r="D63" s="1">
        <f t="shared" ref="D63" si="212">D51*Avg_Veh_Occ*timevalue_auto</f>
        <v>2717864.2333073635</v>
      </c>
      <c r="E63" s="1">
        <f t="shared" ref="E63:AA63" si="213">E51*Avg_Veh_Occ*timevalue_auto</f>
        <v>2783595.951198135</v>
      </c>
      <c r="F63" s="1">
        <f t="shared" si="213"/>
        <v>2850917.3948316141</v>
      </c>
      <c r="G63" s="1">
        <f t="shared" si="213"/>
        <v>2919867.0118251466</v>
      </c>
      <c r="H63" s="1">
        <f t="shared" si="213"/>
        <v>2990484.1796541307</v>
      </c>
      <c r="I63" s="1">
        <f t="shared" si="213"/>
        <v>3062809.2281406899</v>
      </c>
      <c r="J63" s="1">
        <f t="shared" si="213"/>
        <v>3136883.4624862387</v>
      </c>
      <c r="K63" s="1">
        <f t="shared" si="213"/>
        <v>3212749.1868610927</v>
      </c>
      <c r="L63" s="1">
        <f t="shared" si="213"/>
        <v>2767215.8366896263</v>
      </c>
      <c r="M63" s="1">
        <f t="shared" si="213"/>
        <v>2808358.3951040162</v>
      </c>
      <c r="N63" s="1">
        <f t="shared" si="213"/>
        <v>2850112.6550309663</v>
      </c>
      <c r="O63" s="1">
        <f t="shared" si="213"/>
        <v>2892487.7111586751</v>
      </c>
      <c r="P63" s="1">
        <f t="shared" si="213"/>
        <v>2935492.793393827</v>
      </c>
      <c r="Q63" s="1">
        <f t="shared" si="213"/>
        <v>2979137.2688720059</v>
      </c>
      <c r="R63" s="1">
        <f t="shared" si="213"/>
        <v>3023430.6439979891</v>
      </c>
      <c r="S63" s="1">
        <f t="shared" si="213"/>
        <v>3068382.5665163831</v>
      </c>
      <c r="T63" s="1">
        <f t="shared" si="213"/>
        <v>3114002.827613045</v>
      </c>
      <c r="U63" s="1">
        <f t="shared" si="213"/>
        <v>3160301.3640477424</v>
      </c>
      <c r="V63" s="1">
        <f t="shared" si="213"/>
        <v>3207288.2603185293</v>
      </c>
      <c r="W63" s="1">
        <f t="shared" si="213"/>
        <v>3254973.7508582911</v>
      </c>
      <c r="X63" s="1">
        <f t="shared" si="213"/>
        <v>3303368.222263963</v>
      </c>
      <c r="Y63" s="1">
        <f t="shared" si="213"/>
        <v>3352482.2155588693</v>
      </c>
      <c r="Z63" s="1">
        <f t="shared" si="213"/>
        <v>3402326.4284887286</v>
      </c>
      <c r="AA63" s="1">
        <f t="shared" si="213"/>
        <v>3452911.7178517659</v>
      </c>
      <c r="AB63" s="1">
        <f t="shared" ref="AB63:AF63" si="214">AB51*Avg_Veh_Occ*timevalue_auto</f>
        <v>3504249.1018634858</v>
      </c>
      <c r="AC63" s="1">
        <f t="shared" si="214"/>
        <v>3556349.762556606</v>
      </c>
      <c r="AD63" s="1">
        <f t="shared" si="214"/>
        <v>3609225.04821666</v>
      </c>
      <c r="AE63" s="1">
        <f t="shared" si="214"/>
        <v>3662886.4758538241</v>
      </c>
      <c r="AF63" s="1">
        <f t="shared" si="214"/>
        <v>3717345.7337114904</v>
      </c>
      <c r="AG63" s="1">
        <f t="shared" ref="AG63:AH63" si="215">AG51*Avg_Veh_Occ*timevalue_auto</f>
        <v>3772614.683812134</v>
      </c>
      <c r="AH63" s="1">
        <f t="shared" si="215"/>
        <v>3828705.3645410393</v>
      </c>
      <c r="AI63" s="1">
        <f t="shared" ref="AI63:AN63" si="216">AI51*Avg_Veh_Occ*timevalue_auto</f>
        <v>3885629.9932684326</v>
      </c>
      <c r="AJ63" s="1">
        <f t="shared" si="216"/>
        <v>3943400.9690106059</v>
      </c>
      <c r="AK63" s="1">
        <f t="shared" si="216"/>
        <v>4002030.8751306031</v>
      </c>
      <c r="AL63" s="1">
        <f t="shared" si="216"/>
        <v>4061532.4820790612</v>
      </c>
      <c r="AM63" s="1">
        <f t="shared" si="216"/>
        <v>4121918.7501758011</v>
      </c>
      <c r="AN63" s="1">
        <f t="shared" si="216"/>
        <v>4183202.8324327711</v>
      </c>
      <c r="AO63" s="1">
        <f t="shared" ref="AO63" si="217">AO51*Avg_Veh_Occ*timevalue_auto</f>
        <v>4245398.0774189737</v>
      </c>
    </row>
    <row r="64" spans="1:41" x14ac:dyDescent="0.3">
      <c r="A64" s="19" t="s">
        <v>224</v>
      </c>
      <c r="B64" s="133" t="s">
        <v>78</v>
      </c>
      <c r="C64" s="5"/>
      <c r="D64" s="1">
        <f t="shared" ref="D64" si="218">D52*Avg_Truck_Occ*TimeValue_truck</f>
        <v>487645.33131284412</v>
      </c>
      <c r="E64" s="1">
        <f t="shared" ref="E64:AA64" si="219">E52*Avg_Truck_Occ*TimeValue_truck</f>
        <v>499439.06440509704</v>
      </c>
      <c r="F64" s="1">
        <f t="shared" si="219"/>
        <v>511518.02967598446</v>
      </c>
      <c r="G64" s="1">
        <f t="shared" si="219"/>
        <v>523889.12548373535</v>
      </c>
      <c r="H64" s="1">
        <f t="shared" si="219"/>
        <v>536559.41702380788</v>
      </c>
      <c r="I64" s="1">
        <f t="shared" si="219"/>
        <v>549536.14036385738</v>
      </c>
      <c r="J64" s="1">
        <f t="shared" si="219"/>
        <v>562826.70657629229</v>
      </c>
      <c r="K64" s="1">
        <f t="shared" si="219"/>
        <v>576438.70597077452</v>
      </c>
      <c r="L64" s="1">
        <f t="shared" si="219"/>
        <v>496500.10731204011</v>
      </c>
      <c r="M64" s="1">
        <f t="shared" si="219"/>
        <v>503881.99794630078</v>
      </c>
      <c r="N64" s="1">
        <f t="shared" si="219"/>
        <v>511373.64144573431</v>
      </c>
      <c r="O64" s="1">
        <f t="shared" si="219"/>
        <v>518976.66959981201</v>
      </c>
      <c r="P64" s="1">
        <f t="shared" si="219"/>
        <v>526692.73845921096</v>
      </c>
      <c r="Q64" s="1">
        <f t="shared" si="219"/>
        <v>534523.52869652619</v>
      </c>
      <c r="R64" s="1">
        <f t="shared" si="219"/>
        <v>542470.7459723464</v>
      </c>
      <c r="S64" s="1">
        <f t="shared" si="219"/>
        <v>550536.12130677083</v>
      </c>
      <c r="T64" s="1">
        <f t="shared" si="219"/>
        <v>558721.41145645152</v>
      </c>
      <c r="U64" s="1">
        <f t="shared" si="219"/>
        <v>567028.39929723996</v>
      </c>
      <c r="V64" s="1">
        <f t="shared" si="219"/>
        <v>575458.89421252394</v>
      </c>
      <c r="W64" s="1">
        <f t="shared" si="219"/>
        <v>584014.73248733731</v>
      </c>
      <c r="X64" s="1">
        <f t="shared" si="219"/>
        <v>592697.77770833077</v>
      </c>
      <c r="Y64" s="1">
        <f t="shared" si="219"/>
        <v>601509.92116968648</v>
      </c>
      <c r="Z64" s="1">
        <f t="shared" si="219"/>
        <v>610453.08228507114</v>
      </c>
      <c r="AA64" s="1">
        <f t="shared" si="219"/>
        <v>619529.2090057116</v>
      </c>
      <c r="AB64" s="1">
        <f t="shared" ref="AB64:AF64" si="220">AB52*Avg_Truck_Occ*TimeValue_truck</f>
        <v>628740.27824468748</v>
      </c>
      <c r="AC64" s="1">
        <f t="shared" si="220"/>
        <v>638088.2963075313</v>
      </c>
      <c r="AD64" s="1">
        <f t="shared" si="220"/>
        <v>647575.29932923161</v>
      </c>
      <c r="AE64" s="1">
        <f t="shared" si="220"/>
        <v>657203.35371773271</v>
      </c>
      <c r="AF64" s="1">
        <f t="shared" si="220"/>
        <v>666974.55660402868</v>
      </c>
      <c r="AG64" s="1">
        <f t="shared" ref="AG64:AH64" si="221">AG52*Avg_Truck_Occ*TimeValue_truck</f>
        <v>676891.03629894846</v>
      </c>
      <c r="AH64" s="1">
        <f t="shared" si="221"/>
        <v>686954.95275673456</v>
      </c>
      <c r="AI64" s="1">
        <f t="shared" ref="AI64:AN64" si="222">AI52*Avg_Truck_Occ*TimeValue_truck</f>
        <v>697168.49804551096</v>
      </c>
      <c r="AJ64" s="1">
        <f t="shared" si="222"/>
        <v>707533.89682474884</v>
      </c>
      <c r="AK64" s="1">
        <f t="shared" si="222"/>
        <v>718053.40682982921</v>
      </c>
      <c r="AL64" s="1">
        <f t="shared" si="222"/>
        <v>728729.31936381129</v>
      </c>
      <c r="AM64" s="1">
        <f t="shared" si="222"/>
        <v>739563.9597965111</v>
      </c>
      <c r="AN64" s="1">
        <f t="shared" si="222"/>
        <v>750559.68807100144</v>
      </c>
      <c r="AO64" s="1">
        <f t="shared" ref="AO64" si="223">AO52*Avg_Truck_Occ*TimeValue_truck</f>
        <v>761718.89921764238</v>
      </c>
    </row>
    <row r="65" spans="1:41" x14ac:dyDescent="0.3">
      <c r="A65" s="101"/>
      <c r="C65" s="5"/>
      <c r="D65" s="5"/>
      <c r="E65" s="5"/>
      <c r="F65" s="5"/>
      <c r="G65" s="5"/>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x14ac:dyDescent="0.3">
      <c r="A66" s="167" t="s">
        <v>234</v>
      </c>
      <c r="B66" s="133" t="s">
        <v>78</v>
      </c>
      <c r="C66" s="5"/>
      <c r="D66" s="1">
        <f>SUM(D58,D62,D54)</f>
        <v>13039673.800051561</v>
      </c>
      <c r="E66" s="1">
        <f t="shared" ref="E66:AN66" si="224">SUM(E58,E62,E54)</f>
        <v>13362829.397731353</v>
      </c>
      <c r="F66" s="1">
        <f t="shared" si="224"/>
        <v>13693996.249091091</v>
      </c>
      <c r="G66" s="1">
        <f t="shared" si="224"/>
        <v>14033373.025058746</v>
      </c>
      <c r="H66" s="1">
        <f t="shared" si="224"/>
        <v>14381163.325057834</v>
      </c>
      <c r="I66" s="1">
        <f t="shared" si="224"/>
        <v>14737575.799311733</v>
      </c>
      <c r="J66" s="1">
        <f t="shared" si="224"/>
        <v>15102824.274184108</v>
      </c>
      <c r="K66" s="1">
        <f t="shared" si="224"/>
        <v>15477127.880630866</v>
      </c>
      <c r="L66" s="1">
        <f t="shared" si="224"/>
        <v>13318711.400120758</v>
      </c>
      <c r="M66" s="1">
        <f t="shared" si="224"/>
        <v>13522985.823377315</v>
      </c>
      <c r="N66" s="1">
        <f t="shared" si="224"/>
        <v>13730397.085225141</v>
      </c>
      <c r="O66" s="1">
        <f t="shared" si="224"/>
        <v>13940993.416335016</v>
      </c>
      <c r="P66" s="1">
        <f t="shared" si="224"/>
        <v>14154823.789942181</v>
      </c>
      <c r="Q66" s="1">
        <f t="shared" si="224"/>
        <v>14371937.933294913</v>
      </c>
      <c r="R66" s="1">
        <f t="shared" si="224"/>
        <v>14592386.339279873</v>
      </c>
      <c r="S66" s="1">
        <f t="shared" si="224"/>
        <v>14816220.278226947</v>
      </c>
      <c r="T66" s="1">
        <f t="shared" si="224"/>
        <v>15043491.809896376</v>
      </c>
      <c r="U66" s="1">
        <f t="shared" si="224"/>
        <v>15274253.795650972</v>
      </c>
      <c r="V66" s="1">
        <f t="shared" si="224"/>
        <v>15508559.910816288</v>
      </c>
      <c r="W66" s="1">
        <f t="shared" si="224"/>
        <v>15746464.657231659</v>
      </c>
      <c r="X66" s="1">
        <f t="shared" si="224"/>
        <v>15988023.375995073</v>
      </c>
      <c r="Y66" s="1">
        <f t="shared" si="224"/>
        <v>16233292.260404831</v>
      </c>
      <c r="Z66" s="1">
        <f t="shared" si="224"/>
        <v>16482328.369101066</v>
      </c>
      <c r="AA66" s="1">
        <f t="shared" si="224"/>
        <v>16735189.639410242</v>
      </c>
      <c r="AB66" s="1">
        <f t="shared" si="224"/>
        <v>16991934.900895707</v>
      </c>
      <c r="AC66" s="1">
        <f t="shared" si="224"/>
        <v>17252623.889117539</v>
      </c>
      <c r="AD66" s="1">
        <f t="shared" si="224"/>
        <v>17517317.25960489</v>
      </c>
      <c r="AE66" s="1">
        <f t="shared" si="224"/>
        <v>17786076.602044165</v>
      </c>
      <c r="AF66" s="1">
        <f t="shared" si="224"/>
        <v>18058964.45468628</v>
      </c>
      <c r="AG66" s="1">
        <f t="shared" si="224"/>
        <v>18336044.318976507</v>
      </c>
      <c r="AH66" s="1">
        <f t="shared" si="224"/>
        <v>18617380.674410254</v>
      </c>
      <c r="AI66" s="1">
        <f t="shared" si="224"/>
        <v>18903038.993618324</v>
      </c>
      <c r="AJ66" s="1">
        <f t="shared" si="224"/>
        <v>19193085.757685181</v>
      </c>
      <c r="AK66" s="1">
        <f t="shared" si="224"/>
        <v>19487588.47170385</v>
      </c>
      <c r="AL66" s="1">
        <f t="shared" si="224"/>
        <v>19786615.680571068</v>
      </c>
      <c r="AM66" s="1">
        <f t="shared" si="224"/>
        <v>20090236.985026482</v>
      </c>
      <c r="AN66" s="1">
        <f t="shared" si="224"/>
        <v>20398523.057939582</v>
      </c>
      <c r="AO66" s="1">
        <f t="shared" ref="AO66" si="225">SUM(AO58,AO62,AO54)</f>
        <v>20711545.660848234</v>
      </c>
    </row>
    <row r="68" spans="1:41" x14ac:dyDescent="0.3">
      <c r="A68" s="102" t="s">
        <v>77</v>
      </c>
      <c r="B68" s="104" t="s">
        <v>1</v>
      </c>
      <c r="C68" s="105"/>
      <c r="D68" s="317">
        <f>Base.Year</f>
        <v>2019</v>
      </c>
      <c r="E68" s="317">
        <f>D68+1</f>
        <v>2020</v>
      </c>
      <c r="F68" s="317">
        <f t="shared" ref="F68:AO68" si="226">E68+1</f>
        <v>2021</v>
      </c>
      <c r="G68" s="317">
        <f t="shared" si="226"/>
        <v>2022</v>
      </c>
      <c r="H68" s="317">
        <f t="shared" si="226"/>
        <v>2023</v>
      </c>
      <c r="I68" s="317">
        <f t="shared" si="226"/>
        <v>2024</v>
      </c>
      <c r="J68" s="317">
        <f t="shared" si="226"/>
        <v>2025</v>
      </c>
      <c r="K68" s="317">
        <f t="shared" si="226"/>
        <v>2026</v>
      </c>
      <c r="L68" s="317">
        <f t="shared" si="226"/>
        <v>2027</v>
      </c>
      <c r="M68" s="317">
        <f t="shared" si="226"/>
        <v>2028</v>
      </c>
      <c r="N68" s="317">
        <f t="shared" si="226"/>
        <v>2029</v>
      </c>
      <c r="O68" s="317">
        <f t="shared" si="226"/>
        <v>2030</v>
      </c>
      <c r="P68" s="317">
        <f t="shared" si="226"/>
        <v>2031</v>
      </c>
      <c r="Q68" s="317">
        <f t="shared" si="226"/>
        <v>2032</v>
      </c>
      <c r="R68" s="317">
        <f t="shared" si="226"/>
        <v>2033</v>
      </c>
      <c r="S68" s="317">
        <f t="shared" si="226"/>
        <v>2034</v>
      </c>
      <c r="T68" s="317">
        <f t="shared" si="226"/>
        <v>2035</v>
      </c>
      <c r="U68" s="317">
        <f t="shared" si="226"/>
        <v>2036</v>
      </c>
      <c r="V68" s="317">
        <f t="shared" si="226"/>
        <v>2037</v>
      </c>
      <c r="W68" s="317">
        <f t="shared" si="226"/>
        <v>2038</v>
      </c>
      <c r="X68" s="317">
        <f t="shared" si="226"/>
        <v>2039</v>
      </c>
      <c r="Y68" s="317">
        <f t="shared" si="226"/>
        <v>2040</v>
      </c>
      <c r="Z68" s="317">
        <f t="shared" si="226"/>
        <v>2041</v>
      </c>
      <c r="AA68" s="317">
        <f t="shared" si="226"/>
        <v>2042</v>
      </c>
      <c r="AB68" s="317">
        <f t="shared" si="226"/>
        <v>2043</v>
      </c>
      <c r="AC68" s="317">
        <f t="shared" si="226"/>
        <v>2044</v>
      </c>
      <c r="AD68" s="317">
        <f t="shared" si="226"/>
        <v>2045</v>
      </c>
      <c r="AE68" s="317">
        <f t="shared" si="226"/>
        <v>2046</v>
      </c>
      <c r="AF68" s="317">
        <f t="shared" si="226"/>
        <v>2047</v>
      </c>
      <c r="AG68" s="317">
        <f t="shared" si="226"/>
        <v>2048</v>
      </c>
      <c r="AH68" s="317">
        <f t="shared" si="226"/>
        <v>2049</v>
      </c>
      <c r="AI68" s="317">
        <f t="shared" si="226"/>
        <v>2050</v>
      </c>
      <c r="AJ68" s="317">
        <f t="shared" si="226"/>
        <v>2051</v>
      </c>
      <c r="AK68" s="317">
        <f t="shared" si="226"/>
        <v>2052</v>
      </c>
      <c r="AL68" s="317">
        <f t="shared" si="226"/>
        <v>2053</v>
      </c>
      <c r="AM68" s="317">
        <f t="shared" si="226"/>
        <v>2054</v>
      </c>
      <c r="AN68" s="317">
        <f t="shared" si="226"/>
        <v>2055</v>
      </c>
      <c r="AO68" s="317">
        <f t="shared" si="226"/>
        <v>2056</v>
      </c>
    </row>
    <row r="69" spans="1:41" x14ac:dyDescent="0.3">
      <c r="A69" s="108" t="s">
        <v>72</v>
      </c>
      <c r="B69" s="133" t="s">
        <v>78</v>
      </c>
      <c r="D69" s="1">
        <f t="shared" ref="D69:AN69" si="227">D38-D66</f>
        <v>0</v>
      </c>
      <c r="E69" s="1">
        <f t="shared" si="227"/>
        <v>0</v>
      </c>
      <c r="F69" s="1">
        <f t="shared" si="227"/>
        <v>0</v>
      </c>
      <c r="G69" s="1">
        <f t="shared" si="227"/>
        <v>0</v>
      </c>
      <c r="H69" s="1">
        <f t="shared" si="227"/>
        <v>0</v>
      </c>
      <c r="I69" s="1">
        <f t="shared" si="227"/>
        <v>0</v>
      </c>
      <c r="J69" s="1">
        <f t="shared" si="227"/>
        <v>0</v>
      </c>
      <c r="K69" s="1">
        <f t="shared" si="227"/>
        <v>0</v>
      </c>
      <c r="L69" s="1">
        <f t="shared" si="227"/>
        <v>2541999.7857200764</v>
      </c>
      <c r="M69" s="1">
        <f t="shared" si="227"/>
        <v>2730818.5047671497</v>
      </c>
      <c r="N69" s="1">
        <f t="shared" si="227"/>
        <v>2926246.0700464658</v>
      </c>
      <c r="O69" s="1">
        <f t="shared" si="227"/>
        <v>3128475.9497065656</v>
      </c>
      <c r="P69" s="1">
        <f t="shared" si="227"/>
        <v>3337706.8656286243</v>
      </c>
      <c r="Q69" s="1">
        <f t="shared" si="227"/>
        <v>3554142.9307903219</v>
      </c>
      <c r="R69" s="1">
        <f t="shared" si="227"/>
        <v>3777993.7901474256</v>
      </c>
      <c r="S69" s="1">
        <f t="shared" si="227"/>
        <v>4009474.7651219349</v>
      </c>
      <c r="T69" s="1">
        <f t="shared" si="227"/>
        <v>4248807.0017882064</v>
      </c>
      <c r="U69" s="1">
        <f t="shared" si="227"/>
        <v>4496217.622850487</v>
      </c>
      <c r="V69" s="1">
        <f t="shared" si="227"/>
        <v>4751939.8835077863</v>
      </c>
      <c r="W69" s="1">
        <f t="shared" si="227"/>
        <v>5016213.3313044384</v>
      </c>
      <c r="X69" s="1">
        <f t="shared" si="227"/>
        <v>5289283.9700670242</v>
      </c>
      <c r="Y69" s="1">
        <f t="shared" si="227"/>
        <v>5571404.4280310664</v>
      </c>
      <c r="Z69" s="1">
        <f t="shared" si="227"/>
        <v>5862834.1302633733</v>
      </c>
      <c r="AA69" s="1">
        <f t="shared" si="227"/>
        <v>6163839.4754884727</v>
      </c>
      <c r="AB69" s="1">
        <f t="shared" si="227"/>
        <v>6474694.0174306221</v>
      </c>
      <c r="AC69" s="1">
        <f t="shared" si="227"/>
        <v>6795678.6507853307</v>
      </c>
      <c r="AD69" s="1">
        <f t="shared" si="227"/>
        <v>7127081.801937364</v>
      </c>
      <c r="AE69" s="1">
        <f t="shared" si="227"/>
        <v>7469199.6245451421</v>
      </c>
      <c r="AF69" s="1">
        <f t="shared" si="227"/>
        <v>7822336.2001143806</v>
      </c>
      <c r="AG69" s="1">
        <f t="shared" si="227"/>
        <v>8186803.7436870262</v>
      </c>
      <c r="AH69" s="1">
        <f t="shared" si="227"/>
        <v>8562922.8147744648</v>
      </c>
      <c r="AI69" s="1">
        <f t="shared" si="227"/>
        <v>8951022.5336675867</v>
      </c>
      <c r="AJ69" s="1">
        <f t="shared" si="227"/>
        <v>9351440.8032592125</v>
      </c>
      <c r="AK69" s="1">
        <f t="shared" si="227"/>
        <v>9764524.5365181305</v>
      </c>
      <c r="AL69" s="1">
        <f t="shared" si="227"/>
        <v>10190629.889757235</v>
      </c>
      <c r="AM69" s="1">
        <f t="shared" si="227"/>
        <v>10630122.501841959</v>
      </c>
      <c r="AN69" s="1">
        <f t="shared" si="227"/>
        <v>11083377.739488918</v>
      </c>
      <c r="AO69" s="1">
        <f t="shared" ref="AO69" si="228">AO38-AO66</f>
        <v>11550780.948808249</v>
      </c>
    </row>
    <row r="70" spans="1:41" x14ac:dyDescent="0.3">
      <c r="A70" s="108" t="s">
        <v>73</v>
      </c>
      <c r="B70" s="133" t="s">
        <v>78</v>
      </c>
      <c r="D70" s="1">
        <f t="shared" ref="D70:AN70" si="229">D69*D6</f>
        <v>0</v>
      </c>
      <c r="E70" s="1">
        <f t="shared" si="229"/>
        <v>0</v>
      </c>
      <c r="F70" s="1">
        <f t="shared" si="229"/>
        <v>0</v>
      </c>
      <c r="G70" s="1">
        <f t="shared" si="229"/>
        <v>0</v>
      </c>
      <c r="H70" s="1">
        <f t="shared" si="229"/>
        <v>0</v>
      </c>
      <c r="I70" s="1">
        <f t="shared" si="229"/>
        <v>0</v>
      </c>
      <c r="J70" s="1">
        <f t="shared" si="229"/>
        <v>0</v>
      </c>
      <c r="K70" s="1">
        <f t="shared" si="229"/>
        <v>0</v>
      </c>
      <c r="L70" s="1">
        <f t="shared" si="229"/>
        <v>1479467.0190914611</v>
      </c>
      <c r="M70" s="1">
        <f t="shared" si="229"/>
        <v>1485384.329616043</v>
      </c>
      <c r="N70" s="1">
        <f t="shared" si="229"/>
        <v>1487555.1183201207</v>
      </c>
      <c r="O70" s="1">
        <f t="shared" si="229"/>
        <v>1486316.3873774032</v>
      </c>
      <c r="P70" s="1">
        <f t="shared" si="229"/>
        <v>1481981.7647790189</v>
      </c>
      <c r="Q70" s="1">
        <f t="shared" si="229"/>
        <v>1474842.9589923548</v>
      </c>
      <c r="R70" s="1">
        <f t="shared" si="229"/>
        <v>1465171.1282755609</v>
      </c>
      <c r="S70" s="1">
        <f t="shared" si="229"/>
        <v>1453218.1694749303</v>
      </c>
      <c r="T70" s="1">
        <f t="shared" si="229"/>
        <v>1439217.9308660969</v>
      </c>
      <c r="U70" s="1">
        <f t="shared" si="229"/>
        <v>1423387.3533478833</v>
      </c>
      <c r="V70" s="1">
        <f t="shared" si="229"/>
        <v>1405927.544059413</v>
      </c>
      <c r="W70" s="1">
        <f t="shared" si="229"/>
        <v>1387024.7862657402</v>
      </c>
      <c r="X70" s="1">
        <f t="shared" si="229"/>
        <v>1366851.489144101</v>
      </c>
      <c r="Y70" s="1">
        <f t="shared" si="229"/>
        <v>1345567.0809014586</v>
      </c>
      <c r="Z70" s="1">
        <f t="shared" si="229"/>
        <v>1323318.8484634256</v>
      </c>
      <c r="AA70" s="1">
        <f t="shared" si="229"/>
        <v>1300242.7267944803</v>
      </c>
      <c r="AB70" s="1">
        <f t="shared" si="229"/>
        <v>1276464.0407391405</v>
      </c>
      <c r="AC70" s="1">
        <f t="shared" si="229"/>
        <v>1252098.2021126398</v>
      </c>
      <c r="AD70" s="1">
        <f t="shared" si="229"/>
        <v>1227251.3646174585</v>
      </c>
      <c r="AE70" s="1">
        <f t="shared" si="229"/>
        <v>1202021.0390181351</v>
      </c>
      <c r="AF70" s="1">
        <f t="shared" si="229"/>
        <v>1176496.6708707495</v>
      </c>
      <c r="AG70" s="1">
        <f t="shared" si="229"/>
        <v>1150760.1829748678</v>
      </c>
      <c r="AH70" s="1">
        <f t="shared" si="229"/>
        <v>1124886.4845941872</v>
      </c>
      <c r="AI70" s="1">
        <f t="shared" si="229"/>
        <v>1098943.9493772737</v>
      </c>
      <c r="AJ70" s="1">
        <f t="shared" si="229"/>
        <v>1072994.8638011741</v>
      </c>
      <c r="AK70" s="1">
        <f t="shared" si="229"/>
        <v>1047095.847858111</v>
      </c>
      <c r="AL70" s="1">
        <f t="shared" si="229"/>
        <v>1021298.2496084981</v>
      </c>
      <c r="AM70" s="1">
        <f t="shared" si="229"/>
        <v>995648.51513188728</v>
      </c>
      <c r="AN70" s="1">
        <f t="shared" si="229"/>
        <v>970188.53532090876</v>
      </c>
      <c r="AO70" s="1">
        <f t="shared" ref="AO70" si="230">AO69*AO6</f>
        <v>944955.97088143381</v>
      </c>
    </row>
    <row r="71" spans="1:41" x14ac:dyDescent="0.3">
      <c r="A71" s="108" t="s">
        <v>74</v>
      </c>
      <c r="B71" s="133" t="s">
        <v>78</v>
      </c>
      <c r="D71" s="1">
        <f t="shared" ref="D71:AN71" si="231">D69*D7</f>
        <v>0</v>
      </c>
      <c r="E71" s="1">
        <f t="shared" si="231"/>
        <v>0</v>
      </c>
      <c r="F71" s="1">
        <f t="shared" si="231"/>
        <v>0</v>
      </c>
      <c r="G71" s="1">
        <f t="shared" si="231"/>
        <v>0</v>
      </c>
      <c r="H71" s="1">
        <f t="shared" si="231"/>
        <v>0</v>
      </c>
      <c r="I71" s="1">
        <f t="shared" si="231"/>
        <v>0</v>
      </c>
      <c r="J71" s="1">
        <f t="shared" si="231"/>
        <v>0</v>
      </c>
      <c r="K71" s="1">
        <f t="shared" si="231"/>
        <v>0</v>
      </c>
      <c r="L71" s="1">
        <f t="shared" si="231"/>
        <v>2006678.1044714742</v>
      </c>
      <c r="M71" s="1">
        <f t="shared" si="231"/>
        <v>2092944.9950471481</v>
      </c>
      <c r="N71" s="1">
        <f t="shared" si="231"/>
        <v>2177401.8942120313</v>
      </c>
      <c r="O71" s="1">
        <f t="shared" si="231"/>
        <v>2260077.5893955426</v>
      </c>
      <c r="P71" s="1">
        <f t="shared" si="231"/>
        <v>2341000.4415338687</v>
      </c>
      <c r="Q71" s="1">
        <f t="shared" si="231"/>
        <v>2420198.3912489503</v>
      </c>
      <c r="R71" s="1">
        <f t="shared" si="231"/>
        <v>2497698.964938635</v>
      </c>
      <c r="S71" s="1">
        <f t="shared" si="231"/>
        <v>2573529.2807791624</v>
      </c>
      <c r="T71" s="1">
        <f t="shared" si="231"/>
        <v>2647716.0546413474</v>
      </c>
      <c r="U71" s="1">
        <f t="shared" si="231"/>
        <v>2720285.6059216275</v>
      </c>
      <c r="V71" s="1">
        <f t="shared" si="231"/>
        <v>2791263.8632892203</v>
      </c>
      <c r="W71" s="1">
        <f t="shared" si="231"/>
        <v>2860676.3703506184</v>
      </c>
      <c r="X71" s="1">
        <f t="shared" si="231"/>
        <v>2928548.2912325514</v>
      </c>
      <c r="Y71" s="1">
        <f t="shared" si="231"/>
        <v>2994904.4160846476</v>
      </c>
      <c r="Z71" s="1">
        <f t="shared" si="231"/>
        <v>3059769.1665029302</v>
      </c>
      <c r="AA71" s="1">
        <f t="shared" si="231"/>
        <v>3123166.6008752263</v>
      </c>
      <c r="AB71" s="1">
        <f t="shared" si="231"/>
        <v>3185120.4196497146</v>
      </c>
      <c r="AC71" s="1">
        <f t="shared" si="231"/>
        <v>3245653.970527635</v>
      </c>
      <c r="AD71" s="1">
        <f t="shared" si="231"/>
        <v>3304790.2535812715</v>
      </c>
      <c r="AE71" s="1">
        <f t="shared" si="231"/>
        <v>3362551.926298291</v>
      </c>
      <c r="AF71" s="1">
        <f t="shared" si="231"/>
        <v>3418961.3085534782</v>
      </c>
      <c r="AG71" s="1">
        <f t="shared" si="231"/>
        <v>3474040.3875089427</v>
      </c>
      <c r="AH71" s="1">
        <f t="shared" si="231"/>
        <v>3527810.82244376</v>
      </c>
      <c r="AI71" s="1">
        <f t="shared" si="231"/>
        <v>3580293.9495141464</v>
      </c>
      <c r="AJ71" s="1">
        <f t="shared" si="231"/>
        <v>3631510.7864450868</v>
      </c>
      <c r="AK71" s="1">
        <f t="shared" si="231"/>
        <v>3681482.0371544468</v>
      </c>
      <c r="AL71" s="1">
        <f t="shared" si="231"/>
        <v>3730228.0963105275</v>
      </c>
      <c r="AM71" s="1">
        <f t="shared" si="231"/>
        <v>3777769.0538239907</v>
      </c>
      <c r="AN71" s="1">
        <f t="shared" si="231"/>
        <v>3824124.6992751602</v>
      </c>
      <c r="AO71" s="1">
        <f t="shared" ref="AO71" si="232">AO69*AO7</f>
        <v>3869314.5262775607</v>
      </c>
    </row>
    <row r="72" spans="1:41" x14ac:dyDescent="0.3">
      <c r="F72" s="1"/>
      <c r="G72" s="1"/>
    </row>
    <row r="73" spans="1:41" s="109" customFormat="1" x14ac:dyDescent="0.3">
      <c r="A73" s="113" t="s">
        <v>43</v>
      </c>
      <c r="B73" s="112"/>
      <c r="C73" s="111"/>
      <c r="D73" s="111"/>
      <c r="E73" s="111"/>
      <c r="F73" s="111"/>
      <c r="G73" s="111"/>
      <c r="H73" s="111"/>
      <c r="I73" s="111"/>
      <c r="J73" s="111"/>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10"/>
      <c r="AI73" s="110"/>
      <c r="AJ73" s="110"/>
      <c r="AK73" s="110"/>
      <c r="AL73" s="110"/>
      <c r="AM73" s="110"/>
      <c r="AN73" s="110"/>
      <c r="AO73" s="110"/>
    </row>
    <row r="74" spans="1:41" x14ac:dyDescent="0.3">
      <c r="A74" s="114" t="s">
        <v>75</v>
      </c>
      <c r="B74" s="115" t="s">
        <v>78</v>
      </c>
      <c r="C74" s="115"/>
      <c r="D74" s="119">
        <f t="shared" ref="D74:G74" si="233">D69</f>
        <v>0</v>
      </c>
      <c r="E74" s="119">
        <f t="shared" si="233"/>
        <v>0</v>
      </c>
      <c r="F74" s="119">
        <f t="shared" si="233"/>
        <v>0</v>
      </c>
      <c r="G74" s="119">
        <f t="shared" si="233"/>
        <v>0</v>
      </c>
      <c r="H74" s="119">
        <f t="shared" ref="H74:AA74" si="234">H69</f>
        <v>0</v>
      </c>
      <c r="I74" s="119">
        <f t="shared" si="234"/>
        <v>0</v>
      </c>
      <c r="J74" s="119">
        <f t="shared" si="234"/>
        <v>0</v>
      </c>
      <c r="K74" s="119">
        <f t="shared" si="234"/>
        <v>0</v>
      </c>
      <c r="L74" s="119">
        <f t="shared" si="234"/>
        <v>2541999.7857200764</v>
      </c>
      <c r="M74" s="119">
        <f t="shared" si="234"/>
        <v>2730818.5047671497</v>
      </c>
      <c r="N74" s="119">
        <f t="shared" si="234"/>
        <v>2926246.0700464658</v>
      </c>
      <c r="O74" s="119">
        <f t="shared" si="234"/>
        <v>3128475.9497065656</v>
      </c>
      <c r="P74" s="119">
        <f t="shared" si="234"/>
        <v>3337706.8656286243</v>
      </c>
      <c r="Q74" s="119">
        <f t="shared" si="234"/>
        <v>3554142.9307903219</v>
      </c>
      <c r="R74" s="119">
        <f t="shared" si="234"/>
        <v>3777993.7901474256</v>
      </c>
      <c r="S74" s="119">
        <f t="shared" si="234"/>
        <v>4009474.7651219349</v>
      </c>
      <c r="T74" s="119">
        <f t="shared" si="234"/>
        <v>4248807.0017882064</v>
      </c>
      <c r="U74" s="119">
        <f t="shared" si="234"/>
        <v>4496217.622850487</v>
      </c>
      <c r="V74" s="119">
        <f t="shared" si="234"/>
        <v>4751939.8835077863</v>
      </c>
      <c r="W74" s="119">
        <f t="shared" si="234"/>
        <v>5016213.3313044384</v>
      </c>
      <c r="X74" s="119">
        <f t="shared" si="234"/>
        <v>5289283.9700670242</v>
      </c>
      <c r="Y74" s="119">
        <f t="shared" si="234"/>
        <v>5571404.4280310664</v>
      </c>
      <c r="Z74" s="119">
        <f t="shared" si="234"/>
        <v>5862834.1302633733</v>
      </c>
      <c r="AA74" s="119">
        <f t="shared" si="234"/>
        <v>6163839.4754884727</v>
      </c>
      <c r="AB74" s="119">
        <f t="shared" ref="AB74:AF74" si="235">AB69</f>
        <v>6474694.0174306221</v>
      </c>
      <c r="AC74" s="119">
        <f t="shared" si="235"/>
        <v>6795678.6507853307</v>
      </c>
      <c r="AD74" s="119">
        <f t="shared" si="235"/>
        <v>7127081.801937364</v>
      </c>
      <c r="AE74" s="119">
        <f t="shared" si="235"/>
        <v>7469199.6245451421</v>
      </c>
      <c r="AF74" s="119">
        <f t="shared" si="235"/>
        <v>7822336.2001143806</v>
      </c>
      <c r="AG74" s="119">
        <f t="shared" ref="AG74:AH74" si="236">AG69</f>
        <v>8186803.7436870262</v>
      </c>
      <c r="AH74" s="119">
        <f t="shared" si="236"/>
        <v>8562922.8147744648</v>
      </c>
      <c r="AI74" s="119">
        <f t="shared" ref="AI74:AN74" si="237">AI69</f>
        <v>8951022.5336675867</v>
      </c>
      <c r="AJ74" s="119">
        <f t="shared" si="237"/>
        <v>9351440.8032592125</v>
      </c>
      <c r="AK74" s="119">
        <f t="shared" si="237"/>
        <v>9764524.5365181305</v>
      </c>
      <c r="AL74" s="119">
        <f t="shared" si="237"/>
        <v>10190629.889757235</v>
      </c>
      <c r="AM74" s="119">
        <f t="shared" si="237"/>
        <v>10630122.501841959</v>
      </c>
      <c r="AN74" s="119">
        <f t="shared" si="237"/>
        <v>11083377.739488918</v>
      </c>
      <c r="AO74" s="119">
        <f t="shared" ref="AO74" si="238">AO69</f>
        <v>11550780.948808249</v>
      </c>
    </row>
    <row r="75" spans="1:41" x14ac:dyDescent="0.3">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x14ac:dyDescent="0.3">
      <c r="H76" s="139"/>
      <c r="I76" s="139"/>
      <c r="J76" s="5"/>
      <c r="K76" s="1"/>
      <c r="L76" s="1"/>
    </row>
    <row r="77" spans="1:41" x14ac:dyDescent="0.3">
      <c r="C77" s="218"/>
      <c r="H77" s="1"/>
      <c r="J77" s="5"/>
    </row>
    <row r="78" spans="1:41" x14ac:dyDescent="0.3">
      <c r="F78" s="1"/>
      <c r="L78" s="140"/>
    </row>
  </sheetData>
  <mergeCells count="1">
    <mergeCell ref="A2:B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59999389629810485"/>
  </sheetPr>
  <dimension ref="A2:AP46"/>
  <sheetViews>
    <sheetView showGridLines="0" zoomScale="85" zoomScaleNormal="85" workbookViewId="0"/>
  </sheetViews>
  <sheetFormatPr defaultRowHeight="14.4" outlineLevelCol="1" x14ac:dyDescent="0.3"/>
  <cols>
    <col min="1" max="1" width="62.88671875" customWidth="1"/>
    <col min="2" max="2" width="18.6640625" customWidth="1"/>
    <col min="4" max="4" width="12.88671875" bestFit="1" customWidth="1"/>
    <col min="5" max="5" width="13.21875" bestFit="1" customWidth="1"/>
    <col min="6" max="6" width="13.33203125" customWidth="1"/>
    <col min="7" max="7" width="12.33203125" customWidth="1"/>
    <col min="8" max="9" width="14.77734375" bestFit="1" customWidth="1"/>
    <col min="10" max="10" width="14.21875" bestFit="1" customWidth="1"/>
    <col min="11" max="11" width="12.109375" customWidth="1"/>
    <col min="12" max="27" width="14.21875" bestFit="1" customWidth="1"/>
    <col min="28" max="31" width="13.44140625" customWidth="1"/>
    <col min="32" max="32" width="13.44140625" hidden="1" customWidth="1" outlineLevel="1"/>
    <col min="33" max="34" width="11.21875" hidden="1" customWidth="1" outlineLevel="1"/>
    <col min="35" max="40" width="11.44140625" hidden="1" customWidth="1" outlineLevel="1"/>
    <col min="41" max="41" width="16.5546875" hidden="1" customWidth="1" outlineLevel="1"/>
    <col min="42" max="42" width="8.88671875" collapsed="1"/>
  </cols>
  <sheetData>
    <row r="2" spans="1:41" ht="23.4" x14ac:dyDescent="0.45">
      <c r="A2" s="584" t="s">
        <v>338</v>
      </c>
      <c r="B2" s="584"/>
      <c r="C2" s="107"/>
      <c r="D2" s="107"/>
      <c r="E2" s="107"/>
      <c r="F2" s="107"/>
      <c r="G2" s="107"/>
      <c r="H2" s="107"/>
    </row>
    <row r="3" spans="1:41" ht="17.399999999999999" customHeight="1" x14ac:dyDescent="0.45">
      <c r="A3" s="487"/>
      <c r="B3" s="487"/>
      <c r="C3" s="107"/>
      <c r="D3" s="107"/>
      <c r="E3" s="107"/>
      <c r="F3" s="107"/>
      <c r="G3" s="107"/>
      <c r="H3" s="107"/>
    </row>
    <row r="4" spans="1:41" x14ac:dyDescent="0.3">
      <c r="A4" s="96"/>
      <c r="B4" s="104" t="s">
        <v>1</v>
      </c>
      <c r="C4" s="105" t="s">
        <v>69</v>
      </c>
      <c r="D4" s="105">
        <f>Base.Year</f>
        <v>2019</v>
      </c>
      <c r="E4" s="105">
        <f>D4+1</f>
        <v>2020</v>
      </c>
      <c r="F4" s="105">
        <f t="shared" ref="F4:AO5" si="0">E4+1</f>
        <v>2021</v>
      </c>
      <c r="G4" s="105">
        <f t="shared" si="0"/>
        <v>2022</v>
      </c>
      <c r="H4" s="105">
        <f t="shared" si="0"/>
        <v>2023</v>
      </c>
      <c r="I4" s="105">
        <f t="shared" si="0"/>
        <v>2024</v>
      </c>
      <c r="J4" s="105">
        <f t="shared" si="0"/>
        <v>2025</v>
      </c>
      <c r="K4" s="105">
        <f t="shared" si="0"/>
        <v>2026</v>
      </c>
      <c r="L4" s="105">
        <f t="shared" si="0"/>
        <v>2027</v>
      </c>
      <c r="M4" s="105">
        <f t="shared" si="0"/>
        <v>2028</v>
      </c>
      <c r="N4" s="105">
        <f t="shared" si="0"/>
        <v>2029</v>
      </c>
      <c r="O4" s="105">
        <f t="shared" si="0"/>
        <v>2030</v>
      </c>
      <c r="P4" s="105">
        <f t="shared" si="0"/>
        <v>2031</v>
      </c>
      <c r="Q4" s="105">
        <f t="shared" si="0"/>
        <v>2032</v>
      </c>
      <c r="R4" s="105">
        <f t="shared" si="0"/>
        <v>2033</v>
      </c>
      <c r="S4" s="105">
        <f t="shared" si="0"/>
        <v>2034</v>
      </c>
      <c r="T4" s="105">
        <f t="shared" si="0"/>
        <v>2035</v>
      </c>
      <c r="U4" s="105">
        <f t="shared" si="0"/>
        <v>2036</v>
      </c>
      <c r="V4" s="105">
        <f t="shared" si="0"/>
        <v>2037</v>
      </c>
      <c r="W4" s="105">
        <f t="shared" si="0"/>
        <v>2038</v>
      </c>
      <c r="X4" s="105">
        <f t="shared" si="0"/>
        <v>2039</v>
      </c>
      <c r="Y4" s="105">
        <f t="shared" si="0"/>
        <v>2040</v>
      </c>
      <c r="Z4" s="105">
        <f t="shared" si="0"/>
        <v>2041</v>
      </c>
      <c r="AA4" s="105">
        <f t="shared" si="0"/>
        <v>2042</v>
      </c>
      <c r="AB4" s="105">
        <f t="shared" si="0"/>
        <v>2043</v>
      </c>
      <c r="AC4" s="105">
        <f t="shared" si="0"/>
        <v>2044</v>
      </c>
      <c r="AD4" s="105">
        <f t="shared" si="0"/>
        <v>2045</v>
      </c>
      <c r="AE4" s="105">
        <f t="shared" si="0"/>
        <v>2046</v>
      </c>
      <c r="AF4" s="105">
        <f t="shared" si="0"/>
        <v>2047</v>
      </c>
      <c r="AG4" s="105">
        <f t="shared" si="0"/>
        <v>2048</v>
      </c>
      <c r="AH4" s="105">
        <f t="shared" si="0"/>
        <v>2049</v>
      </c>
      <c r="AI4" s="105">
        <f t="shared" si="0"/>
        <v>2050</v>
      </c>
      <c r="AJ4" s="105">
        <f t="shared" si="0"/>
        <v>2051</v>
      </c>
      <c r="AK4" s="105">
        <f t="shared" si="0"/>
        <v>2052</v>
      </c>
      <c r="AL4" s="105">
        <f t="shared" si="0"/>
        <v>2053</v>
      </c>
      <c r="AM4" s="105">
        <f t="shared" si="0"/>
        <v>2054</v>
      </c>
      <c r="AN4" s="105">
        <f t="shared" si="0"/>
        <v>2055</v>
      </c>
      <c r="AO4" s="105">
        <f t="shared" si="0"/>
        <v>2056</v>
      </c>
    </row>
    <row r="5" spans="1:41" ht="18.3" x14ac:dyDescent="0.35">
      <c r="A5" s="98" t="s">
        <v>61</v>
      </c>
      <c r="B5" s="136" t="s">
        <v>2</v>
      </c>
      <c r="C5" s="106"/>
      <c r="D5" s="4">
        <v>0</v>
      </c>
      <c r="E5" s="4">
        <v>0</v>
      </c>
      <c r="F5" s="4">
        <v>0</v>
      </c>
      <c r="G5" s="4">
        <v>0</v>
      </c>
      <c r="H5" s="4">
        <v>0</v>
      </c>
      <c r="I5" s="4">
        <v>0</v>
      </c>
      <c r="J5" s="4">
        <v>0</v>
      </c>
      <c r="K5" s="4">
        <v>0</v>
      </c>
      <c r="L5" s="4">
        <v>1</v>
      </c>
      <c r="M5" s="4">
        <f>L5+1</f>
        <v>2</v>
      </c>
      <c r="N5" s="4">
        <f t="shared" si="0"/>
        <v>3</v>
      </c>
      <c r="O5" s="4">
        <f t="shared" si="0"/>
        <v>4</v>
      </c>
      <c r="P5" s="4">
        <f t="shared" si="0"/>
        <v>5</v>
      </c>
      <c r="Q5" s="4">
        <f t="shared" si="0"/>
        <v>6</v>
      </c>
      <c r="R5" s="4">
        <f t="shared" si="0"/>
        <v>7</v>
      </c>
      <c r="S5" s="4">
        <f t="shared" si="0"/>
        <v>8</v>
      </c>
      <c r="T5" s="4">
        <f t="shared" si="0"/>
        <v>9</v>
      </c>
      <c r="U5" s="4">
        <f t="shared" si="0"/>
        <v>10</v>
      </c>
      <c r="V5" s="4">
        <f t="shared" si="0"/>
        <v>11</v>
      </c>
      <c r="W5" s="4">
        <f t="shared" si="0"/>
        <v>12</v>
      </c>
      <c r="X5" s="4">
        <f t="shared" si="0"/>
        <v>13</v>
      </c>
      <c r="Y5" s="4">
        <f t="shared" si="0"/>
        <v>14</v>
      </c>
      <c r="Z5" s="4">
        <f t="shared" si="0"/>
        <v>15</v>
      </c>
      <c r="AA5" s="4">
        <f t="shared" si="0"/>
        <v>16</v>
      </c>
      <c r="AB5" s="4">
        <f t="shared" si="0"/>
        <v>17</v>
      </c>
      <c r="AC5" s="4">
        <f t="shared" si="0"/>
        <v>18</v>
      </c>
      <c r="AD5" s="4">
        <f t="shared" si="0"/>
        <v>19</v>
      </c>
      <c r="AE5" s="4">
        <f t="shared" si="0"/>
        <v>20</v>
      </c>
      <c r="AF5" s="4">
        <f t="shared" si="0"/>
        <v>21</v>
      </c>
      <c r="AG5" s="4">
        <f t="shared" si="0"/>
        <v>22</v>
      </c>
      <c r="AH5" s="4">
        <f t="shared" si="0"/>
        <v>23</v>
      </c>
      <c r="AI5" s="4">
        <f t="shared" si="0"/>
        <v>24</v>
      </c>
      <c r="AJ5" s="4">
        <f t="shared" si="0"/>
        <v>25</v>
      </c>
      <c r="AK5" s="4">
        <f t="shared" si="0"/>
        <v>26</v>
      </c>
      <c r="AL5" s="4">
        <f t="shared" si="0"/>
        <v>27</v>
      </c>
      <c r="AM5" s="4">
        <f t="shared" si="0"/>
        <v>28</v>
      </c>
      <c r="AN5" s="4">
        <f t="shared" si="0"/>
        <v>29</v>
      </c>
      <c r="AO5" s="4">
        <f t="shared" si="0"/>
        <v>30</v>
      </c>
    </row>
    <row r="6" spans="1:41" ht="15" x14ac:dyDescent="0.3">
      <c r="A6" s="98" t="s">
        <v>60</v>
      </c>
      <c r="B6" s="137" t="s">
        <v>5</v>
      </c>
      <c r="C6" s="99">
        <v>7.0000000000000007E-2</v>
      </c>
      <c r="D6" s="255">
        <f t="shared" ref="D6:AF6" si="1">1/(1+Real_discount_rate)^(D4-$D$4)</f>
        <v>1</v>
      </c>
      <c r="E6" s="255">
        <f t="shared" si="1"/>
        <v>0.93457943925233644</v>
      </c>
      <c r="F6" s="255">
        <f t="shared" si="1"/>
        <v>0.87343872827321156</v>
      </c>
      <c r="G6" s="255">
        <f t="shared" si="1"/>
        <v>0.81629787689085187</v>
      </c>
      <c r="H6" s="255">
        <f t="shared" si="1"/>
        <v>0.7628952120475252</v>
      </c>
      <c r="I6" s="255">
        <f t="shared" si="1"/>
        <v>0.71298617948366838</v>
      </c>
      <c r="J6" s="255">
        <f t="shared" si="1"/>
        <v>0.66634222381651254</v>
      </c>
      <c r="K6" s="255">
        <f t="shared" si="1"/>
        <v>0.62274974188459109</v>
      </c>
      <c r="L6" s="255">
        <f t="shared" si="1"/>
        <v>0.5820091045650384</v>
      </c>
      <c r="M6" s="255">
        <f t="shared" si="1"/>
        <v>0.54393374258414806</v>
      </c>
      <c r="N6" s="255">
        <f t="shared" si="1"/>
        <v>0.5083492921347178</v>
      </c>
      <c r="O6" s="255">
        <f t="shared" si="1"/>
        <v>0.47509279638758667</v>
      </c>
      <c r="P6" s="255">
        <f t="shared" si="1"/>
        <v>0.44401195924073528</v>
      </c>
      <c r="Q6" s="255">
        <f t="shared" si="1"/>
        <v>0.41496444788853759</v>
      </c>
      <c r="R6" s="255">
        <f t="shared" si="1"/>
        <v>0.3878172410173249</v>
      </c>
      <c r="S6" s="255">
        <f t="shared" si="1"/>
        <v>0.36244601964235967</v>
      </c>
      <c r="T6" s="255">
        <f t="shared" si="1"/>
        <v>0.33873459779659787</v>
      </c>
      <c r="U6" s="255">
        <f t="shared" si="1"/>
        <v>0.31657439046411018</v>
      </c>
      <c r="V6" s="255">
        <f t="shared" si="1"/>
        <v>0.29586391632159825</v>
      </c>
      <c r="W6" s="255">
        <f t="shared" si="1"/>
        <v>0.27650833301083949</v>
      </c>
      <c r="X6" s="255">
        <f t="shared" si="1"/>
        <v>0.2584190028138687</v>
      </c>
      <c r="Y6" s="255">
        <f t="shared" si="1"/>
        <v>0.24151308674193336</v>
      </c>
      <c r="Z6" s="255">
        <f t="shared" si="1"/>
        <v>0.22571316517937698</v>
      </c>
      <c r="AA6" s="255">
        <f t="shared" si="1"/>
        <v>0.21094688334521211</v>
      </c>
      <c r="AB6" s="255">
        <f t="shared" si="1"/>
        <v>0.19714661994879637</v>
      </c>
      <c r="AC6" s="255">
        <f t="shared" si="1"/>
        <v>0.18424917752223957</v>
      </c>
      <c r="AD6" s="255">
        <f t="shared" si="1"/>
        <v>0.17219549301143888</v>
      </c>
      <c r="AE6" s="255">
        <f t="shared" si="1"/>
        <v>0.16093036730041013</v>
      </c>
      <c r="AF6" s="255">
        <f t="shared" si="1"/>
        <v>0.15040221243028987</v>
      </c>
      <c r="AG6" s="255">
        <f t="shared" ref="AG6:AH6" si="2">1/(1+Real_discount_rate)^(AG4-$D$4)</f>
        <v>0.1405628153554111</v>
      </c>
      <c r="AH6" s="255">
        <f t="shared" si="2"/>
        <v>0.13136711715458982</v>
      </c>
      <c r="AI6" s="255">
        <f t="shared" ref="AI6:AN6" si="3">1/(1+Real_discount_rate)^(AI4-$D$4)</f>
        <v>0.1227730066865325</v>
      </c>
      <c r="AJ6" s="255">
        <f t="shared" si="3"/>
        <v>0.11474112774442291</v>
      </c>
      <c r="AK6" s="255">
        <f t="shared" si="3"/>
        <v>0.10723469882656347</v>
      </c>
      <c r="AL6" s="255">
        <f t="shared" si="3"/>
        <v>0.10021934469772288</v>
      </c>
      <c r="AM6" s="255">
        <f t="shared" si="3"/>
        <v>9.366293896983445E-2</v>
      </c>
      <c r="AN6" s="255">
        <f t="shared" si="3"/>
        <v>8.7535456981153698E-2</v>
      </c>
      <c r="AO6" s="255">
        <f t="shared" ref="AO6" si="4">1/(1+Real_discount_rate)^(AO4-$D$4)</f>
        <v>8.1808838300143641E-2</v>
      </c>
    </row>
    <row r="7" spans="1:41" ht="15" x14ac:dyDescent="0.3">
      <c r="A7" s="98" t="s">
        <v>60</v>
      </c>
      <c r="B7" s="137" t="s">
        <v>5</v>
      </c>
      <c r="C7" s="99">
        <v>0.03</v>
      </c>
      <c r="D7" s="255">
        <f t="shared" ref="D7:AF7" si="5">1/(1+Real_discount_rate_Sensitivity)^(D4-$D$4)</f>
        <v>1</v>
      </c>
      <c r="E7" s="255">
        <f t="shared" si="5"/>
        <v>0.970873786407767</v>
      </c>
      <c r="F7" s="255">
        <f t="shared" si="5"/>
        <v>0.94259590913375435</v>
      </c>
      <c r="G7" s="255">
        <f t="shared" si="5"/>
        <v>0.91514165935315961</v>
      </c>
      <c r="H7" s="255">
        <f t="shared" si="5"/>
        <v>0.888487047915689</v>
      </c>
      <c r="I7" s="255">
        <f t="shared" si="5"/>
        <v>0.86260878438416411</v>
      </c>
      <c r="J7" s="255">
        <f t="shared" si="5"/>
        <v>0.83748425668365445</v>
      </c>
      <c r="K7" s="255">
        <f t="shared" si="5"/>
        <v>0.81309151134335378</v>
      </c>
      <c r="L7" s="255">
        <f t="shared" si="5"/>
        <v>0.78940923431393573</v>
      </c>
      <c r="M7" s="255">
        <f t="shared" si="5"/>
        <v>0.76641673234362695</v>
      </c>
      <c r="N7" s="255">
        <f t="shared" si="5"/>
        <v>0.74409391489672516</v>
      </c>
      <c r="O7" s="255">
        <f t="shared" si="5"/>
        <v>0.72242127659876232</v>
      </c>
      <c r="P7" s="255">
        <f t="shared" si="5"/>
        <v>0.70137988019297326</v>
      </c>
      <c r="Q7" s="255">
        <f t="shared" si="5"/>
        <v>0.68095133999317792</v>
      </c>
      <c r="R7" s="255">
        <f t="shared" si="5"/>
        <v>0.66111780581861923</v>
      </c>
      <c r="S7" s="255">
        <f t="shared" si="5"/>
        <v>0.64186194739671765</v>
      </c>
      <c r="T7" s="255">
        <f t="shared" si="5"/>
        <v>0.62316693922011435</v>
      </c>
      <c r="U7" s="255">
        <f t="shared" si="5"/>
        <v>0.60501644584477121</v>
      </c>
      <c r="V7" s="255">
        <f t="shared" si="5"/>
        <v>0.5873946076162827</v>
      </c>
      <c r="W7" s="255">
        <f t="shared" si="5"/>
        <v>0.57028602681192497</v>
      </c>
      <c r="X7" s="255">
        <f t="shared" si="5"/>
        <v>0.55367575418633497</v>
      </c>
      <c r="Y7" s="255">
        <f t="shared" si="5"/>
        <v>0.5375492759090631</v>
      </c>
      <c r="Z7" s="255">
        <f t="shared" si="5"/>
        <v>0.52189250088258554</v>
      </c>
      <c r="AA7" s="255">
        <f t="shared" si="5"/>
        <v>0.50669174842969467</v>
      </c>
      <c r="AB7" s="255">
        <f t="shared" si="5"/>
        <v>0.49193373633950943</v>
      </c>
      <c r="AC7" s="255">
        <f t="shared" si="5"/>
        <v>0.47760556926165965</v>
      </c>
      <c r="AD7" s="255">
        <f t="shared" si="5"/>
        <v>0.46369472743850448</v>
      </c>
      <c r="AE7" s="255">
        <f t="shared" si="5"/>
        <v>0.45018905576553836</v>
      </c>
      <c r="AF7" s="255">
        <f t="shared" si="5"/>
        <v>0.4370767531704256</v>
      </c>
      <c r="AG7" s="255">
        <f t="shared" ref="AG7:AH7" si="6">1/(1+Real_discount_rate_Sensitivity)^(AG4-$D$4)</f>
        <v>0.42434636230138412</v>
      </c>
      <c r="AH7" s="255">
        <f t="shared" si="6"/>
        <v>0.41198675951590691</v>
      </c>
      <c r="AI7" s="255">
        <f t="shared" ref="AI7:AN7" si="7">1/(1+Real_discount_rate_Sensitivity)^(AI4-$D$4)</f>
        <v>0.39998714516107459</v>
      </c>
      <c r="AJ7" s="255">
        <f t="shared" si="7"/>
        <v>0.38833703413696569</v>
      </c>
      <c r="AK7" s="255">
        <f t="shared" si="7"/>
        <v>0.37702624673491814</v>
      </c>
      <c r="AL7" s="255">
        <f t="shared" si="7"/>
        <v>0.36604489974263904</v>
      </c>
      <c r="AM7" s="255">
        <f t="shared" si="7"/>
        <v>0.35538339780838735</v>
      </c>
      <c r="AN7" s="255">
        <f t="shared" si="7"/>
        <v>0.34503242505668674</v>
      </c>
      <c r="AO7" s="255">
        <f t="shared" ref="AO7" si="8">1/(1+Real_discount_rate_Sensitivity)^(AO4-$D$4)</f>
        <v>0.33498293694823961</v>
      </c>
    </row>
    <row r="8" spans="1:41" x14ac:dyDescent="0.3">
      <c r="B8" s="138"/>
    </row>
    <row r="9" spans="1:41" x14ac:dyDescent="0.3">
      <c r="A9" s="263" t="s">
        <v>93</v>
      </c>
      <c r="B9" s="283">
        <f>1-ShareTruck</f>
        <v>0.87</v>
      </c>
      <c r="C9" s="245"/>
      <c r="D9" s="245"/>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row>
    <row r="10" spans="1:41" x14ac:dyDescent="0.3">
      <c r="A10" s="263" t="s">
        <v>68</v>
      </c>
      <c r="B10" s="264">
        <f>ShareTruck</f>
        <v>0.13</v>
      </c>
      <c r="C10" s="245"/>
      <c r="D10" s="245"/>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1:41" x14ac:dyDescent="0.3">
      <c r="A11" s="101"/>
      <c r="B11" s="135"/>
      <c r="C11" s="245"/>
      <c r="D11" s="245"/>
      <c r="E11" s="245"/>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row>
    <row r="12" spans="1:41" x14ac:dyDescent="0.3">
      <c r="A12" s="102" t="s">
        <v>71</v>
      </c>
      <c r="B12" s="104" t="s">
        <v>1</v>
      </c>
      <c r="C12" s="105"/>
      <c r="D12" s="105">
        <f>Base.Year</f>
        <v>2019</v>
      </c>
      <c r="E12" s="105">
        <f>D12+1</f>
        <v>2020</v>
      </c>
      <c r="F12" s="105">
        <f t="shared" ref="F12:AO12" si="9">E12+1</f>
        <v>2021</v>
      </c>
      <c r="G12" s="105">
        <f t="shared" si="9"/>
        <v>2022</v>
      </c>
      <c r="H12" s="105">
        <f t="shared" si="9"/>
        <v>2023</v>
      </c>
      <c r="I12" s="105">
        <f t="shared" si="9"/>
        <v>2024</v>
      </c>
      <c r="J12" s="105">
        <f t="shared" si="9"/>
        <v>2025</v>
      </c>
      <c r="K12" s="105">
        <f t="shared" si="9"/>
        <v>2026</v>
      </c>
      <c r="L12" s="105">
        <f t="shared" si="9"/>
        <v>2027</v>
      </c>
      <c r="M12" s="105">
        <f t="shared" si="9"/>
        <v>2028</v>
      </c>
      <c r="N12" s="105">
        <f t="shared" si="9"/>
        <v>2029</v>
      </c>
      <c r="O12" s="105">
        <f t="shared" si="9"/>
        <v>2030</v>
      </c>
      <c r="P12" s="105">
        <f t="shared" si="9"/>
        <v>2031</v>
      </c>
      <c r="Q12" s="105">
        <f t="shared" si="9"/>
        <v>2032</v>
      </c>
      <c r="R12" s="105">
        <f t="shared" si="9"/>
        <v>2033</v>
      </c>
      <c r="S12" s="105">
        <f t="shared" si="9"/>
        <v>2034</v>
      </c>
      <c r="T12" s="105">
        <f t="shared" si="9"/>
        <v>2035</v>
      </c>
      <c r="U12" s="105">
        <f t="shared" si="9"/>
        <v>2036</v>
      </c>
      <c r="V12" s="105">
        <f t="shared" si="9"/>
        <v>2037</v>
      </c>
      <c r="W12" s="105">
        <f t="shared" si="9"/>
        <v>2038</v>
      </c>
      <c r="X12" s="105">
        <f t="shared" si="9"/>
        <v>2039</v>
      </c>
      <c r="Y12" s="105">
        <f t="shared" si="9"/>
        <v>2040</v>
      </c>
      <c r="Z12" s="105">
        <f t="shared" si="9"/>
        <v>2041</v>
      </c>
      <c r="AA12" s="105">
        <f t="shared" si="9"/>
        <v>2042</v>
      </c>
      <c r="AB12" s="105">
        <f t="shared" si="9"/>
        <v>2043</v>
      </c>
      <c r="AC12" s="105">
        <f t="shared" si="9"/>
        <v>2044</v>
      </c>
      <c r="AD12" s="105">
        <f t="shared" si="9"/>
        <v>2045</v>
      </c>
      <c r="AE12" s="105">
        <f t="shared" si="9"/>
        <v>2046</v>
      </c>
      <c r="AF12" s="105">
        <f t="shared" si="9"/>
        <v>2047</v>
      </c>
      <c r="AG12" s="105">
        <f t="shared" si="9"/>
        <v>2048</v>
      </c>
      <c r="AH12" s="105">
        <f t="shared" si="9"/>
        <v>2049</v>
      </c>
      <c r="AI12" s="105">
        <f t="shared" si="9"/>
        <v>2050</v>
      </c>
      <c r="AJ12" s="105">
        <f t="shared" si="9"/>
        <v>2051</v>
      </c>
      <c r="AK12" s="105">
        <f t="shared" si="9"/>
        <v>2052</v>
      </c>
      <c r="AL12" s="105">
        <f t="shared" si="9"/>
        <v>2053</v>
      </c>
      <c r="AM12" s="105">
        <f t="shared" si="9"/>
        <v>2054</v>
      </c>
      <c r="AN12" s="105">
        <f t="shared" si="9"/>
        <v>2055</v>
      </c>
      <c r="AO12" s="105">
        <f t="shared" si="9"/>
        <v>2056</v>
      </c>
    </row>
    <row r="13" spans="1:41" s="126" customFormat="1" x14ac:dyDescent="0.3">
      <c r="B13" s="132"/>
      <c r="C13" s="134"/>
      <c r="D13" s="134"/>
      <c r="E13" s="134"/>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row>
    <row r="14" spans="1:41" s="126" customFormat="1" ht="15" x14ac:dyDescent="0.3">
      <c r="A14" s="101" t="s">
        <v>322</v>
      </c>
      <c r="B14" s="132" t="s">
        <v>323</v>
      </c>
      <c r="C14" s="134"/>
      <c r="D14" s="253">
        <f>('Traffic Projection'!G176)*((1+CAGR_NoBuild_TT_Douglas_Interchange)^(2019-2015))</f>
        <v>94774.035119871769</v>
      </c>
      <c r="E14" s="253">
        <f t="shared" ref="E14:AO14" si="10">D14*(1+CAGR_NoBuild_TT_Douglas_Interchange)</f>
        <v>103690.53154861917</v>
      </c>
      <c r="F14" s="253">
        <f t="shared" si="10"/>
        <v>113445.90656329262</v>
      </c>
      <c r="G14" s="253">
        <f t="shared" si="10"/>
        <v>124119.08323502763</v>
      </c>
      <c r="H14" s="253">
        <f t="shared" si="10"/>
        <v>135796.40984673877</v>
      </c>
      <c r="I14" s="253">
        <f t="shared" si="10"/>
        <v>148572.35846920364</v>
      </c>
      <c r="J14" s="253">
        <f t="shared" si="10"/>
        <v>162550.28926032881</v>
      </c>
      <c r="K14" s="253">
        <f t="shared" si="10"/>
        <v>177843.28667094215</v>
      </c>
      <c r="L14" s="253">
        <f t="shared" si="10"/>
        <v>194575.07432219584</v>
      </c>
      <c r="M14" s="253">
        <f t="shared" si="10"/>
        <v>212881.01595613337</v>
      </c>
      <c r="N14" s="253">
        <f t="shared" si="10"/>
        <v>232909.21055732519</v>
      </c>
      <c r="O14" s="253">
        <f t="shared" si="10"/>
        <v>254821.69050534131</v>
      </c>
      <c r="P14" s="253">
        <f t="shared" si="10"/>
        <v>278795.73245137051</v>
      </c>
      <c r="Q14" s="253">
        <f t="shared" si="10"/>
        <v>305025.29152425873</v>
      </c>
      <c r="R14" s="253">
        <f t="shared" si="10"/>
        <v>333722.5704690002</v>
      </c>
      <c r="S14" s="253">
        <f t="shared" si="10"/>
        <v>365119.73641234753</v>
      </c>
      <c r="T14" s="253">
        <f t="shared" si="10"/>
        <v>399470.79914454167</v>
      </c>
      <c r="U14" s="253">
        <f t="shared" si="10"/>
        <v>437053.66611286323</v>
      </c>
      <c r="V14" s="253">
        <f t="shared" si="10"/>
        <v>478172.39075234206</v>
      </c>
      <c r="W14" s="253">
        <f t="shared" si="10"/>
        <v>523159.63234310225</v>
      </c>
      <c r="X14" s="253">
        <f t="shared" si="10"/>
        <v>572379.3472951143</v>
      </c>
      <c r="Y14" s="253">
        <f t="shared" si="10"/>
        <v>626229.73363342427</v>
      </c>
      <c r="Z14" s="253">
        <f t="shared" si="10"/>
        <v>685146.45250537491</v>
      </c>
      <c r="AA14" s="253">
        <f t="shared" si="10"/>
        <v>749606.15277250216</v>
      </c>
      <c r="AB14" s="253">
        <f t="shared" si="10"/>
        <v>820130.32720180904</v>
      </c>
      <c r="AC14" s="253">
        <f t="shared" si="10"/>
        <v>897289.53145382972</v>
      </c>
      <c r="AD14" s="253">
        <f t="shared" si="10"/>
        <v>981707.99999999965</v>
      </c>
      <c r="AE14" s="253">
        <f t="shared" si="10"/>
        <v>1074068.6963130911</v>
      </c>
      <c r="AF14" s="253">
        <f t="shared" si="10"/>
        <v>1175118.8381878354</v>
      </c>
      <c r="AG14" s="253">
        <f t="shared" si="10"/>
        <v>1285675.9428927575</v>
      </c>
      <c r="AH14" s="253">
        <f t="shared" si="10"/>
        <v>1406634.4410597945</v>
      </c>
      <c r="AI14" s="253">
        <f t="shared" si="10"/>
        <v>1538972.9128194817</v>
      </c>
      <c r="AJ14" s="253">
        <f t="shared" si="10"/>
        <v>1683762.0047235857</v>
      </c>
      <c r="AK14" s="253">
        <f t="shared" si="10"/>
        <v>1842173.0915047848</v>
      </c>
      <c r="AL14" s="253">
        <f t="shared" si="10"/>
        <v>2015487.7527488843</v>
      </c>
      <c r="AM14" s="253">
        <f t="shared" si="10"/>
        <v>2205108.1411478738</v>
      </c>
      <c r="AN14" s="253">
        <f t="shared" si="10"/>
        <v>2412568.3262152099</v>
      </c>
      <c r="AO14" s="253">
        <f t="shared" si="10"/>
        <v>2639546.7052364121</v>
      </c>
    </row>
    <row r="15" spans="1:41" s="126" customFormat="1" ht="15" x14ac:dyDescent="0.3">
      <c r="A15" s="19" t="s">
        <v>324</v>
      </c>
      <c r="B15" s="132" t="s">
        <v>323</v>
      </c>
      <c r="C15" s="134"/>
      <c r="D15" s="284">
        <f t="shared" ref="D15:AF15" si="11">D14*(1-ShareTruck)</f>
        <v>82453.410554288435</v>
      </c>
      <c r="E15" s="253">
        <f t="shared" si="11"/>
        <v>90210.762447298679</v>
      </c>
      <c r="F15" s="253">
        <f t="shared" si="11"/>
        <v>98697.938710064584</v>
      </c>
      <c r="G15" s="253">
        <f t="shared" si="11"/>
        <v>107983.60241447404</v>
      </c>
      <c r="H15" s="253">
        <f t="shared" si="11"/>
        <v>118142.87656666273</v>
      </c>
      <c r="I15" s="253">
        <f t="shared" si="11"/>
        <v>129257.95186820716</v>
      </c>
      <c r="J15" s="253">
        <f t="shared" si="11"/>
        <v>141418.75165648607</v>
      </c>
      <c r="K15" s="253">
        <f t="shared" si="11"/>
        <v>154723.65940371968</v>
      </c>
      <c r="L15" s="253">
        <f t="shared" si="11"/>
        <v>169280.31466031037</v>
      </c>
      <c r="M15" s="253">
        <f t="shared" si="11"/>
        <v>185206.48388183603</v>
      </c>
      <c r="N15" s="253">
        <f t="shared" si="11"/>
        <v>202631.01318487292</v>
      </c>
      <c r="O15" s="253">
        <f t="shared" si="11"/>
        <v>221694.87073964693</v>
      </c>
      <c r="P15" s="253">
        <f t="shared" si="11"/>
        <v>242552.28723269235</v>
      </c>
      <c r="Q15" s="253">
        <f t="shared" si="11"/>
        <v>265372.00362610508</v>
      </c>
      <c r="R15" s="253">
        <f t="shared" si="11"/>
        <v>290338.63630803017</v>
      </c>
      <c r="S15" s="253">
        <f t="shared" si="11"/>
        <v>317654.17067874235</v>
      </c>
      <c r="T15" s="253">
        <f t="shared" si="11"/>
        <v>347539.59525575128</v>
      </c>
      <c r="U15" s="253">
        <f t="shared" si="11"/>
        <v>380236.68951819098</v>
      </c>
      <c r="V15" s="253">
        <f t="shared" si="11"/>
        <v>416009.97995453759</v>
      </c>
      <c r="W15" s="253">
        <f t="shared" si="11"/>
        <v>455148.88013849896</v>
      </c>
      <c r="X15" s="253">
        <f t="shared" si="11"/>
        <v>497970.03214674944</v>
      </c>
      <c r="Y15" s="253">
        <f t="shared" si="11"/>
        <v>544819.86826107907</v>
      </c>
      <c r="Z15" s="253">
        <f t="shared" si="11"/>
        <v>596077.41367967613</v>
      </c>
      <c r="AA15" s="253">
        <f t="shared" si="11"/>
        <v>652157.35291207687</v>
      </c>
      <c r="AB15" s="253">
        <f t="shared" si="11"/>
        <v>713513.38466557383</v>
      </c>
      <c r="AC15" s="253">
        <f t="shared" si="11"/>
        <v>780641.89236483187</v>
      </c>
      <c r="AD15" s="253">
        <f t="shared" si="11"/>
        <v>854085.95999999973</v>
      </c>
      <c r="AE15" s="253">
        <f t="shared" si="11"/>
        <v>934439.76579238928</v>
      </c>
      <c r="AF15" s="253">
        <f t="shared" si="11"/>
        <v>1022353.3892234168</v>
      </c>
      <c r="AG15" s="253">
        <f t="shared" ref="AG15:AH15" si="12">AG14*(1-ShareTruck)</f>
        <v>1118538.0703166991</v>
      </c>
      <c r="AH15" s="253">
        <f t="shared" si="12"/>
        <v>1223771.9637220213</v>
      </c>
      <c r="AI15" s="253">
        <f t="shared" ref="AI15:AN15" si="13">AI14*(1-ShareTruck)</f>
        <v>1338906.4341529491</v>
      </c>
      <c r="AJ15" s="253">
        <f t="shared" si="13"/>
        <v>1464872.9441095195</v>
      </c>
      <c r="AK15" s="253">
        <f t="shared" si="13"/>
        <v>1602690.5896091626</v>
      </c>
      <c r="AL15" s="253">
        <f t="shared" si="13"/>
        <v>1753474.3448915293</v>
      </c>
      <c r="AM15" s="253">
        <f t="shared" si="13"/>
        <v>1918444.0827986503</v>
      </c>
      <c r="AN15" s="253">
        <f t="shared" si="13"/>
        <v>2098934.4438072327</v>
      </c>
      <c r="AO15" s="253">
        <f t="shared" ref="AO15" si="14">AO14*(1-ShareTruck)</f>
        <v>2296405.6335556787</v>
      </c>
    </row>
    <row r="16" spans="1:41" s="126" customFormat="1" ht="15" x14ac:dyDescent="0.3">
      <c r="A16" s="19" t="s">
        <v>325</v>
      </c>
      <c r="B16" s="132" t="s">
        <v>323</v>
      </c>
      <c r="C16" s="134"/>
      <c r="D16" s="284">
        <f t="shared" ref="D16:AF16" si="15">D14*(ShareTruck)</f>
        <v>12320.62456558333</v>
      </c>
      <c r="E16" s="253">
        <f t="shared" si="15"/>
        <v>13479.769101320493</v>
      </c>
      <c r="F16" s="253">
        <f t="shared" si="15"/>
        <v>14747.967853228041</v>
      </c>
      <c r="G16" s="253">
        <f t="shared" si="15"/>
        <v>16135.480820553592</v>
      </c>
      <c r="H16" s="253">
        <f t="shared" si="15"/>
        <v>17653.533280076041</v>
      </c>
      <c r="I16" s="253">
        <f t="shared" si="15"/>
        <v>19314.406600996474</v>
      </c>
      <c r="J16" s="253">
        <f t="shared" si="15"/>
        <v>21131.537603842746</v>
      </c>
      <c r="K16" s="253">
        <f t="shared" si="15"/>
        <v>23119.62726722248</v>
      </c>
      <c r="L16" s="253">
        <f t="shared" si="15"/>
        <v>25294.759661885459</v>
      </c>
      <c r="M16" s="253">
        <f t="shared" si="15"/>
        <v>27674.532074297338</v>
      </c>
      <c r="N16" s="253">
        <f t="shared" si="15"/>
        <v>30278.197372452276</v>
      </c>
      <c r="O16" s="253">
        <f t="shared" si="15"/>
        <v>33126.819765694374</v>
      </c>
      <c r="P16" s="253">
        <f t="shared" si="15"/>
        <v>36243.445218678171</v>
      </c>
      <c r="Q16" s="253">
        <f t="shared" si="15"/>
        <v>39653.287898153634</v>
      </c>
      <c r="R16" s="253">
        <f t="shared" si="15"/>
        <v>43383.934160970028</v>
      </c>
      <c r="S16" s="253">
        <f t="shared" si="15"/>
        <v>47465.565733605181</v>
      </c>
      <c r="T16" s="253">
        <f t="shared" si="15"/>
        <v>51931.20388879042</v>
      </c>
      <c r="U16" s="253">
        <f t="shared" si="15"/>
        <v>56816.976594672218</v>
      </c>
      <c r="V16" s="253">
        <f t="shared" si="15"/>
        <v>62162.41079780447</v>
      </c>
      <c r="W16" s="253">
        <f t="shared" si="15"/>
        <v>68010.752204603297</v>
      </c>
      <c r="X16" s="253">
        <f t="shared" si="15"/>
        <v>74409.315148364869</v>
      </c>
      <c r="Y16" s="253">
        <f t="shared" si="15"/>
        <v>81409.865372345157</v>
      </c>
      <c r="Z16" s="253">
        <f t="shared" si="15"/>
        <v>89069.038825698735</v>
      </c>
      <c r="AA16" s="253">
        <f t="shared" si="15"/>
        <v>97448.799860425279</v>
      </c>
      <c r="AB16" s="253">
        <f t="shared" si="15"/>
        <v>106616.94253623518</v>
      </c>
      <c r="AC16" s="253">
        <f t="shared" si="15"/>
        <v>116647.63908899786</v>
      </c>
      <c r="AD16" s="253">
        <f t="shared" si="15"/>
        <v>127622.03999999996</v>
      </c>
      <c r="AE16" s="253">
        <f t="shared" si="15"/>
        <v>139628.93052070183</v>
      </c>
      <c r="AF16" s="253">
        <f t="shared" si="15"/>
        <v>152765.44896441861</v>
      </c>
      <c r="AG16" s="253">
        <f t="shared" ref="AG16:AH16" si="16">AG14*(ShareTruck)</f>
        <v>167137.87257605846</v>
      </c>
      <c r="AH16" s="253">
        <f t="shared" si="16"/>
        <v>182862.47733777328</v>
      </c>
      <c r="AI16" s="253">
        <f t="shared" ref="AI16:AN16" si="17">AI14*(ShareTruck)</f>
        <v>200066.47866653264</v>
      </c>
      <c r="AJ16" s="253">
        <f t="shared" si="17"/>
        <v>218889.06061406614</v>
      </c>
      <c r="AK16" s="253">
        <f t="shared" si="17"/>
        <v>239482.50189562203</v>
      </c>
      <c r="AL16" s="253">
        <f t="shared" si="17"/>
        <v>262013.40785735496</v>
      </c>
      <c r="AM16" s="253">
        <f t="shared" si="17"/>
        <v>286664.05834922363</v>
      </c>
      <c r="AN16" s="253">
        <f t="shared" si="17"/>
        <v>313633.8824079773</v>
      </c>
      <c r="AO16" s="253">
        <f t="shared" ref="AO16" si="18">AO14*(ShareTruck)</f>
        <v>343141.07168073358</v>
      </c>
    </row>
    <row r="17" spans="1:41" s="126" customFormat="1" ht="15" x14ac:dyDescent="0.3">
      <c r="B17" s="131"/>
      <c r="C17" s="134"/>
      <c r="D17" s="134"/>
      <c r="E17" s="134"/>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row>
    <row r="18" spans="1:41" x14ac:dyDescent="0.3">
      <c r="A18" s="101" t="s">
        <v>265</v>
      </c>
      <c r="B18" s="133" t="s">
        <v>78</v>
      </c>
      <c r="C18" s="245"/>
      <c r="D18" s="257">
        <f>SUM(D19:D20)</f>
        <v>2389173.815182467</v>
      </c>
      <c r="E18" s="257">
        <f>SUM(E19:E20)</f>
        <v>2613951.2002941887</v>
      </c>
      <c r="F18" s="257">
        <f t="shared" ref="F18:AF18" si="19">SUM(F19:F20)</f>
        <v>2859876.0098990938</v>
      </c>
      <c r="G18" s="257">
        <f t="shared" si="19"/>
        <v>3128937.8283251296</v>
      </c>
      <c r="H18" s="257">
        <f t="shared" si="19"/>
        <v>3423313.4232520135</v>
      </c>
      <c r="I18" s="257">
        <f t="shared" si="19"/>
        <v>3745384.3562275097</v>
      </c>
      <c r="J18" s="257">
        <f t="shared" si="19"/>
        <v>4097756.2500099107</v>
      </c>
      <c r="K18" s="257">
        <f t="shared" si="19"/>
        <v>4483279.8686136482</v>
      </c>
      <c r="L18" s="257">
        <f t="shared" si="19"/>
        <v>4905074.1806001263</v>
      </c>
      <c r="M18" s="257">
        <f t="shared" si="19"/>
        <v>5366551.5922007188</v>
      </c>
      <c r="N18" s="257">
        <f t="shared" si="19"/>
        <v>5871445.5544133009</v>
      </c>
      <c r="O18" s="257">
        <f t="shared" si="19"/>
        <v>6423840.7674196307</v>
      </c>
      <c r="P18" s="257">
        <f t="shared" si="19"/>
        <v>7028206.2266837917</v>
      </c>
      <c r="Q18" s="257">
        <f t="shared" si="19"/>
        <v>7689431.3780816831</v>
      </c>
      <c r="R18" s="257">
        <f t="shared" si="19"/>
        <v>8412865.674564302</v>
      </c>
      <c r="S18" s="257">
        <f t="shared" si="19"/>
        <v>9204361.8543766961</v>
      </c>
      <c r="T18" s="257">
        <f t="shared" si="19"/>
        <v>10070323.290962616</v>
      </c>
      <c r="U18" s="257">
        <f t="shared" si="19"/>
        <v>11017755.797625748</v>
      </c>
      <c r="V18" s="257">
        <f t="shared" si="19"/>
        <v>12054324.306058312</v>
      </c>
      <c r="W18" s="257">
        <f t="shared" si="19"/>
        <v>13188414.877278442</v>
      </c>
      <c r="X18" s="257">
        <f t="shared" si="19"/>
        <v>14429202.546658104</v>
      </c>
      <c r="Y18" s="257">
        <f t="shared" si="19"/>
        <v>15786725.551922375</v>
      </c>
      <c r="Z18" s="257">
        <f t="shared" si="19"/>
        <v>17271966.544640396</v>
      </c>
      <c r="AA18" s="257">
        <f t="shared" si="19"/>
        <v>18896941.442226451</v>
      </c>
      <c r="AB18" s="257">
        <f t="shared" si="19"/>
        <v>20674796.639282756</v>
      </c>
      <c r="AC18" s="257">
        <f t="shared" si="19"/>
        <v>22619915.364744626</v>
      </c>
      <c r="AD18" s="257">
        <f t="shared" si="19"/>
        <v>24748034.045279995</v>
      </c>
      <c r="AE18" s="257">
        <f t="shared" si="19"/>
        <v>27076369.616348129</v>
      </c>
      <c r="AF18" s="257">
        <f t="shared" si="19"/>
        <v>29623758.810891252</v>
      </c>
      <c r="AG18" s="257">
        <f t="shared" ref="AG18:AH18" si="20">SUM(AG19:AG20)</f>
        <v>32410810.552534387</v>
      </c>
      <c r="AH18" s="257">
        <f t="shared" si="20"/>
        <v>35460072.686186932</v>
      </c>
      <c r="AI18" s="257">
        <f t="shared" ref="AI18:AN18" si="21">SUM(AI19:AI20)</f>
        <v>38796214.394932367</v>
      </c>
      <c r="AJ18" s="257">
        <f t="shared" si="21"/>
        <v>42446225.778997622</v>
      </c>
      <c r="AK18" s="257">
        <f t="shared" si="21"/>
        <v>46439636.211438753</v>
      </c>
      <c r="AL18" s="257">
        <f t="shared" si="21"/>
        <v>50808753.237087063</v>
      </c>
      <c r="AM18" s="257">
        <f t="shared" si="21"/>
        <v>55588923.947499342</v>
      </c>
      <c r="AN18" s="257">
        <f t="shared" si="21"/>
        <v>60818820.946491435</v>
      </c>
      <c r="AO18" s="257">
        <f t="shared" ref="AO18" si="22">SUM(AO19:AO20)</f>
        <v>66540755.219777554</v>
      </c>
    </row>
    <row r="19" spans="1:41" x14ac:dyDescent="0.3">
      <c r="A19" s="19" t="s">
        <v>223</v>
      </c>
      <c r="B19" s="133" t="s">
        <v>78</v>
      </c>
      <c r="C19" s="245"/>
      <c r="D19" s="257">
        <f t="shared" ref="D19:AN19" si="23">(D15)*(timevalue_auto)*Avg_Veh_Occ</f>
        <v>2025715.3904977585</v>
      </c>
      <c r="E19" s="257">
        <f t="shared" si="23"/>
        <v>2216298.011805234</v>
      </c>
      <c r="F19" s="257">
        <f t="shared" si="23"/>
        <v>2424810.9582288666</v>
      </c>
      <c r="G19" s="257">
        <f t="shared" si="23"/>
        <v>2652941.1441187984</v>
      </c>
      <c r="H19" s="257">
        <f t="shared" si="23"/>
        <v>2902534.1914897701</v>
      </c>
      <c r="I19" s="257">
        <f t="shared" si="23"/>
        <v>3175609.3614981137</v>
      </c>
      <c r="J19" s="257">
        <f t="shared" si="23"/>
        <v>3474375.8906965498</v>
      </c>
      <c r="K19" s="257">
        <f t="shared" si="23"/>
        <v>3801250.8642305853</v>
      </c>
      <c r="L19" s="257">
        <f t="shared" si="23"/>
        <v>4158878.7705745054</v>
      </c>
      <c r="M19" s="257">
        <f t="shared" si="23"/>
        <v>4550152.8960089479</v>
      </c>
      <c r="N19" s="257">
        <f t="shared" si="23"/>
        <v>4978238.7319259588</v>
      </c>
      <c r="O19" s="257">
        <f t="shared" si="23"/>
        <v>5446599.5843316466</v>
      </c>
      <c r="P19" s="257">
        <f t="shared" si="23"/>
        <v>5959024.5927327862</v>
      </c>
      <c r="Q19" s="257">
        <f t="shared" si="23"/>
        <v>6519659.3850861508</v>
      </c>
      <c r="R19" s="257">
        <f t="shared" si="23"/>
        <v>7133039.6168156862</v>
      </c>
      <c r="S19" s="257">
        <f t="shared" si="23"/>
        <v>7804127.6652353434</v>
      </c>
      <c r="T19" s="257">
        <f t="shared" si="23"/>
        <v>8538352.7762432992</v>
      </c>
      <c r="U19" s="257">
        <f t="shared" si="23"/>
        <v>9341654.9880829174</v>
      </c>
      <c r="V19" s="257">
        <f t="shared" si="23"/>
        <v>10220533.18752308</v>
      </c>
      <c r="W19" s="257">
        <f t="shared" si="23"/>
        <v>11182097.687242644</v>
      </c>
      <c r="X19" s="257">
        <f t="shared" si="23"/>
        <v>12234127.74978134</v>
      </c>
      <c r="Y19" s="257">
        <f t="shared" si="23"/>
        <v>13385134.523438193</v>
      </c>
      <c r="Z19" s="257">
        <f t="shared" si="23"/>
        <v>14644429.899282284</v>
      </c>
      <c r="AA19" s="257">
        <f t="shared" si="23"/>
        <v>16022201.846343905</v>
      </c>
      <c r="AB19" s="257">
        <f t="shared" si="23"/>
        <v>17529596.83446382</v>
      </c>
      <c r="AC19" s="257">
        <f t="shared" si="23"/>
        <v>19178810.011619188</v>
      </c>
      <c r="AD19" s="257">
        <f t="shared" si="23"/>
        <v>20983183.865279995</v>
      </c>
      <c r="AE19" s="257">
        <f t="shared" si="23"/>
        <v>22957316.165987425</v>
      </c>
      <c r="AF19" s="257">
        <f t="shared" si="23"/>
        <v>25117178.066440903</v>
      </c>
      <c r="AG19" s="257">
        <f t="shared" si="23"/>
        <v>27480243.311540663</v>
      </c>
      <c r="AH19" s="257">
        <f t="shared" si="23"/>
        <v>30065629.604722619</v>
      </c>
      <c r="AI19" s="257">
        <f t="shared" si="23"/>
        <v>32894253.274269655</v>
      </c>
      <c r="AJ19" s="257">
        <f t="shared" si="23"/>
        <v>35988998.490882672</v>
      </c>
      <c r="AK19" s="257">
        <f t="shared" si="23"/>
        <v>39374902.405517906</v>
      </c>
      <c r="AL19" s="257">
        <f t="shared" si="23"/>
        <v>43079357.705295093</v>
      </c>
      <c r="AM19" s="257">
        <f t="shared" si="23"/>
        <v>47132334.226197243</v>
      </c>
      <c r="AN19" s="257">
        <f t="shared" si="23"/>
        <v>51566621.415456101</v>
      </c>
      <c r="AO19" s="257">
        <f t="shared" ref="AO19" si="24">(AO15)*(timevalue_auto)*Avg_Veh_Occ</f>
        <v>56418093.605195917</v>
      </c>
    </row>
    <row r="20" spans="1:41" x14ac:dyDescent="0.3">
      <c r="A20" s="19" t="s">
        <v>224</v>
      </c>
      <c r="B20" s="133" t="s">
        <v>78</v>
      </c>
      <c r="C20" s="245"/>
      <c r="D20" s="257">
        <f t="shared" ref="D20:AN20" si="25">(D16)*(TimeValue_truck)*Avg_Truck_Occ</f>
        <v>363458.42468470824</v>
      </c>
      <c r="E20" s="257">
        <f t="shared" si="25"/>
        <v>397653.18848895456</v>
      </c>
      <c r="F20" s="257">
        <f t="shared" si="25"/>
        <v>435065.0516702272</v>
      </c>
      <c r="G20" s="257">
        <f t="shared" si="25"/>
        <v>475996.68420633097</v>
      </c>
      <c r="H20" s="257">
        <f t="shared" si="25"/>
        <v>520779.2317622432</v>
      </c>
      <c r="I20" s="257">
        <f t="shared" si="25"/>
        <v>569774.99472939596</v>
      </c>
      <c r="J20" s="257">
        <f t="shared" si="25"/>
        <v>623380.359313361</v>
      </c>
      <c r="K20" s="257">
        <f t="shared" si="25"/>
        <v>682029.00438306318</v>
      </c>
      <c r="L20" s="257">
        <f t="shared" si="25"/>
        <v>746195.41002562107</v>
      </c>
      <c r="M20" s="257">
        <f t="shared" si="25"/>
        <v>816398.69619177142</v>
      </c>
      <c r="N20" s="257">
        <f t="shared" si="25"/>
        <v>893206.82248734217</v>
      </c>
      <c r="O20" s="257">
        <f t="shared" si="25"/>
        <v>977241.18308798398</v>
      </c>
      <c r="P20" s="257">
        <f t="shared" si="25"/>
        <v>1069181.633951006</v>
      </c>
      <c r="Q20" s="257">
        <f t="shared" si="25"/>
        <v>1169771.9929955322</v>
      </c>
      <c r="R20" s="257">
        <f t="shared" si="25"/>
        <v>1279826.0577486157</v>
      </c>
      <c r="S20" s="257">
        <f t="shared" si="25"/>
        <v>1400234.1891413529</v>
      </c>
      <c r="T20" s="257">
        <f t="shared" si="25"/>
        <v>1531970.5147193174</v>
      </c>
      <c r="U20" s="257">
        <f t="shared" si="25"/>
        <v>1676100.8095428303</v>
      </c>
      <c r="V20" s="257">
        <f t="shared" si="25"/>
        <v>1833791.1185352318</v>
      </c>
      <c r="W20" s="257">
        <f t="shared" si="25"/>
        <v>2006317.1900357972</v>
      </c>
      <c r="X20" s="257">
        <f t="shared" si="25"/>
        <v>2195074.7968767635</v>
      </c>
      <c r="Y20" s="257">
        <f t="shared" si="25"/>
        <v>2401591.028484182</v>
      </c>
      <c r="Z20" s="257">
        <f t="shared" si="25"/>
        <v>2627536.6453581126</v>
      </c>
      <c r="AA20" s="257">
        <f t="shared" si="25"/>
        <v>2874739.5958825457</v>
      </c>
      <c r="AB20" s="257">
        <f t="shared" si="25"/>
        <v>3145199.8048189376</v>
      </c>
      <c r="AC20" s="257">
        <f t="shared" si="25"/>
        <v>3441105.3531254372</v>
      </c>
      <c r="AD20" s="257">
        <f t="shared" si="25"/>
        <v>3764850.1799999988</v>
      </c>
      <c r="AE20" s="257">
        <f t="shared" si="25"/>
        <v>4119053.4503607042</v>
      </c>
      <c r="AF20" s="257">
        <f t="shared" si="25"/>
        <v>4506580.7444503494</v>
      </c>
      <c r="AG20" s="257">
        <f t="shared" si="25"/>
        <v>4930567.2409937251</v>
      </c>
      <c r="AH20" s="257">
        <f t="shared" si="25"/>
        <v>5394443.081464312</v>
      </c>
      <c r="AI20" s="257">
        <f t="shared" si="25"/>
        <v>5901961.1206627125</v>
      </c>
      <c r="AJ20" s="257">
        <f t="shared" si="25"/>
        <v>6457227.288114951</v>
      </c>
      <c r="AK20" s="257">
        <f t="shared" si="25"/>
        <v>7064733.8059208496</v>
      </c>
      <c r="AL20" s="257">
        <f t="shared" si="25"/>
        <v>7729395.5317919711</v>
      </c>
      <c r="AM20" s="257">
        <f t="shared" si="25"/>
        <v>8456589.7213020977</v>
      </c>
      <c r="AN20" s="257">
        <f t="shared" si="25"/>
        <v>9252199.5310353301</v>
      </c>
      <c r="AO20" s="257">
        <f t="shared" ref="AO20" si="26">(AO16)*(TimeValue_truck)*Avg_Truck_Occ</f>
        <v>10122661.614581641</v>
      </c>
    </row>
    <row r="21" spans="1:41" s="287" customFormat="1" x14ac:dyDescent="0.3">
      <c r="A21" s="285"/>
      <c r="B21" s="286"/>
      <c r="F21" s="257"/>
      <c r="G21" s="257"/>
      <c r="H21" s="257"/>
      <c r="I21" s="257"/>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row>
    <row r="22" spans="1:41" x14ac:dyDescent="0.3">
      <c r="A22" s="167" t="s">
        <v>234</v>
      </c>
      <c r="B22" s="133" t="s">
        <v>78</v>
      </c>
      <c r="C22" s="245"/>
      <c r="D22" s="257">
        <f>D18</f>
        <v>2389173.815182467</v>
      </c>
      <c r="E22" s="257">
        <f t="shared" ref="E22:AF22" si="27">E18</f>
        <v>2613951.2002941887</v>
      </c>
      <c r="F22" s="257">
        <f t="shared" si="27"/>
        <v>2859876.0098990938</v>
      </c>
      <c r="G22" s="257">
        <f t="shared" si="27"/>
        <v>3128937.8283251296</v>
      </c>
      <c r="H22" s="257">
        <f t="shared" si="27"/>
        <v>3423313.4232520135</v>
      </c>
      <c r="I22" s="257">
        <f t="shared" si="27"/>
        <v>3745384.3562275097</v>
      </c>
      <c r="J22" s="257">
        <f t="shared" si="27"/>
        <v>4097756.2500099107</v>
      </c>
      <c r="K22" s="257">
        <f t="shared" si="27"/>
        <v>4483279.8686136482</v>
      </c>
      <c r="L22" s="257">
        <f t="shared" si="27"/>
        <v>4905074.1806001263</v>
      </c>
      <c r="M22" s="257">
        <f t="shared" si="27"/>
        <v>5366551.5922007188</v>
      </c>
      <c r="N22" s="257">
        <f t="shared" si="27"/>
        <v>5871445.5544133009</v>
      </c>
      <c r="O22" s="257">
        <f t="shared" si="27"/>
        <v>6423840.7674196307</v>
      </c>
      <c r="P22" s="257">
        <f t="shared" si="27"/>
        <v>7028206.2266837917</v>
      </c>
      <c r="Q22" s="257">
        <f t="shared" si="27"/>
        <v>7689431.3780816831</v>
      </c>
      <c r="R22" s="257">
        <f t="shared" si="27"/>
        <v>8412865.674564302</v>
      </c>
      <c r="S22" s="257">
        <f t="shared" si="27"/>
        <v>9204361.8543766961</v>
      </c>
      <c r="T22" s="257">
        <f t="shared" si="27"/>
        <v>10070323.290962616</v>
      </c>
      <c r="U22" s="257">
        <f t="shared" si="27"/>
        <v>11017755.797625748</v>
      </c>
      <c r="V22" s="257">
        <f t="shared" si="27"/>
        <v>12054324.306058312</v>
      </c>
      <c r="W22" s="257">
        <f t="shared" si="27"/>
        <v>13188414.877278442</v>
      </c>
      <c r="X22" s="257">
        <f t="shared" si="27"/>
        <v>14429202.546658104</v>
      </c>
      <c r="Y22" s="257">
        <f t="shared" si="27"/>
        <v>15786725.551922375</v>
      </c>
      <c r="Z22" s="257">
        <f t="shared" si="27"/>
        <v>17271966.544640396</v>
      </c>
      <c r="AA22" s="257">
        <f t="shared" si="27"/>
        <v>18896941.442226451</v>
      </c>
      <c r="AB22" s="257">
        <f t="shared" si="27"/>
        <v>20674796.639282756</v>
      </c>
      <c r="AC22" s="257">
        <f t="shared" si="27"/>
        <v>22619915.364744626</v>
      </c>
      <c r="AD22" s="257">
        <f t="shared" si="27"/>
        <v>24748034.045279995</v>
      </c>
      <c r="AE22" s="257">
        <f t="shared" si="27"/>
        <v>27076369.616348129</v>
      </c>
      <c r="AF22" s="257">
        <f t="shared" si="27"/>
        <v>29623758.810891252</v>
      </c>
      <c r="AG22" s="257">
        <f t="shared" ref="AG22:AH22" si="28">AG18</f>
        <v>32410810.552534387</v>
      </c>
      <c r="AH22" s="257">
        <f t="shared" si="28"/>
        <v>35460072.686186932</v>
      </c>
      <c r="AI22" s="257">
        <f t="shared" ref="AI22:AN22" si="29">AI18</f>
        <v>38796214.394932367</v>
      </c>
      <c r="AJ22" s="257">
        <f t="shared" si="29"/>
        <v>42446225.778997622</v>
      </c>
      <c r="AK22" s="257">
        <f t="shared" si="29"/>
        <v>46439636.211438753</v>
      </c>
      <c r="AL22" s="257">
        <f t="shared" si="29"/>
        <v>50808753.237087063</v>
      </c>
      <c r="AM22" s="257">
        <f t="shared" si="29"/>
        <v>55588923.947499342</v>
      </c>
      <c r="AN22" s="257">
        <f t="shared" si="29"/>
        <v>60818820.946491435</v>
      </c>
      <c r="AO22" s="257">
        <f t="shared" ref="AO22" si="30">AO18</f>
        <v>66540755.219777554</v>
      </c>
    </row>
    <row r="23" spans="1:41" x14ac:dyDescent="0.3">
      <c r="F23" s="5"/>
      <c r="G23" s="5"/>
      <c r="H23" s="5"/>
      <c r="I23" s="5"/>
      <c r="J23" s="5"/>
      <c r="K23" s="5"/>
      <c r="L23" s="5"/>
      <c r="M23" s="5"/>
      <c r="N23" s="5"/>
      <c r="O23" s="5"/>
    </row>
    <row r="24" spans="1:41" x14ac:dyDescent="0.3">
      <c r="A24" s="102" t="s">
        <v>70</v>
      </c>
      <c r="B24" s="104" t="s">
        <v>1</v>
      </c>
      <c r="C24" s="105"/>
      <c r="D24" s="105">
        <f>Base.Year</f>
        <v>2019</v>
      </c>
      <c r="E24" s="105">
        <f>D24+1</f>
        <v>2020</v>
      </c>
      <c r="F24" s="105">
        <f t="shared" ref="F24:AO24" si="31">E24+1</f>
        <v>2021</v>
      </c>
      <c r="G24" s="105">
        <f t="shared" si="31"/>
        <v>2022</v>
      </c>
      <c r="H24" s="105">
        <f t="shared" si="31"/>
        <v>2023</v>
      </c>
      <c r="I24" s="105">
        <f t="shared" si="31"/>
        <v>2024</v>
      </c>
      <c r="J24" s="105">
        <f t="shared" si="31"/>
        <v>2025</v>
      </c>
      <c r="K24" s="105">
        <f t="shared" si="31"/>
        <v>2026</v>
      </c>
      <c r="L24" s="105">
        <f t="shared" si="31"/>
        <v>2027</v>
      </c>
      <c r="M24" s="105">
        <f t="shared" si="31"/>
        <v>2028</v>
      </c>
      <c r="N24" s="105">
        <f t="shared" si="31"/>
        <v>2029</v>
      </c>
      <c r="O24" s="105">
        <f t="shared" si="31"/>
        <v>2030</v>
      </c>
      <c r="P24" s="105">
        <f t="shared" si="31"/>
        <v>2031</v>
      </c>
      <c r="Q24" s="105">
        <f t="shared" si="31"/>
        <v>2032</v>
      </c>
      <c r="R24" s="105">
        <f t="shared" si="31"/>
        <v>2033</v>
      </c>
      <c r="S24" s="105">
        <f t="shared" si="31"/>
        <v>2034</v>
      </c>
      <c r="T24" s="105">
        <f t="shared" si="31"/>
        <v>2035</v>
      </c>
      <c r="U24" s="105">
        <f t="shared" si="31"/>
        <v>2036</v>
      </c>
      <c r="V24" s="105">
        <f t="shared" si="31"/>
        <v>2037</v>
      </c>
      <c r="W24" s="105">
        <f t="shared" si="31"/>
        <v>2038</v>
      </c>
      <c r="X24" s="105">
        <f t="shared" si="31"/>
        <v>2039</v>
      </c>
      <c r="Y24" s="105">
        <f t="shared" si="31"/>
        <v>2040</v>
      </c>
      <c r="Z24" s="105">
        <f t="shared" si="31"/>
        <v>2041</v>
      </c>
      <c r="AA24" s="105">
        <f t="shared" si="31"/>
        <v>2042</v>
      </c>
      <c r="AB24" s="105">
        <f t="shared" si="31"/>
        <v>2043</v>
      </c>
      <c r="AC24" s="105">
        <f t="shared" si="31"/>
        <v>2044</v>
      </c>
      <c r="AD24" s="105">
        <f t="shared" si="31"/>
        <v>2045</v>
      </c>
      <c r="AE24" s="105">
        <f t="shared" si="31"/>
        <v>2046</v>
      </c>
      <c r="AF24" s="105">
        <f t="shared" si="31"/>
        <v>2047</v>
      </c>
      <c r="AG24" s="105">
        <f t="shared" si="31"/>
        <v>2048</v>
      </c>
      <c r="AH24" s="105">
        <f t="shared" si="31"/>
        <v>2049</v>
      </c>
      <c r="AI24" s="105">
        <f t="shared" si="31"/>
        <v>2050</v>
      </c>
      <c r="AJ24" s="105">
        <f t="shared" si="31"/>
        <v>2051</v>
      </c>
      <c r="AK24" s="105">
        <f t="shared" si="31"/>
        <v>2052</v>
      </c>
      <c r="AL24" s="105">
        <f t="shared" si="31"/>
        <v>2053</v>
      </c>
      <c r="AM24" s="105">
        <f t="shared" si="31"/>
        <v>2054</v>
      </c>
      <c r="AN24" s="105">
        <f t="shared" si="31"/>
        <v>2055</v>
      </c>
      <c r="AO24" s="105">
        <f t="shared" si="31"/>
        <v>2056</v>
      </c>
    </row>
    <row r="25" spans="1:41" s="126" customFormat="1" x14ac:dyDescent="0.3">
      <c r="B25" s="131"/>
      <c r="C25" s="134"/>
      <c r="D25" s="134"/>
      <c r="E25" s="134"/>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row>
    <row r="26" spans="1:41" s="126" customFormat="1" x14ac:dyDescent="0.3">
      <c r="A26" s="101" t="s">
        <v>322</v>
      </c>
      <c r="B26" s="132" t="s">
        <v>323</v>
      </c>
      <c r="D26" s="128">
        <f>('Traffic Projection'!G176)*((1+CAGR_NoBuild_TT_Douglas_Interchange)^(2019-2015))</f>
        <v>94774.035119871769</v>
      </c>
      <c r="E26" s="128">
        <f t="shared" ref="E26:K26" si="32">D26*(1+CAGR_NoBuild_TT_Douglas_Interchange)</f>
        <v>103690.53154861917</v>
      </c>
      <c r="F26" s="128">
        <f t="shared" si="32"/>
        <v>113445.90656329262</v>
      </c>
      <c r="G26" s="128">
        <f t="shared" si="32"/>
        <v>124119.08323502763</v>
      </c>
      <c r="H26" s="128">
        <f t="shared" si="32"/>
        <v>135796.40984673877</v>
      </c>
      <c r="I26" s="128">
        <f t="shared" si="32"/>
        <v>148572.35846920364</v>
      </c>
      <c r="J26" s="128">
        <f t="shared" si="32"/>
        <v>162550.28926032881</v>
      </c>
      <c r="K26" s="128">
        <f t="shared" si="32"/>
        <v>177843.28667094215</v>
      </c>
      <c r="L26" s="128">
        <f>'Traffic Projection'!K176*((1+CAGR_Build_TT_Douglas_Interchange)^(L24-2015))</f>
        <v>166456.31536004326</v>
      </c>
      <c r="M26" s="128">
        <f t="shared" ref="M26:AO26" si="33">L26*(1+CAGR_Build_TT_Douglas_Interchange)</f>
        <v>182732.30417914255</v>
      </c>
      <c r="N26" s="128">
        <f t="shared" si="33"/>
        <v>200599.74845889199</v>
      </c>
      <c r="O26" s="128">
        <f t="shared" si="33"/>
        <v>220214.25966544478</v>
      </c>
      <c r="P26" s="128">
        <f t="shared" si="33"/>
        <v>241746.66485156468</v>
      </c>
      <c r="Q26" s="128">
        <f t="shared" si="33"/>
        <v>265384.4944266575</v>
      </c>
      <c r="R26" s="128">
        <f t="shared" si="33"/>
        <v>291333.61539997585</v>
      </c>
      <c r="S26" s="128">
        <f t="shared" si="33"/>
        <v>319820.02432126814</v>
      </c>
      <c r="T26" s="128">
        <f t="shared" si="33"/>
        <v>351091.81553398253</v>
      </c>
      <c r="U26" s="128">
        <f t="shared" si="33"/>
        <v>385421.3418829724</v>
      </c>
      <c r="V26" s="128">
        <f t="shared" si="33"/>
        <v>423107.58669477678</v>
      </c>
      <c r="W26" s="128">
        <f t="shared" si="33"/>
        <v>464478.76768856996</v>
      </c>
      <c r="X26" s="128">
        <f t="shared" si="33"/>
        <v>509895.19549580757</v>
      </c>
      <c r="Y26" s="128">
        <f t="shared" si="33"/>
        <v>559752.41168403963</v>
      </c>
      <c r="Z26" s="128">
        <f t="shared" si="33"/>
        <v>614484.63361462438</v>
      </c>
      <c r="AA26" s="128">
        <f t="shared" si="33"/>
        <v>674568.53613635898</v>
      </c>
      <c r="AB26" s="128">
        <f t="shared" si="33"/>
        <v>740527.40305062116</v>
      </c>
      <c r="AC26" s="128">
        <f t="shared" si="33"/>
        <v>812935.68450403691</v>
      </c>
      <c r="AD26" s="128">
        <f t="shared" si="33"/>
        <v>892423.9999999993</v>
      </c>
      <c r="AE26" s="128">
        <f t="shared" si="33"/>
        <v>979684.63060135709</v>
      </c>
      <c r="AF26" s="128">
        <f t="shared" si="33"/>
        <v>1075477.5481570624</v>
      </c>
      <c r="AG26" s="128">
        <f t="shared" si="33"/>
        <v>1180637.0340626268</v>
      </c>
      <c r="AH26" s="128">
        <f t="shared" si="33"/>
        <v>1296078.9451986132</v>
      </c>
      <c r="AI26" s="128">
        <f t="shared" si="33"/>
        <v>1422808.6903278048</v>
      </c>
      <c r="AJ26" s="128">
        <f t="shared" si="33"/>
        <v>1561929.9864192326</v>
      </c>
      <c r="AK26" s="128">
        <f t="shared" si="33"/>
        <v>1714654.471159796</v>
      </c>
      <c r="AL26" s="128">
        <f t="shared" si="33"/>
        <v>1882312.255370935</v>
      </c>
      <c r="AM26" s="128">
        <f t="shared" si="33"/>
        <v>2066363.5072336502</v>
      </c>
      <c r="AN26" s="128">
        <f t="shared" si="33"/>
        <v>2268411.1692114114</v>
      </c>
      <c r="AO26" s="128">
        <f t="shared" si="33"/>
        <v>2490214.9184254073</v>
      </c>
    </row>
    <row r="27" spans="1:41" s="126" customFormat="1" x14ac:dyDescent="0.3">
      <c r="A27" s="19" t="s">
        <v>324</v>
      </c>
      <c r="B27" s="132" t="s">
        <v>323</v>
      </c>
      <c r="D27" s="128">
        <f t="shared" ref="D27:E27" si="34">D26*(1-ShareTruck)</f>
        <v>82453.410554288435</v>
      </c>
      <c r="E27" s="128">
        <f t="shared" si="34"/>
        <v>90210.762447298679</v>
      </c>
      <c r="F27" s="128">
        <f t="shared" ref="F27:AH27" si="35">F26*(1-ShareTruck)</f>
        <v>98697.938710064584</v>
      </c>
      <c r="G27" s="128">
        <f t="shared" si="35"/>
        <v>107983.60241447404</v>
      </c>
      <c r="H27" s="128">
        <f t="shared" si="35"/>
        <v>118142.87656666273</v>
      </c>
      <c r="I27" s="128">
        <f t="shared" si="35"/>
        <v>129257.95186820716</v>
      </c>
      <c r="J27" s="128">
        <f t="shared" si="35"/>
        <v>141418.75165648607</v>
      </c>
      <c r="K27" s="128">
        <f t="shared" si="35"/>
        <v>154723.65940371968</v>
      </c>
      <c r="L27" s="128">
        <f t="shared" si="35"/>
        <v>144816.99436323764</v>
      </c>
      <c r="M27" s="128">
        <f t="shared" si="35"/>
        <v>158977.10463585402</v>
      </c>
      <c r="N27" s="128">
        <f t="shared" si="35"/>
        <v>174521.78115923604</v>
      </c>
      <c r="O27" s="128">
        <f t="shared" si="35"/>
        <v>191586.40590893695</v>
      </c>
      <c r="P27" s="128">
        <f t="shared" si="35"/>
        <v>210319.59842086126</v>
      </c>
      <c r="Q27" s="128">
        <f t="shared" si="35"/>
        <v>230884.51015119202</v>
      </c>
      <c r="R27" s="128">
        <f t="shared" si="35"/>
        <v>253460.24539797899</v>
      </c>
      <c r="S27" s="128">
        <f t="shared" si="35"/>
        <v>278243.42115950328</v>
      </c>
      <c r="T27" s="128">
        <f t="shared" si="35"/>
        <v>305449.87951456482</v>
      </c>
      <c r="U27" s="128">
        <f t="shared" si="35"/>
        <v>335316.56743818597</v>
      </c>
      <c r="V27" s="128">
        <f t="shared" si="35"/>
        <v>368103.60042445577</v>
      </c>
      <c r="W27" s="128">
        <f t="shared" si="35"/>
        <v>404096.52788905584</v>
      </c>
      <c r="X27" s="128">
        <f t="shared" si="35"/>
        <v>443608.82008135261</v>
      </c>
      <c r="Y27" s="128">
        <f t="shared" si="35"/>
        <v>486984.59816511447</v>
      </c>
      <c r="Z27" s="128">
        <f t="shared" si="35"/>
        <v>534601.63124472322</v>
      </c>
      <c r="AA27" s="128">
        <f t="shared" si="35"/>
        <v>586874.62643863226</v>
      </c>
      <c r="AB27" s="128">
        <f t="shared" si="35"/>
        <v>644258.84065404045</v>
      </c>
      <c r="AC27" s="128">
        <f t="shared" si="35"/>
        <v>707254.04551851214</v>
      </c>
      <c r="AD27" s="128">
        <f t="shared" si="35"/>
        <v>776408.87999999942</v>
      </c>
      <c r="AE27" s="128">
        <f t="shared" si="35"/>
        <v>852325.62862318067</v>
      </c>
      <c r="AF27" s="128">
        <f t="shared" si="35"/>
        <v>935665.46689664421</v>
      </c>
      <c r="AG27" s="128">
        <f t="shared" si="35"/>
        <v>1027154.2196344853</v>
      </c>
      <c r="AH27" s="128">
        <f t="shared" si="35"/>
        <v>1127588.6823227934</v>
      </c>
      <c r="AI27" s="128">
        <f t="shared" ref="AI27:AN27" si="36">AI26*(1-ShareTruck)</f>
        <v>1237843.5605851901</v>
      </c>
      <c r="AJ27" s="128">
        <f t="shared" si="36"/>
        <v>1358879.0881847322</v>
      </c>
      <c r="AK27" s="128">
        <f t="shared" si="36"/>
        <v>1491749.3899090225</v>
      </c>
      <c r="AL27" s="128">
        <f t="shared" si="36"/>
        <v>1637611.6621727133</v>
      </c>
      <c r="AM27" s="128">
        <f t="shared" si="36"/>
        <v>1797736.2512932757</v>
      </c>
      <c r="AN27" s="128">
        <f t="shared" si="36"/>
        <v>1973517.717213928</v>
      </c>
      <c r="AO27" s="128">
        <f t="shared" ref="AO27" si="37">AO26*(1-ShareTruck)</f>
        <v>2166486.9790301044</v>
      </c>
    </row>
    <row r="28" spans="1:41" s="126" customFormat="1" x14ac:dyDescent="0.3">
      <c r="A28" s="19" t="s">
        <v>325</v>
      </c>
      <c r="B28" s="132" t="s">
        <v>323</v>
      </c>
      <c r="D28" s="128">
        <f t="shared" ref="D28:E28" si="38">D26*(ShareTruck)</f>
        <v>12320.62456558333</v>
      </c>
      <c r="E28" s="128">
        <f t="shared" si="38"/>
        <v>13479.769101320493</v>
      </c>
      <c r="F28" s="128">
        <f t="shared" ref="F28:AH28" si="39">F26*(ShareTruck)</f>
        <v>14747.967853228041</v>
      </c>
      <c r="G28" s="128">
        <f t="shared" si="39"/>
        <v>16135.480820553592</v>
      </c>
      <c r="H28" s="128">
        <f t="shared" si="39"/>
        <v>17653.533280076041</v>
      </c>
      <c r="I28" s="128">
        <f t="shared" si="39"/>
        <v>19314.406600996474</v>
      </c>
      <c r="J28" s="128">
        <f t="shared" si="39"/>
        <v>21131.537603842746</v>
      </c>
      <c r="K28" s="128">
        <f t="shared" si="39"/>
        <v>23119.62726722248</v>
      </c>
      <c r="L28" s="128">
        <f t="shared" si="39"/>
        <v>21639.320996805625</v>
      </c>
      <c r="M28" s="128">
        <f t="shared" si="39"/>
        <v>23755.199543288531</v>
      </c>
      <c r="N28" s="128">
        <f t="shared" si="39"/>
        <v>26077.96729965596</v>
      </c>
      <c r="O28" s="128">
        <f t="shared" si="39"/>
        <v>28627.853756507822</v>
      </c>
      <c r="P28" s="128">
        <f t="shared" si="39"/>
        <v>31427.066430703409</v>
      </c>
      <c r="Q28" s="128">
        <f t="shared" si="39"/>
        <v>34499.984275465475</v>
      </c>
      <c r="R28" s="128">
        <f t="shared" si="39"/>
        <v>37873.37000199686</v>
      </c>
      <c r="S28" s="128">
        <f t="shared" si="39"/>
        <v>41576.603161764862</v>
      </c>
      <c r="T28" s="128">
        <f t="shared" si="39"/>
        <v>45641.936019417728</v>
      </c>
      <c r="U28" s="128">
        <f t="shared" si="39"/>
        <v>50104.77444478641</v>
      </c>
      <c r="V28" s="128">
        <f t="shared" si="39"/>
        <v>55003.98627032098</v>
      </c>
      <c r="W28" s="128">
        <f t="shared" si="39"/>
        <v>60382.2397995141</v>
      </c>
      <c r="X28" s="128">
        <f t="shared" si="39"/>
        <v>66286.375414454989</v>
      </c>
      <c r="Y28" s="128">
        <f t="shared" si="39"/>
        <v>72767.813518925148</v>
      </c>
      <c r="Z28" s="128">
        <f t="shared" si="39"/>
        <v>79883.00236990118</v>
      </c>
      <c r="AA28" s="128">
        <f t="shared" si="39"/>
        <v>87693.909697726674</v>
      </c>
      <c r="AB28" s="128">
        <f t="shared" si="39"/>
        <v>96268.562396580761</v>
      </c>
      <c r="AC28" s="128">
        <f t="shared" si="39"/>
        <v>105681.6389855248</v>
      </c>
      <c r="AD28" s="128">
        <f t="shared" si="39"/>
        <v>116015.11999999991</v>
      </c>
      <c r="AE28" s="128">
        <f t="shared" si="39"/>
        <v>127359.00197817643</v>
      </c>
      <c r="AF28" s="128">
        <f t="shared" si="39"/>
        <v>139812.08126041811</v>
      </c>
      <c r="AG28" s="128">
        <f t="shared" si="39"/>
        <v>153482.81442814149</v>
      </c>
      <c r="AH28" s="128">
        <f t="shared" si="39"/>
        <v>168490.26287581972</v>
      </c>
      <c r="AI28" s="128">
        <f t="shared" ref="AI28:AN28" si="40">AI26*(ShareTruck)</f>
        <v>184965.12974261463</v>
      </c>
      <c r="AJ28" s="128">
        <f t="shared" si="40"/>
        <v>203050.89823450023</v>
      </c>
      <c r="AK28" s="128">
        <f t="shared" si="40"/>
        <v>222905.08125077348</v>
      </c>
      <c r="AL28" s="128">
        <f t="shared" si="40"/>
        <v>244700.59319822156</v>
      </c>
      <c r="AM28" s="128">
        <f t="shared" si="40"/>
        <v>268627.25594037451</v>
      </c>
      <c r="AN28" s="128">
        <f t="shared" si="40"/>
        <v>294893.4519974835</v>
      </c>
      <c r="AO28" s="128">
        <f t="shared" ref="AO28" si="41">AO26*(ShareTruck)</f>
        <v>323727.93939530296</v>
      </c>
    </row>
    <row r="29" spans="1:41" s="126" customFormat="1" x14ac:dyDescent="0.3">
      <c r="A29" s="285"/>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row>
    <row r="30" spans="1:41" s="126" customFormat="1" x14ac:dyDescent="0.3">
      <c r="A30" s="101" t="s">
        <v>265</v>
      </c>
      <c r="B30" s="133" t="s">
        <v>78</v>
      </c>
      <c r="D30" s="258">
        <f>SUM(D31:D32)</f>
        <v>2389173.815182467</v>
      </c>
      <c r="E30" s="258">
        <f>SUM(E31:E32)</f>
        <v>2613951.2002941887</v>
      </c>
      <c r="F30" s="258">
        <f t="shared" ref="F30:AF30" si="42">SUM(F31:F32)</f>
        <v>2859876.0098990938</v>
      </c>
      <c r="G30" s="258">
        <f t="shared" si="42"/>
        <v>3128937.8283251296</v>
      </c>
      <c r="H30" s="258">
        <f t="shared" si="42"/>
        <v>3423313.4232520135</v>
      </c>
      <c r="I30" s="258">
        <f t="shared" si="42"/>
        <v>3745384.3562275097</v>
      </c>
      <c r="J30" s="258">
        <f t="shared" si="42"/>
        <v>4097756.2500099107</v>
      </c>
      <c r="K30" s="258">
        <f t="shared" si="42"/>
        <v>4483279.8686136482</v>
      </c>
      <c r="L30" s="258">
        <f t="shared" si="42"/>
        <v>4196223.8869217886</v>
      </c>
      <c r="M30" s="258">
        <f t="shared" si="42"/>
        <v>4606527.8932206733</v>
      </c>
      <c r="N30" s="258">
        <f t="shared" si="42"/>
        <v>5056951.1548599619</v>
      </c>
      <c r="O30" s="258">
        <f t="shared" si="42"/>
        <v>5551416.5061877444</v>
      </c>
      <c r="P30" s="258">
        <f t="shared" si="42"/>
        <v>6094230.3537094705</v>
      </c>
      <c r="Q30" s="258">
        <f t="shared" si="42"/>
        <v>6690120.1815207181</v>
      </c>
      <c r="R30" s="258">
        <f t="shared" si="42"/>
        <v>7344275.7239964558</v>
      </c>
      <c r="S30" s="258">
        <f t="shared" si="42"/>
        <v>8062394.1643187413</v>
      </c>
      <c r="T30" s="258">
        <f t="shared" si="42"/>
        <v>8850729.7524866518</v>
      </c>
      <c r="U30" s="258">
        <f t="shared" si="42"/>
        <v>9716148.2749425527</v>
      </c>
      <c r="V30" s="258">
        <f t="shared" si="42"/>
        <v>10666186.850202499</v>
      </c>
      <c r="W30" s="258">
        <f t="shared" si="42"/>
        <v>11709119.571263991</v>
      </c>
      <c r="X30" s="258">
        <f t="shared" si="42"/>
        <v>12854029.566485092</v>
      </c>
      <c r="Y30" s="258">
        <f t="shared" si="42"/>
        <v>14110888.106528826</v>
      </c>
      <c r="Z30" s="258">
        <f t="shared" si="42"/>
        <v>15490641.446332447</v>
      </c>
      <c r="AA30" s="258">
        <f t="shared" si="42"/>
        <v>17005306.158427253</v>
      </c>
      <c r="AB30" s="258">
        <f t="shared" si="42"/>
        <v>18668073.787887599</v>
      </c>
      <c r="AC30" s="258">
        <f t="shared" si="42"/>
        <v>20493425.740371786</v>
      </c>
      <c r="AD30" s="258">
        <f t="shared" si="42"/>
        <v>22497259.403839983</v>
      </c>
      <c r="AE30" s="258">
        <f t="shared" si="42"/>
        <v>24697026.602370508</v>
      </c>
      <c r="AF30" s="258">
        <f t="shared" si="42"/>
        <v>27111885.587899093</v>
      </c>
      <c r="AG30" s="258">
        <f t="shared" ref="AG30:AH30" si="43">SUM(AG31:AG32)</f>
        <v>29762867.893610209</v>
      </c>
      <c r="AH30" s="258">
        <f t="shared" si="43"/>
        <v>32673061.50214307</v>
      </c>
      <c r="AI30" s="258">
        <f t="shared" ref="AI30:AN30" si="44">SUM(AI31:AI32)</f>
        <v>35867811.923864082</v>
      </c>
      <c r="AJ30" s="258">
        <f t="shared" si="44"/>
        <v>39374942.936440259</v>
      </c>
      <c r="AK30" s="258">
        <f t="shared" si="44"/>
        <v>43224998.908182681</v>
      </c>
      <c r="AL30" s="258">
        <f t="shared" si="44"/>
        <v>47451510.815606765</v>
      </c>
      <c r="AM30" s="258">
        <f t="shared" si="44"/>
        <v>52091288.272014245</v>
      </c>
      <c r="AN30" s="258">
        <f t="shared" si="44"/>
        <v>57184740.11043755</v>
      </c>
      <c r="AO30" s="258">
        <f t="shared" ref="AO30" si="45">SUM(AO31:AO32)</f>
        <v>62776226.312973045</v>
      </c>
    </row>
    <row r="31" spans="1:41" s="126" customFormat="1" x14ac:dyDescent="0.3">
      <c r="A31" s="19" t="s">
        <v>223</v>
      </c>
      <c r="B31" s="133" t="s">
        <v>78</v>
      </c>
      <c r="D31" s="258">
        <f t="shared" ref="D31:AN31" si="46">(D27)*(timevalue_auto)*Avg_Veh_Occ</f>
        <v>2025715.3904977585</v>
      </c>
      <c r="E31" s="258">
        <f t="shared" si="46"/>
        <v>2216298.011805234</v>
      </c>
      <c r="F31" s="258">
        <f t="shared" si="46"/>
        <v>2424810.9582288666</v>
      </c>
      <c r="G31" s="258">
        <f t="shared" si="46"/>
        <v>2652941.1441187984</v>
      </c>
      <c r="H31" s="258">
        <f t="shared" si="46"/>
        <v>2902534.1914897701</v>
      </c>
      <c r="I31" s="258">
        <f t="shared" si="46"/>
        <v>3175609.3614981137</v>
      </c>
      <c r="J31" s="258">
        <f t="shared" si="46"/>
        <v>3474375.8906965498</v>
      </c>
      <c r="K31" s="258">
        <f t="shared" si="46"/>
        <v>3801250.8642305853</v>
      </c>
      <c r="L31" s="258">
        <f t="shared" si="46"/>
        <v>3557863.9175160225</v>
      </c>
      <c r="M31" s="258">
        <f t="shared" si="46"/>
        <v>3905749.5066936617</v>
      </c>
      <c r="N31" s="258">
        <f t="shared" si="46"/>
        <v>4287651.119520111</v>
      </c>
      <c r="O31" s="258">
        <f t="shared" si="46"/>
        <v>4706894.8203707635</v>
      </c>
      <c r="P31" s="258">
        <f t="shared" si="46"/>
        <v>5167131.89400372</v>
      </c>
      <c r="Q31" s="258">
        <f t="shared" si="46"/>
        <v>5672370.6453944864</v>
      </c>
      <c r="R31" s="258">
        <f t="shared" si="46"/>
        <v>6227011.3089375487</v>
      </c>
      <c r="S31" s="258">
        <f t="shared" si="46"/>
        <v>6835884.3710466782</v>
      </c>
      <c r="T31" s="258">
        <f t="shared" si="46"/>
        <v>7504292.639913829</v>
      </c>
      <c r="U31" s="258">
        <f t="shared" si="46"/>
        <v>8238057.4288213542</v>
      </c>
      <c r="V31" s="258">
        <f t="shared" si="46"/>
        <v>9043569.2552280296</v>
      </c>
      <c r="W31" s="258">
        <f t="shared" si="46"/>
        <v>9927843.4971783254</v>
      </c>
      <c r="X31" s="258">
        <f t="shared" si="46"/>
        <v>10898581.491758671</v>
      </c>
      <c r="Y31" s="258">
        <f t="shared" si="46"/>
        <v>11964237.607720533</v>
      </c>
      <c r="Z31" s="258">
        <f t="shared" si="46"/>
        <v>13134092.876420362</v>
      </c>
      <c r="AA31" s="258">
        <f t="shared" si="46"/>
        <v>14418335.822344318</v>
      </c>
      <c r="AB31" s="258">
        <f t="shared" si="46"/>
        <v>15828151.197188467</v>
      </c>
      <c r="AC31" s="258">
        <f t="shared" si="46"/>
        <v>17375817.390298806</v>
      </c>
      <c r="AD31" s="258">
        <f t="shared" si="46"/>
        <v>19074813.363839988</v>
      </c>
      <c r="AE31" s="258">
        <f t="shared" si="46"/>
        <v>20939936.044014305</v>
      </c>
      <c r="AF31" s="258">
        <f t="shared" si="46"/>
        <v>22987429.190716758</v>
      </c>
      <c r="AG31" s="258">
        <f t="shared" si="46"/>
        <v>25235124.867980037</v>
      </c>
      <c r="AH31" s="258">
        <f t="shared" si="46"/>
        <v>27702598.747306388</v>
      </c>
      <c r="AI31" s="258">
        <f t="shared" si="46"/>
        <v>30411340.596456952</v>
      </c>
      <c r="AJ31" s="258">
        <f t="shared" si="46"/>
        <v>33384941.438522503</v>
      </c>
      <c r="AK31" s="258">
        <f t="shared" si="46"/>
        <v>36649299.011284865</v>
      </c>
      <c r="AL31" s="258">
        <f t="shared" si="46"/>
        <v>40232843.316259228</v>
      </c>
      <c r="AM31" s="258">
        <f t="shared" si="46"/>
        <v>44166784.2217732</v>
      </c>
      <c r="AN31" s="258">
        <f t="shared" si="46"/>
        <v>48485383.276511788</v>
      </c>
      <c r="AO31" s="258">
        <f t="shared" ref="AO31" si="47">(AO27)*(timevalue_auto)*Avg_Veh_Occ</f>
        <v>53226252.100811608</v>
      </c>
    </row>
    <row r="32" spans="1:41" s="126" customFormat="1" x14ac:dyDescent="0.3">
      <c r="A32" s="19" t="s">
        <v>224</v>
      </c>
      <c r="B32" s="133" t="s">
        <v>78</v>
      </c>
      <c r="D32" s="258">
        <f t="shared" ref="D32:AN32" si="48">(D28)*(TimeValue_truck)*Avg_Truck_Occ</f>
        <v>363458.42468470824</v>
      </c>
      <c r="E32" s="258">
        <f t="shared" si="48"/>
        <v>397653.18848895456</v>
      </c>
      <c r="F32" s="258">
        <f t="shared" si="48"/>
        <v>435065.0516702272</v>
      </c>
      <c r="G32" s="258">
        <f t="shared" si="48"/>
        <v>475996.68420633097</v>
      </c>
      <c r="H32" s="258">
        <f t="shared" si="48"/>
        <v>520779.2317622432</v>
      </c>
      <c r="I32" s="258">
        <f t="shared" si="48"/>
        <v>569774.99472939596</v>
      </c>
      <c r="J32" s="258">
        <f t="shared" si="48"/>
        <v>623380.359313361</v>
      </c>
      <c r="K32" s="258">
        <f t="shared" si="48"/>
        <v>682029.00438306318</v>
      </c>
      <c r="L32" s="258">
        <f t="shared" si="48"/>
        <v>638359.96940576599</v>
      </c>
      <c r="M32" s="258">
        <f t="shared" si="48"/>
        <v>700778.38652701164</v>
      </c>
      <c r="N32" s="258">
        <f t="shared" si="48"/>
        <v>769300.03533985082</v>
      </c>
      <c r="O32" s="258">
        <f t="shared" si="48"/>
        <v>844521.68581698078</v>
      </c>
      <c r="P32" s="258">
        <f t="shared" si="48"/>
        <v>927098.45970575057</v>
      </c>
      <c r="Q32" s="258">
        <f t="shared" si="48"/>
        <v>1017749.5361262315</v>
      </c>
      <c r="R32" s="258">
        <f t="shared" si="48"/>
        <v>1117264.4150589074</v>
      </c>
      <c r="S32" s="258">
        <f t="shared" si="48"/>
        <v>1226509.7932720634</v>
      </c>
      <c r="T32" s="258">
        <f t="shared" si="48"/>
        <v>1346437.112572823</v>
      </c>
      <c r="U32" s="258">
        <f t="shared" si="48"/>
        <v>1478090.8461211992</v>
      </c>
      <c r="V32" s="258">
        <f t="shared" si="48"/>
        <v>1622617.5949744689</v>
      </c>
      <c r="W32" s="258">
        <f t="shared" si="48"/>
        <v>1781276.0740856659</v>
      </c>
      <c r="X32" s="258">
        <f t="shared" si="48"/>
        <v>1955448.0747264221</v>
      </c>
      <c r="Y32" s="258">
        <f t="shared" si="48"/>
        <v>2146650.4988082917</v>
      </c>
      <c r="Z32" s="258">
        <f t="shared" si="48"/>
        <v>2356548.5699120848</v>
      </c>
      <c r="AA32" s="258">
        <f t="shared" si="48"/>
        <v>2586970.3360829367</v>
      </c>
      <c r="AB32" s="258">
        <f t="shared" si="48"/>
        <v>2839922.5906991325</v>
      </c>
      <c r="AC32" s="258">
        <f t="shared" si="48"/>
        <v>3117608.3500729813</v>
      </c>
      <c r="AD32" s="258">
        <f t="shared" si="48"/>
        <v>3422446.0399999972</v>
      </c>
      <c r="AE32" s="258">
        <f t="shared" si="48"/>
        <v>3757090.5583562045</v>
      </c>
      <c r="AF32" s="258">
        <f t="shared" si="48"/>
        <v>4124456.3971823342</v>
      </c>
      <c r="AG32" s="258">
        <f t="shared" si="48"/>
        <v>4527743.0256301742</v>
      </c>
      <c r="AH32" s="258">
        <f t="shared" si="48"/>
        <v>4970462.7548366822</v>
      </c>
      <c r="AI32" s="258">
        <f t="shared" si="48"/>
        <v>5456471.3274071319</v>
      </c>
      <c r="AJ32" s="258">
        <f t="shared" si="48"/>
        <v>5990001.4979177564</v>
      </c>
      <c r="AK32" s="258">
        <f t="shared" si="48"/>
        <v>6575699.896897818</v>
      </c>
      <c r="AL32" s="258">
        <f t="shared" si="48"/>
        <v>7218667.4993475359</v>
      </c>
      <c r="AM32" s="258">
        <f t="shared" si="48"/>
        <v>7924504.0502410484</v>
      </c>
      <c r="AN32" s="258">
        <f t="shared" si="48"/>
        <v>8699356.8339257631</v>
      </c>
      <c r="AO32" s="258">
        <f t="shared" ref="AO32" si="49">(AO28)*(TimeValue_truck)*Avg_Truck_Occ</f>
        <v>9549974.2121614367</v>
      </c>
    </row>
    <row r="33" spans="1:41" s="126" customFormat="1" x14ac:dyDescent="0.3">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row>
    <row r="34" spans="1:41" x14ac:dyDescent="0.3">
      <c r="A34" s="167" t="s">
        <v>234</v>
      </c>
      <c r="B34" s="133" t="s">
        <v>78</v>
      </c>
      <c r="C34" s="5"/>
      <c r="D34" s="1">
        <f>D30</f>
        <v>2389173.815182467</v>
      </c>
      <c r="E34" s="1">
        <f t="shared" ref="E34:AF34" si="50">E30</f>
        <v>2613951.2002941887</v>
      </c>
      <c r="F34" s="1">
        <f t="shared" si="50"/>
        <v>2859876.0098990938</v>
      </c>
      <c r="G34" s="1">
        <f t="shared" si="50"/>
        <v>3128937.8283251296</v>
      </c>
      <c r="H34" s="1">
        <f t="shared" si="50"/>
        <v>3423313.4232520135</v>
      </c>
      <c r="I34" s="1">
        <f t="shared" si="50"/>
        <v>3745384.3562275097</v>
      </c>
      <c r="J34" s="1">
        <f t="shared" si="50"/>
        <v>4097756.2500099107</v>
      </c>
      <c r="K34" s="1">
        <f t="shared" si="50"/>
        <v>4483279.8686136482</v>
      </c>
      <c r="L34" s="1">
        <f t="shared" si="50"/>
        <v>4196223.8869217886</v>
      </c>
      <c r="M34" s="1">
        <f t="shared" si="50"/>
        <v>4606527.8932206733</v>
      </c>
      <c r="N34" s="1">
        <f t="shared" si="50"/>
        <v>5056951.1548599619</v>
      </c>
      <c r="O34" s="1">
        <f t="shared" si="50"/>
        <v>5551416.5061877444</v>
      </c>
      <c r="P34" s="1">
        <f t="shared" si="50"/>
        <v>6094230.3537094705</v>
      </c>
      <c r="Q34" s="1">
        <f t="shared" si="50"/>
        <v>6690120.1815207181</v>
      </c>
      <c r="R34" s="1">
        <f t="shared" si="50"/>
        <v>7344275.7239964558</v>
      </c>
      <c r="S34" s="1">
        <f t="shared" si="50"/>
        <v>8062394.1643187413</v>
      </c>
      <c r="T34" s="1">
        <f t="shared" si="50"/>
        <v>8850729.7524866518</v>
      </c>
      <c r="U34" s="1">
        <f t="shared" si="50"/>
        <v>9716148.2749425527</v>
      </c>
      <c r="V34" s="1">
        <f t="shared" si="50"/>
        <v>10666186.850202499</v>
      </c>
      <c r="W34" s="1">
        <f t="shared" si="50"/>
        <v>11709119.571263991</v>
      </c>
      <c r="X34" s="1">
        <f t="shared" si="50"/>
        <v>12854029.566485092</v>
      </c>
      <c r="Y34" s="1">
        <f t="shared" si="50"/>
        <v>14110888.106528826</v>
      </c>
      <c r="Z34" s="1">
        <f t="shared" si="50"/>
        <v>15490641.446332447</v>
      </c>
      <c r="AA34" s="1">
        <f t="shared" si="50"/>
        <v>17005306.158427253</v>
      </c>
      <c r="AB34" s="1">
        <f t="shared" si="50"/>
        <v>18668073.787887599</v>
      </c>
      <c r="AC34" s="1">
        <f t="shared" si="50"/>
        <v>20493425.740371786</v>
      </c>
      <c r="AD34" s="1">
        <f t="shared" si="50"/>
        <v>22497259.403839983</v>
      </c>
      <c r="AE34" s="1">
        <f t="shared" si="50"/>
        <v>24697026.602370508</v>
      </c>
      <c r="AF34" s="1">
        <f t="shared" si="50"/>
        <v>27111885.587899093</v>
      </c>
      <c r="AG34" s="1">
        <f t="shared" ref="AG34:AH34" si="51">AG30</f>
        <v>29762867.893610209</v>
      </c>
      <c r="AH34" s="1">
        <f t="shared" si="51"/>
        <v>32673061.50214307</v>
      </c>
      <c r="AI34" s="1">
        <f t="shared" ref="AI34:AN34" si="52">AI30</f>
        <v>35867811.923864082</v>
      </c>
      <c r="AJ34" s="1">
        <f t="shared" si="52"/>
        <v>39374942.936440259</v>
      </c>
      <c r="AK34" s="1">
        <f t="shared" si="52"/>
        <v>43224998.908182681</v>
      </c>
      <c r="AL34" s="1">
        <f t="shared" si="52"/>
        <v>47451510.815606765</v>
      </c>
      <c r="AM34" s="1">
        <f t="shared" si="52"/>
        <v>52091288.272014245</v>
      </c>
      <c r="AN34" s="1">
        <f t="shared" si="52"/>
        <v>57184740.11043755</v>
      </c>
      <c r="AO34" s="1">
        <f t="shared" ref="AO34" si="53">AO30</f>
        <v>62776226.312973045</v>
      </c>
    </row>
    <row r="36" spans="1:41" ht="15" x14ac:dyDescent="0.3">
      <c r="A36" s="102" t="s">
        <v>77</v>
      </c>
      <c r="B36" s="104" t="s">
        <v>1</v>
      </c>
      <c r="C36" s="105"/>
      <c r="D36" s="105">
        <f>Base.Year</f>
        <v>2019</v>
      </c>
      <c r="E36" s="105">
        <f>D36+1</f>
        <v>2020</v>
      </c>
      <c r="F36" s="105">
        <f t="shared" ref="F36:AO36" si="54">E36+1</f>
        <v>2021</v>
      </c>
      <c r="G36" s="105">
        <f t="shared" si="54"/>
        <v>2022</v>
      </c>
      <c r="H36" s="105">
        <f t="shared" si="54"/>
        <v>2023</v>
      </c>
      <c r="I36" s="105">
        <f t="shared" si="54"/>
        <v>2024</v>
      </c>
      <c r="J36" s="105">
        <f t="shared" si="54"/>
        <v>2025</v>
      </c>
      <c r="K36" s="105">
        <f t="shared" si="54"/>
        <v>2026</v>
      </c>
      <c r="L36" s="105">
        <f t="shared" si="54"/>
        <v>2027</v>
      </c>
      <c r="M36" s="105">
        <f t="shared" si="54"/>
        <v>2028</v>
      </c>
      <c r="N36" s="105">
        <f t="shared" si="54"/>
        <v>2029</v>
      </c>
      <c r="O36" s="105">
        <f t="shared" si="54"/>
        <v>2030</v>
      </c>
      <c r="P36" s="105">
        <f t="shared" si="54"/>
        <v>2031</v>
      </c>
      <c r="Q36" s="105">
        <f t="shared" si="54"/>
        <v>2032</v>
      </c>
      <c r="R36" s="105">
        <f t="shared" si="54"/>
        <v>2033</v>
      </c>
      <c r="S36" s="105">
        <f t="shared" si="54"/>
        <v>2034</v>
      </c>
      <c r="T36" s="105">
        <f t="shared" si="54"/>
        <v>2035</v>
      </c>
      <c r="U36" s="105">
        <f t="shared" si="54"/>
        <v>2036</v>
      </c>
      <c r="V36" s="105">
        <f t="shared" si="54"/>
        <v>2037</v>
      </c>
      <c r="W36" s="105">
        <f t="shared" si="54"/>
        <v>2038</v>
      </c>
      <c r="X36" s="105">
        <f t="shared" si="54"/>
        <v>2039</v>
      </c>
      <c r="Y36" s="105">
        <f t="shared" si="54"/>
        <v>2040</v>
      </c>
      <c r="Z36" s="105">
        <f t="shared" si="54"/>
        <v>2041</v>
      </c>
      <c r="AA36" s="105">
        <f t="shared" si="54"/>
        <v>2042</v>
      </c>
      <c r="AB36" s="105">
        <f t="shared" si="54"/>
        <v>2043</v>
      </c>
      <c r="AC36" s="105">
        <f t="shared" si="54"/>
        <v>2044</v>
      </c>
      <c r="AD36" s="105">
        <f t="shared" si="54"/>
        <v>2045</v>
      </c>
      <c r="AE36" s="105">
        <f t="shared" si="54"/>
        <v>2046</v>
      </c>
      <c r="AF36" s="105">
        <f t="shared" si="54"/>
        <v>2047</v>
      </c>
      <c r="AG36" s="105">
        <f t="shared" si="54"/>
        <v>2048</v>
      </c>
      <c r="AH36" s="105">
        <f t="shared" si="54"/>
        <v>2049</v>
      </c>
      <c r="AI36" s="105">
        <f t="shared" si="54"/>
        <v>2050</v>
      </c>
      <c r="AJ36" s="105">
        <f t="shared" si="54"/>
        <v>2051</v>
      </c>
      <c r="AK36" s="105">
        <f t="shared" si="54"/>
        <v>2052</v>
      </c>
      <c r="AL36" s="105">
        <f t="shared" si="54"/>
        <v>2053</v>
      </c>
      <c r="AM36" s="105">
        <f t="shared" si="54"/>
        <v>2054</v>
      </c>
      <c r="AN36" s="105">
        <f t="shared" si="54"/>
        <v>2055</v>
      </c>
      <c r="AO36" s="105">
        <f t="shared" si="54"/>
        <v>2056</v>
      </c>
    </row>
    <row r="37" spans="1:41" ht="15" x14ac:dyDescent="0.3">
      <c r="A37" s="108" t="s">
        <v>72</v>
      </c>
      <c r="B37" s="133" t="s">
        <v>78</v>
      </c>
      <c r="D37" s="1">
        <f t="shared" ref="D37:AN37" si="55">D22-D34</f>
        <v>0</v>
      </c>
      <c r="E37" s="1">
        <f t="shared" si="55"/>
        <v>0</v>
      </c>
      <c r="F37" s="1">
        <f t="shared" si="55"/>
        <v>0</v>
      </c>
      <c r="G37" s="1">
        <f t="shared" si="55"/>
        <v>0</v>
      </c>
      <c r="H37" s="1">
        <f t="shared" si="55"/>
        <v>0</v>
      </c>
      <c r="I37" s="1">
        <f t="shared" si="55"/>
        <v>0</v>
      </c>
      <c r="J37" s="1">
        <f t="shared" si="55"/>
        <v>0</v>
      </c>
      <c r="K37" s="1">
        <f t="shared" si="55"/>
        <v>0</v>
      </c>
      <c r="L37" s="1">
        <f>L22-L34</f>
        <v>708850.29367833771</v>
      </c>
      <c r="M37" s="1">
        <f t="shared" si="55"/>
        <v>760023.6989800455</v>
      </c>
      <c r="N37" s="1">
        <f t="shared" si="55"/>
        <v>814494.399553339</v>
      </c>
      <c r="O37" s="1">
        <f t="shared" si="55"/>
        <v>872424.26123188622</v>
      </c>
      <c r="P37" s="1">
        <f t="shared" si="55"/>
        <v>933975.87297432125</v>
      </c>
      <c r="Q37" s="1">
        <f t="shared" si="55"/>
        <v>999311.19656096492</v>
      </c>
      <c r="R37" s="1">
        <f t="shared" si="55"/>
        <v>1068589.9505678462</v>
      </c>
      <c r="S37" s="1">
        <f t="shared" si="55"/>
        <v>1141967.6900579548</v>
      </c>
      <c r="T37" s="1">
        <f t="shared" si="55"/>
        <v>1219593.5384759642</v>
      </c>
      <c r="U37" s="1">
        <f t="shared" si="55"/>
        <v>1301607.5226831958</v>
      </c>
      <c r="V37" s="1">
        <f t="shared" si="55"/>
        <v>1388137.4558558129</v>
      </c>
      <c r="W37" s="1">
        <f t="shared" si="55"/>
        <v>1479295.3060144503</v>
      </c>
      <c r="X37" s="1">
        <f t="shared" si="55"/>
        <v>1575172.9801730122</v>
      </c>
      <c r="Y37" s="1">
        <f t="shared" si="55"/>
        <v>1675837.4453935493</v>
      </c>
      <c r="Z37" s="1">
        <f t="shared" si="55"/>
        <v>1781325.0983079486</v>
      </c>
      <c r="AA37" s="1">
        <f t="shared" si="55"/>
        <v>1891635.2837991975</v>
      </c>
      <c r="AB37" s="1">
        <f t="shared" si="55"/>
        <v>2006722.8513951562</v>
      </c>
      <c r="AC37" s="1">
        <f t="shared" si="55"/>
        <v>2126489.6243728399</v>
      </c>
      <c r="AD37" s="1">
        <f t="shared" si="55"/>
        <v>2250774.6414400116</v>
      </c>
      <c r="AE37" s="1">
        <f t="shared" si="55"/>
        <v>2379343.0139776208</v>
      </c>
      <c r="AF37" s="1">
        <f t="shared" si="55"/>
        <v>2511873.2229921594</v>
      </c>
      <c r="AG37" s="1">
        <f t="shared" si="55"/>
        <v>2647942.6589241773</v>
      </c>
      <c r="AH37" s="1">
        <f t="shared" si="55"/>
        <v>2787011.1840438619</v>
      </c>
      <c r="AI37" s="1">
        <f t="shared" si="55"/>
        <v>2928402.4710682854</v>
      </c>
      <c r="AJ37" s="1">
        <f t="shared" si="55"/>
        <v>3071282.8425573632</v>
      </c>
      <c r="AK37" s="1">
        <f t="shared" si="55"/>
        <v>3214637.3032560721</v>
      </c>
      <c r="AL37" s="1">
        <f t="shared" si="55"/>
        <v>3357242.421480298</v>
      </c>
      <c r="AM37" s="1">
        <f t="shared" si="55"/>
        <v>3497635.6754850969</v>
      </c>
      <c r="AN37" s="1">
        <f t="shared" si="55"/>
        <v>3634080.8360538855</v>
      </c>
      <c r="AO37" s="1">
        <f t="shared" ref="AO37" si="56">AO22-AO34</f>
        <v>3764528.9068045095</v>
      </c>
    </row>
    <row r="38" spans="1:41" ht="15" x14ac:dyDescent="0.3">
      <c r="A38" s="108" t="s">
        <v>73</v>
      </c>
      <c r="B38" s="133" t="s">
        <v>78</v>
      </c>
      <c r="D38" s="1">
        <f t="shared" ref="D38:AN38" si="57">D37*D6</f>
        <v>0</v>
      </c>
      <c r="E38" s="1">
        <f t="shared" si="57"/>
        <v>0</v>
      </c>
      <c r="F38" s="1">
        <f t="shared" si="57"/>
        <v>0</v>
      </c>
      <c r="G38" s="1">
        <f t="shared" si="57"/>
        <v>0</v>
      </c>
      <c r="H38" s="1">
        <f t="shared" si="57"/>
        <v>0</v>
      </c>
      <c r="I38" s="1">
        <f t="shared" si="57"/>
        <v>0</v>
      </c>
      <c r="J38" s="1">
        <f t="shared" si="57"/>
        <v>0</v>
      </c>
      <c r="K38" s="1">
        <f t="shared" si="57"/>
        <v>0</v>
      </c>
      <c r="L38" s="1">
        <f t="shared" si="57"/>
        <v>412557.32469439384</v>
      </c>
      <c r="M38" s="1">
        <f t="shared" si="57"/>
        <v>413402.53503886412</v>
      </c>
      <c r="N38" s="1">
        <f t="shared" si="57"/>
        <v>414047.65146063187</v>
      </c>
      <c r="O38" s="1">
        <f t="shared" si="57"/>
        <v>414482.48190503125</v>
      </c>
      <c r="P38" s="1">
        <f t="shared" si="57"/>
        <v>414696.45724290446</v>
      </c>
      <c r="Q38" s="1">
        <f t="shared" si="57"/>
        <v>414678.61894975469</v>
      </c>
      <c r="R38" s="1">
        <f t="shared" si="57"/>
        <v>414417.60640806169</v>
      </c>
      <c r="S38" s="1">
        <f t="shared" si="57"/>
        <v>413901.64382168557</v>
      </c>
      <c r="T38" s="1">
        <f t="shared" si="57"/>
        <v>413118.52673098532</v>
      </c>
      <c r="U38" s="1">
        <f t="shared" si="57"/>
        <v>412055.60811693314</v>
      </c>
      <c r="V38" s="1">
        <f t="shared" si="57"/>
        <v>410699.78408220049</v>
      </c>
      <c r="W38" s="1">
        <f t="shared" si="57"/>
        <v>409037.47909681534</v>
      </c>
      <c r="X38" s="1">
        <f t="shared" si="57"/>
        <v>407054.63079565961</v>
      </c>
      <c r="Y38" s="1">
        <f t="shared" si="57"/>
        <v>404736.67431471229</v>
      </c>
      <c r="Z38" s="1">
        <f t="shared" si="57"/>
        <v>402068.52615255193</v>
      </c>
      <c r="AA38" s="1">
        <f t="shared" si="57"/>
        <v>399034.56754327653</v>
      </c>
      <c r="AB38" s="1">
        <f t="shared" si="57"/>
        <v>395618.62732656585</v>
      </c>
      <c r="AC38" s="1">
        <f t="shared" si="57"/>
        <v>391803.96430027194</v>
      </c>
      <c r="AD38" s="1">
        <f t="shared" si="57"/>
        <v>387573.24904040736</v>
      </c>
      <c r="AE38" s="1">
        <f t="shared" si="57"/>
        <v>382908.54517308337</v>
      </c>
      <c r="AF38" s="1">
        <f t="shared" si="57"/>
        <v>377791.29008242366</v>
      </c>
      <c r="AG38" s="1">
        <f t="shared" si="57"/>
        <v>372202.27503807546</v>
      </c>
      <c r="AH38" s="1">
        <f t="shared" si="57"/>
        <v>366121.62472544209</v>
      </c>
      <c r="AI38" s="1">
        <f t="shared" si="57"/>
        <v>359528.77616132493</v>
      </c>
      <c r="AJ38" s="1">
        <f t="shared" si="57"/>
        <v>352402.45697712875</v>
      </c>
      <c r="AK38" s="1">
        <f t="shared" si="57"/>
        <v>344720.66305130109</v>
      </c>
      <c r="AL38" s="1">
        <f t="shared" si="57"/>
        <v>336460.63547215186</v>
      </c>
      <c r="AM38" s="1">
        <f t="shared" si="57"/>
        <v>327598.83681167633</v>
      </c>
      <c r="AN38" s="1">
        <f t="shared" si="57"/>
        <v>318110.92669042997</v>
      </c>
      <c r="AO38" s="1">
        <f t="shared" ref="AO38" si="58">AO37*AO6</f>
        <v>307971.7366129866</v>
      </c>
    </row>
    <row r="39" spans="1:41" x14ac:dyDescent="0.3">
      <c r="A39" s="108" t="s">
        <v>74</v>
      </c>
      <c r="B39" s="133" t="s">
        <v>78</v>
      </c>
      <c r="D39" s="1">
        <f t="shared" ref="D39:AN39" si="59">D37*D7</f>
        <v>0</v>
      </c>
      <c r="E39" s="1">
        <f t="shared" si="59"/>
        <v>0</v>
      </c>
      <c r="F39" s="1">
        <f t="shared" si="59"/>
        <v>0</v>
      </c>
      <c r="G39" s="1">
        <f t="shared" si="59"/>
        <v>0</v>
      </c>
      <c r="H39" s="1">
        <f t="shared" si="59"/>
        <v>0</v>
      </c>
      <c r="I39" s="1">
        <f t="shared" si="59"/>
        <v>0</v>
      </c>
      <c r="J39" s="1">
        <f t="shared" si="59"/>
        <v>0</v>
      </c>
      <c r="K39" s="1">
        <f t="shared" si="59"/>
        <v>0</v>
      </c>
      <c r="L39" s="1">
        <f t="shared" si="59"/>
        <v>559572.96757582505</v>
      </c>
      <c r="M39" s="1">
        <f t="shared" si="59"/>
        <v>582494.87987600279</v>
      </c>
      <c r="N39" s="1">
        <f t="shared" si="59"/>
        <v>606060.32642510149</v>
      </c>
      <c r="O39" s="1">
        <f t="shared" si="59"/>
        <v>630257.84853487136</v>
      </c>
      <c r="P39" s="1">
        <f t="shared" si="59"/>
        <v>655071.88588985708</v>
      </c>
      <c r="Q39" s="1">
        <f t="shared" si="59"/>
        <v>680482.29836837505</v>
      </c>
      <c r="R39" s="1">
        <f t="shared" si="59"/>
        <v>706463.84343924129</v>
      </c>
      <c r="S39" s="1">
        <f t="shared" si="59"/>
        <v>732985.60540473007</v>
      </c>
      <c r="T39" s="1">
        <f t="shared" si="59"/>
        <v>760010.37246469536</v>
      </c>
      <c r="U39" s="1">
        <f t="shared" si="59"/>
        <v>787493.95725860458</v>
      </c>
      <c r="V39" s="1">
        <f t="shared" si="59"/>
        <v>815384.45619989012</v>
      </c>
      <c r="W39" s="1">
        <f t="shared" si="59"/>
        <v>843621.44254851155</v>
      </c>
      <c r="X39" s="1">
        <f t="shared" si="59"/>
        <v>872135.08777122945</v>
      </c>
      <c r="Y39" s="1">
        <f t="shared" si="59"/>
        <v>900845.20531259652</v>
      </c>
      <c r="Z39" s="1">
        <f t="shared" si="59"/>
        <v>929660.2104408528</v>
      </c>
      <c r="AA39" s="1">
        <f t="shared" si="59"/>
        <v>958475.98933951708</v>
      </c>
      <c r="AB39" s="1">
        <f t="shared" si="59"/>
        <v>987174.67008469335</v>
      </c>
      <c r="AC39" s="1">
        <f t="shared" si="59"/>
        <v>1015623.287577603</v>
      </c>
      <c r="AD39" s="1">
        <f t="shared" si="59"/>
        <v>1043672.3338880239</v>
      </c>
      <c r="AE39" s="1">
        <f t="shared" si="59"/>
        <v>1071154.1848049152</v>
      </c>
      <c r="AF39" s="1">
        <f t="shared" si="59"/>
        <v>1097881.3926811456</v>
      </c>
      <c r="AG39" s="1">
        <f t="shared" si="59"/>
        <v>1123644.8348971293</v>
      </c>
      <c r="AH39" s="1">
        <f t="shared" si="59"/>
        <v>1148211.7064488216</v>
      </c>
      <c r="AI39" s="1">
        <f t="shared" si="59"/>
        <v>1171323.3442852397</v>
      </c>
      <c r="AJ39" s="1">
        <f t="shared" si="59"/>
        <v>1192692.8700744759</v>
      </c>
      <c r="AK39" s="1">
        <f t="shared" si="59"/>
        <v>1212002.6370606958</v>
      </c>
      <c r="AL39" s="1">
        <f t="shared" si="59"/>
        <v>1228901.4655824904</v>
      </c>
      <c r="AM39" s="1">
        <f t="shared" si="59"/>
        <v>1243001.6506497278</v>
      </c>
      <c r="AN39" s="1">
        <f t="shared" si="59"/>
        <v>1253875.7237157037</v>
      </c>
      <c r="AO39" s="1">
        <f t="shared" ref="AO39" si="60">AO37*AO7</f>
        <v>1261052.9494279204</v>
      </c>
    </row>
    <row r="40" spans="1:41" x14ac:dyDescent="0.3">
      <c r="F40" s="1"/>
      <c r="G40" s="1"/>
    </row>
    <row r="41" spans="1:41" s="109" customFormat="1" x14ac:dyDescent="0.3">
      <c r="A41" s="113" t="s">
        <v>43</v>
      </c>
      <c r="B41" s="112"/>
      <c r="C41" s="111"/>
      <c r="D41" s="111"/>
      <c r="E41" s="111"/>
      <c r="F41" s="111"/>
      <c r="G41" s="111"/>
      <c r="H41" s="111"/>
      <c r="I41" s="111"/>
      <c r="J41" s="111"/>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row>
    <row r="42" spans="1:41" x14ac:dyDescent="0.3">
      <c r="A42" s="114" t="s">
        <v>75</v>
      </c>
      <c r="B42" s="115" t="s">
        <v>78</v>
      </c>
      <c r="C42" s="115"/>
      <c r="D42" s="119">
        <f>D37</f>
        <v>0</v>
      </c>
      <c r="E42" s="119">
        <f>E37</f>
        <v>0</v>
      </c>
      <c r="F42" s="119">
        <f>F37</f>
        <v>0</v>
      </c>
      <c r="G42" s="119">
        <f t="shared" ref="G42:AF42" si="61">G37</f>
        <v>0</v>
      </c>
      <c r="H42" s="119">
        <f t="shared" si="61"/>
        <v>0</v>
      </c>
      <c r="I42" s="119">
        <f t="shared" si="61"/>
        <v>0</v>
      </c>
      <c r="J42" s="119">
        <f t="shared" si="61"/>
        <v>0</v>
      </c>
      <c r="K42" s="119">
        <f t="shared" si="61"/>
        <v>0</v>
      </c>
      <c r="L42" s="119">
        <f t="shared" si="61"/>
        <v>708850.29367833771</v>
      </c>
      <c r="M42" s="119">
        <f t="shared" si="61"/>
        <v>760023.6989800455</v>
      </c>
      <c r="N42" s="119">
        <f t="shared" si="61"/>
        <v>814494.399553339</v>
      </c>
      <c r="O42" s="119">
        <f t="shared" si="61"/>
        <v>872424.26123188622</v>
      </c>
      <c r="P42" s="119">
        <f t="shared" si="61"/>
        <v>933975.87297432125</v>
      </c>
      <c r="Q42" s="119">
        <f t="shared" si="61"/>
        <v>999311.19656096492</v>
      </c>
      <c r="R42" s="119">
        <f t="shared" si="61"/>
        <v>1068589.9505678462</v>
      </c>
      <c r="S42" s="119">
        <f t="shared" si="61"/>
        <v>1141967.6900579548</v>
      </c>
      <c r="T42" s="119">
        <f t="shared" si="61"/>
        <v>1219593.5384759642</v>
      </c>
      <c r="U42" s="119">
        <f t="shared" si="61"/>
        <v>1301607.5226831958</v>
      </c>
      <c r="V42" s="119">
        <f t="shared" si="61"/>
        <v>1388137.4558558129</v>
      </c>
      <c r="W42" s="119">
        <f t="shared" si="61"/>
        <v>1479295.3060144503</v>
      </c>
      <c r="X42" s="119">
        <f t="shared" si="61"/>
        <v>1575172.9801730122</v>
      </c>
      <c r="Y42" s="119">
        <f t="shared" si="61"/>
        <v>1675837.4453935493</v>
      </c>
      <c r="Z42" s="119">
        <f t="shared" si="61"/>
        <v>1781325.0983079486</v>
      </c>
      <c r="AA42" s="119">
        <f t="shared" si="61"/>
        <v>1891635.2837991975</v>
      </c>
      <c r="AB42" s="119">
        <f t="shared" si="61"/>
        <v>2006722.8513951562</v>
      </c>
      <c r="AC42" s="119">
        <f t="shared" si="61"/>
        <v>2126489.6243728399</v>
      </c>
      <c r="AD42" s="119">
        <f t="shared" si="61"/>
        <v>2250774.6414400116</v>
      </c>
      <c r="AE42" s="119">
        <f t="shared" si="61"/>
        <v>2379343.0139776208</v>
      </c>
      <c r="AF42" s="119">
        <f t="shared" si="61"/>
        <v>2511873.2229921594</v>
      </c>
      <c r="AG42" s="119">
        <f t="shared" ref="AG42:AH42" si="62">AG37</f>
        <v>2647942.6589241773</v>
      </c>
      <c r="AH42" s="119">
        <f t="shared" si="62"/>
        <v>2787011.1840438619</v>
      </c>
      <c r="AI42" s="119">
        <f t="shared" ref="AI42:AN42" si="63">AI37</f>
        <v>2928402.4710682854</v>
      </c>
      <c r="AJ42" s="119">
        <f t="shared" si="63"/>
        <v>3071282.8425573632</v>
      </c>
      <c r="AK42" s="119">
        <f t="shared" si="63"/>
        <v>3214637.3032560721</v>
      </c>
      <c r="AL42" s="119">
        <f t="shared" si="63"/>
        <v>3357242.421480298</v>
      </c>
      <c r="AM42" s="119">
        <f t="shared" si="63"/>
        <v>3497635.6754850969</v>
      </c>
      <c r="AN42" s="119">
        <f t="shared" si="63"/>
        <v>3634080.8360538855</v>
      </c>
      <c r="AO42" s="119">
        <f t="shared" ref="AO42" si="64">AO37</f>
        <v>3764528.9068045095</v>
      </c>
    </row>
    <row r="44" spans="1:41" x14ac:dyDescent="0.3">
      <c r="H44" s="139"/>
      <c r="I44" s="139"/>
      <c r="J44" s="5"/>
      <c r="K44" s="1"/>
    </row>
    <row r="45" spans="1:41" x14ac:dyDescent="0.3">
      <c r="H45" s="1"/>
      <c r="J45" s="5"/>
    </row>
    <row r="46" spans="1:41" x14ac:dyDescent="0.3">
      <c r="F46" s="1"/>
    </row>
  </sheetData>
  <mergeCells count="1">
    <mergeCell ref="A2:B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9" tint="0.39997558519241921"/>
  </sheetPr>
  <dimension ref="A2:AP29"/>
  <sheetViews>
    <sheetView showGridLines="0" zoomScale="85" zoomScaleNormal="85" zoomScaleSheetLayoutView="85" workbookViewId="0"/>
  </sheetViews>
  <sheetFormatPr defaultRowHeight="14.4" outlineLevelCol="1" x14ac:dyDescent="0.3"/>
  <cols>
    <col min="1" max="1" width="56.33203125" customWidth="1"/>
    <col min="2" max="2" width="14.77734375" customWidth="1"/>
    <col min="3" max="3" width="15.109375" customWidth="1"/>
    <col min="4" max="30" width="9" bestFit="1" customWidth="1"/>
    <col min="31" max="31" width="14.109375" bestFit="1" customWidth="1"/>
    <col min="32" max="32" width="10.44140625" hidden="1" customWidth="1" outlineLevel="1"/>
    <col min="33" max="33" width="0" hidden="1" customWidth="1" outlineLevel="1"/>
    <col min="34" max="34" width="13.33203125" hidden="1" customWidth="1" outlineLevel="1"/>
    <col min="35" max="39" width="11.33203125" hidden="1" customWidth="1" outlineLevel="1"/>
    <col min="40" max="40" width="14.109375" hidden="1" customWidth="1" outlineLevel="1"/>
    <col min="41" max="41" width="15.5546875" hidden="1" customWidth="1" outlineLevel="1"/>
    <col min="42" max="42" width="8.88671875" collapsed="1"/>
  </cols>
  <sheetData>
    <row r="2" spans="1:41" ht="23.4" x14ac:dyDescent="0.45">
      <c r="A2" s="585" t="s">
        <v>239</v>
      </c>
      <c r="B2" s="585"/>
      <c r="C2" s="107"/>
      <c r="D2" s="107"/>
      <c r="E2" s="107"/>
      <c r="F2" s="107"/>
      <c r="G2" s="107"/>
      <c r="H2" s="107"/>
    </row>
    <row r="3" spans="1:41" ht="15.6" customHeight="1" x14ac:dyDescent="0.45">
      <c r="A3" s="488"/>
      <c r="B3" s="488"/>
      <c r="C3" s="107"/>
      <c r="D3" s="107"/>
      <c r="E3" s="107"/>
      <c r="F3" s="107"/>
      <c r="G3" s="107"/>
      <c r="H3" s="107"/>
    </row>
    <row r="4" spans="1:41" ht="15" x14ac:dyDescent="0.3">
      <c r="A4" s="96"/>
      <c r="B4" s="104" t="s">
        <v>1</v>
      </c>
      <c r="C4" s="105" t="s">
        <v>69</v>
      </c>
      <c r="D4" s="317">
        <f>Base.Year</f>
        <v>2019</v>
      </c>
      <c r="E4" s="317">
        <f>D4+1</f>
        <v>2020</v>
      </c>
      <c r="F4" s="317">
        <f t="shared" ref="F4:AO5" si="0">E4+1</f>
        <v>2021</v>
      </c>
      <c r="G4" s="317">
        <f t="shared" si="0"/>
        <v>2022</v>
      </c>
      <c r="H4" s="317">
        <f t="shared" si="0"/>
        <v>2023</v>
      </c>
      <c r="I4" s="317">
        <f t="shared" si="0"/>
        <v>2024</v>
      </c>
      <c r="J4" s="317">
        <f t="shared" si="0"/>
        <v>2025</v>
      </c>
      <c r="K4" s="317">
        <f t="shared" si="0"/>
        <v>2026</v>
      </c>
      <c r="L4" s="317">
        <f t="shared" si="0"/>
        <v>2027</v>
      </c>
      <c r="M4" s="317">
        <f t="shared" si="0"/>
        <v>2028</v>
      </c>
      <c r="N4" s="317">
        <f t="shared" si="0"/>
        <v>2029</v>
      </c>
      <c r="O4" s="317">
        <f t="shared" si="0"/>
        <v>2030</v>
      </c>
      <c r="P4" s="317">
        <f t="shared" si="0"/>
        <v>2031</v>
      </c>
      <c r="Q4" s="317">
        <f t="shared" si="0"/>
        <v>2032</v>
      </c>
      <c r="R4" s="317">
        <f t="shared" si="0"/>
        <v>2033</v>
      </c>
      <c r="S4" s="317">
        <f t="shared" si="0"/>
        <v>2034</v>
      </c>
      <c r="T4" s="317">
        <f t="shared" si="0"/>
        <v>2035</v>
      </c>
      <c r="U4" s="317">
        <f t="shared" si="0"/>
        <v>2036</v>
      </c>
      <c r="V4" s="317">
        <f t="shared" si="0"/>
        <v>2037</v>
      </c>
      <c r="W4" s="317">
        <f t="shared" si="0"/>
        <v>2038</v>
      </c>
      <c r="X4" s="317">
        <f t="shared" si="0"/>
        <v>2039</v>
      </c>
      <c r="Y4" s="317">
        <f t="shared" si="0"/>
        <v>2040</v>
      </c>
      <c r="Z4" s="317">
        <f t="shared" si="0"/>
        <v>2041</v>
      </c>
      <c r="AA4" s="317">
        <f t="shared" si="0"/>
        <v>2042</v>
      </c>
      <c r="AB4" s="317">
        <f t="shared" si="0"/>
        <v>2043</v>
      </c>
      <c r="AC4" s="317">
        <f t="shared" si="0"/>
        <v>2044</v>
      </c>
      <c r="AD4" s="317">
        <f t="shared" si="0"/>
        <v>2045</v>
      </c>
      <c r="AE4" s="317">
        <f t="shared" si="0"/>
        <v>2046</v>
      </c>
      <c r="AF4" s="317">
        <f t="shared" si="0"/>
        <v>2047</v>
      </c>
      <c r="AG4" s="317">
        <f t="shared" si="0"/>
        <v>2048</v>
      </c>
      <c r="AH4" s="317">
        <f t="shared" si="0"/>
        <v>2049</v>
      </c>
      <c r="AI4" s="317">
        <f t="shared" si="0"/>
        <v>2050</v>
      </c>
      <c r="AJ4" s="317">
        <f t="shared" si="0"/>
        <v>2051</v>
      </c>
      <c r="AK4" s="317">
        <f t="shared" si="0"/>
        <v>2052</v>
      </c>
      <c r="AL4" s="317">
        <f t="shared" si="0"/>
        <v>2053</v>
      </c>
      <c r="AM4" s="317">
        <f t="shared" si="0"/>
        <v>2054</v>
      </c>
      <c r="AN4" s="317">
        <f t="shared" si="0"/>
        <v>2055</v>
      </c>
      <c r="AO4" s="317">
        <f t="shared" si="0"/>
        <v>2056</v>
      </c>
    </row>
    <row r="5" spans="1:41" ht="18.3" x14ac:dyDescent="0.35">
      <c r="A5" s="98" t="s">
        <v>61</v>
      </c>
      <c r="B5" s="136" t="s">
        <v>2</v>
      </c>
      <c r="C5" s="106"/>
      <c r="D5" s="4">
        <v>0</v>
      </c>
      <c r="E5" s="4">
        <v>0</v>
      </c>
      <c r="F5" s="4">
        <v>0</v>
      </c>
      <c r="G5" s="4">
        <v>0</v>
      </c>
      <c r="H5" s="4">
        <v>0</v>
      </c>
      <c r="I5" s="4">
        <v>0</v>
      </c>
      <c r="J5" s="4">
        <v>0</v>
      </c>
      <c r="K5" s="4">
        <v>0</v>
      </c>
      <c r="L5" s="4">
        <f t="shared" si="0"/>
        <v>1</v>
      </c>
      <c r="M5" s="4">
        <f t="shared" ref="M5" si="1">L5+1</f>
        <v>2</v>
      </c>
      <c r="N5" s="4">
        <f t="shared" ref="N5" si="2">M5+1</f>
        <v>3</v>
      </c>
      <c r="O5" s="4">
        <f t="shared" ref="O5:AA5" si="3">N5+1</f>
        <v>4</v>
      </c>
      <c r="P5" s="4">
        <f t="shared" si="3"/>
        <v>5</v>
      </c>
      <c r="Q5" s="4">
        <f t="shared" si="3"/>
        <v>6</v>
      </c>
      <c r="R5" s="4">
        <f t="shared" si="3"/>
        <v>7</v>
      </c>
      <c r="S5" s="4">
        <f t="shared" si="3"/>
        <v>8</v>
      </c>
      <c r="T5" s="4">
        <f t="shared" si="3"/>
        <v>9</v>
      </c>
      <c r="U5" s="4">
        <f t="shared" si="3"/>
        <v>10</v>
      </c>
      <c r="V5" s="4">
        <f t="shared" si="3"/>
        <v>11</v>
      </c>
      <c r="W5" s="4">
        <f t="shared" si="3"/>
        <v>12</v>
      </c>
      <c r="X5" s="4">
        <f t="shared" si="3"/>
        <v>13</v>
      </c>
      <c r="Y5" s="4">
        <f t="shared" si="3"/>
        <v>14</v>
      </c>
      <c r="Z5" s="4">
        <f t="shared" si="3"/>
        <v>15</v>
      </c>
      <c r="AA5" s="4">
        <f t="shared" si="3"/>
        <v>16</v>
      </c>
      <c r="AB5" s="4">
        <f t="shared" ref="AB5" si="4">AA5+1</f>
        <v>17</v>
      </c>
      <c r="AC5" s="4">
        <f t="shared" ref="AC5" si="5">AB5+1</f>
        <v>18</v>
      </c>
      <c r="AD5" s="4">
        <f t="shared" ref="AD5" si="6">AC5+1</f>
        <v>19</v>
      </c>
      <c r="AE5" s="4">
        <f t="shared" ref="AE5" si="7">AD5+1</f>
        <v>20</v>
      </c>
      <c r="AF5" s="4">
        <f t="shared" ref="AF5" si="8">AE5+1</f>
        <v>21</v>
      </c>
      <c r="AG5" s="4">
        <f t="shared" ref="AG5" si="9">AF5+1</f>
        <v>22</v>
      </c>
      <c r="AH5" s="4">
        <f t="shared" ref="AH5" si="10">AG5+1</f>
        <v>23</v>
      </c>
      <c r="AI5" s="4">
        <f t="shared" ref="AI5" si="11">AH5+1</f>
        <v>24</v>
      </c>
      <c r="AJ5" s="4">
        <f t="shared" ref="AJ5" si="12">AI5+1</f>
        <v>25</v>
      </c>
      <c r="AK5" s="4">
        <f t="shared" ref="AK5" si="13">AJ5+1</f>
        <v>26</v>
      </c>
      <c r="AL5" s="4">
        <f t="shared" ref="AL5" si="14">AK5+1</f>
        <v>27</v>
      </c>
      <c r="AM5" s="4">
        <f t="shared" ref="AM5" si="15">AL5+1</f>
        <v>28</v>
      </c>
      <c r="AN5" s="4">
        <f t="shared" ref="AN5:AO5" si="16">AM5+1</f>
        <v>29</v>
      </c>
      <c r="AO5" s="4">
        <f t="shared" si="16"/>
        <v>30</v>
      </c>
    </row>
    <row r="6" spans="1:41" ht="15" x14ac:dyDescent="0.3">
      <c r="A6" s="98" t="s">
        <v>60</v>
      </c>
      <c r="B6" s="137" t="s">
        <v>5</v>
      </c>
      <c r="C6" s="99">
        <v>7.0000000000000007E-2</v>
      </c>
      <c r="D6" s="259">
        <f t="shared" ref="D6:AF6" si="17">1/(1+Real_discount_rate)^(D4-$D$4)</f>
        <v>1</v>
      </c>
      <c r="E6" s="255">
        <f t="shared" si="17"/>
        <v>0.93457943925233644</v>
      </c>
      <c r="F6" s="255">
        <f t="shared" si="17"/>
        <v>0.87343872827321156</v>
      </c>
      <c r="G6" s="255">
        <f t="shared" si="17"/>
        <v>0.81629787689085187</v>
      </c>
      <c r="H6" s="255">
        <f t="shared" si="17"/>
        <v>0.7628952120475252</v>
      </c>
      <c r="I6" s="255">
        <f t="shared" si="17"/>
        <v>0.71298617948366838</v>
      </c>
      <c r="J6" s="255">
        <f t="shared" si="17"/>
        <v>0.66634222381651254</v>
      </c>
      <c r="K6" s="255">
        <f t="shared" si="17"/>
        <v>0.62274974188459109</v>
      </c>
      <c r="L6" s="255">
        <f t="shared" si="17"/>
        <v>0.5820091045650384</v>
      </c>
      <c r="M6" s="255">
        <f t="shared" si="17"/>
        <v>0.54393374258414806</v>
      </c>
      <c r="N6" s="255">
        <f t="shared" si="17"/>
        <v>0.5083492921347178</v>
      </c>
      <c r="O6" s="255">
        <f t="shared" si="17"/>
        <v>0.47509279638758667</v>
      </c>
      <c r="P6" s="255">
        <f t="shared" si="17"/>
        <v>0.44401195924073528</v>
      </c>
      <c r="Q6" s="255">
        <f t="shared" si="17"/>
        <v>0.41496444788853759</v>
      </c>
      <c r="R6" s="255">
        <f t="shared" si="17"/>
        <v>0.3878172410173249</v>
      </c>
      <c r="S6" s="255">
        <f t="shared" si="17"/>
        <v>0.36244601964235967</v>
      </c>
      <c r="T6" s="255">
        <f t="shared" si="17"/>
        <v>0.33873459779659787</v>
      </c>
      <c r="U6" s="255">
        <f t="shared" si="17"/>
        <v>0.31657439046411018</v>
      </c>
      <c r="V6" s="255">
        <f t="shared" si="17"/>
        <v>0.29586391632159825</v>
      </c>
      <c r="W6" s="255">
        <f t="shared" si="17"/>
        <v>0.27650833301083949</v>
      </c>
      <c r="X6" s="255">
        <f t="shared" si="17"/>
        <v>0.2584190028138687</v>
      </c>
      <c r="Y6" s="255">
        <f t="shared" si="17"/>
        <v>0.24151308674193336</v>
      </c>
      <c r="Z6" s="255">
        <f t="shared" si="17"/>
        <v>0.22571316517937698</v>
      </c>
      <c r="AA6" s="255">
        <f t="shared" si="17"/>
        <v>0.21094688334521211</v>
      </c>
      <c r="AB6" s="255">
        <f t="shared" si="17"/>
        <v>0.19714661994879637</v>
      </c>
      <c r="AC6" s="255">
        <f t="shared" si="17"/>
        <v>0.18424917752223957</v>
      </c>
      <c r="AD6" s="255">
        <f t="shared" si="17"/>
        <v>0.17219549301143888</v>
      </c>
      <c r="AE6" s="255">
        <f t="shared" si="17"/>
        <v>0.16093036730041013</v>
      </c>
      <c r="AF6" s="255">
        <f t="shared" si="17"/>
        <v>0.15040221243028987</v>
      </c>
      <c r="AG6" s="255">
        <f t="shared" ref="AG6:AH6" si="18">1/(1+Real_discount_rate)^(AG4-$D$4)</f>
        <v>0.1405628153554111</v>
      </c>
      <c r="AH6" s="255">
        <f t="shared" si="18"/>
        <v>0.13136711715458982</v>
      </c>
      <c r="AI6" s="255">
        <f t="shared" ref="AI6:AN6" si="19">1/(1+Real_discount_rate)^(AI4-$D$4)</f>
        <v>0.1227730066865325</v>
      </c>
      <c r="AJ6" s="255">
        <f t="shared" si="19"/>
        <v>0.11474112774442291</v>
      </c>
      <c r="AK6" s="255">
        <f t="shared" si="19"/>
        <v>0.10723469882656347</v>
      </c>
      <c r="AL6" s="255">
        <f t="shared" si="19"/>
        <v>0.10021934469772288</v>
      </c>
      <c r="AM6" s="255">
        <f t="shared" si="19"/>
        <v>9.366293896983445E-2</v>
      </c>
      <c r="AN6" s="255">
        <f t="shared" si="19"/>
        <v>8.7535456981153698E-2</v>
      </c>
      <c r="AO6" s="255">
        <f t="shared" ref="AO6" si="20">1/(1+Real_discount_rate)^(AO4-$D$4)</f>
        <v>8.1808838300143641E-2</v>
      </c>
    </row>
    <row r="7" spans="1:41" ht="15" x14ac:dyDescent="0.3">
      <c r="A7" s="98" t="s">
        <v>60</v>
      </c>
      <c r="B7" s="137" t="s">
        <v>5</v>
      </c>
      <c r="C7" s="99">
        <v>0.03</v>
      </c>
      <c r="D7" s="259">
        <f t="shared" ref="D7:AF7" si="21">1/(1+Real_discount_rate_Sensitivity)^(D4-$D$4)</f>
        <v>1</v>
      </c>
      <c r="E7" s="255">
        <f t="shared" si="21"/>
        <v>0.970873786407767</v>
      </c>
      <c r="F7" s="255">
        <f t="shared" si="21"/>
        <v>0.94259590913375435</v>
      </c>
      <c r="G7" s="255">
        <f t="shared" si="21"/>
        <v>0.91514165935315961</v>
      </c>
      <c r="H7" s="255">
        <f t="shared" si="21"/>
        <v>0.888487047915689</v>
      </c>
      <c r="I7" s="255">
        <f t="shared" si="21"/>
        <v>0.86260878438416411</v>
      </c>
      <c r="J7" s="255">
        <f t="shared" si="21"/>
        <v>0.83748425668365445</v>
      </c>
      <c r="K7" s="255">
        <f t="shared" si="21"/>
        <v>0.81309151134335378</v>
      </c>
      <c r="L7" s="255">
        <f t="shared" si="21"/>
        <v>0.78940923431393573</v>
      </c>
      <c r="M7" s="255">
        <f t="shared" si="21"/>
        <v>0.76641673234362695</v>
      </c>
      <c r="N7" s="255">
        <f t="shared" si="21"/>
        <v>0.74409391489672516</v>
      </c>
      <c r="O7" s="255">
        <f t="shared" si="21"/>
        <v>0.72242127659876232</v>
      </c>
      <c r="P7" s="255">
        <f t="shared" si="21"/>
        <v>0.70137988019297326</v>
      </c>
      <c r="Q7" s="255">
        <f t="shared" si="21"/>
        <v>0.68095133999317792</v>
      </c>
      <c r="R7" s="255">
        <f t="shared" si="21"/>
        <v>0.66111780581861923</v>
      </c>
      <c r="S7" s="255">
        <f t="shared" si="21"/>
        <v>0.64186194739671765</v>
      </c>
      <c r="T7" s="255">
        <f t="shared" si="21"/>
        <v>0.62316693922011435</v>
      </c>
      <c r="U7" s="255">
        <f t="shared" si="21"/>
        <v>0.60501644584477121</v>
      </c>
      <c r="V7" s="255">
        <f t="shared" si="21"/>
        <v>0.5873946076162827</v>
      </c>
      <c r="W7" s="255">
        <f t="shared" si="21"/>
        <v>0.57028602681192497</v>
      </c>
      <c r="X7" s="255">
        <f t="shared" si="21"/>
        <v>0.55367575418633497</v>
      </c>
      <c r="Y7" s="255">
        <f t="shared" si="21"/>
        <v>0.5375492759090631</v>
      </c>
      <c r="Z7" s="255">
        <f t="shared" si="21"/>
        <v>0.52189250088258554</v>
      </c>
      <c r="AA7" s="255">
        <f t="shared" si="21"/>
        <v>0.50669174842969467</v>
      </c>
      <c r="AB7" s="255">
        <f t="shared" si="21"/>
        <v>0.49193373633950943</v>
      </c>
      <c r="AC7" s="255">
        <f t="shared" si="21"/>
        <v>0.47760556926165965</v>
      </c>
      <c r="AD7" s="255">
        <f t="shared" si="21"/>
        <v>0.46369472743850448</v>
      </c>
      <c r="AE7" s="255">
        <f t="shared" si="21"/>
        <v>0.45018905576553836</v>
      </c>
      <c r="AF7" s="255">
        <f t="shared" si="21"/>
        <v>0.4370767531704256</v>
      </c>
      <c r="AG7" s="255">
        <f t="shared" ref="AG7:AH7" si="22">1/(1+Real_discount_rate_Sensitivity)^(AG4-$D$4)</f>
        <v>0.42434636230138412</v>
      </c>
      <c r="AH7" s="255">
        <f t="shared" si="22"/>
        <v>0.41198675951590691</v>
      </c>
      <c r="AI7" s="255">
        <f t="shared" ref="AI7:AN7" si="23">1/(1+Real_discount_rate_Sensitivity)^(AI4-$D$4)</f>
        <v>0.39998714516107459</v>
      </c>
      <c r="AJ7" s="255">
        <f t="shared" si="23"/>
        <v>0.38833703413696569</v>
      </c>
      <c r="AK7" s="255">
        <f t="shared" si="23"/>
        <v>0.37702624673491814</v>
      </c>
      <c r="AL7" s="255">
        <f t="shared" si="23"/>
        <v>0.36604489974263904</v>
      </c>
      <c r="AM7" s="255">
        <f t="shared" si="23"/>
        <v>0.35538339780838735</v>
      </c>
      <c r="AN7" s="255">
        <f t="shared" si="23"/>
        <v>0.34503242505668674</v>
      </c>
      <c r="AO7" s="255">
        <f t="shared" ref="AO7" si="24">1/(1+Real_discount_rate_Sensitivity)^(AO4-$D$4)</f>
        <v>0.33498293694823961</v>
      </c>
    </row>
    <row r="8" spans="1:41" x14ac:dyDescent="0.3">
      <c r="B8" s="138"/>
    </row>
    <row r="9" spans="1:41" x14ac:dyDescent="0.3">
      <c r="A9" s="263" t="s">
        <v>240</v>
      </c>
      <c r="B9" s="276" t="s">
        <v>114</v>
      </c>
      <c r="C9" s="274">
        <v>60</v>
      </c>
      <c r="D9" s="245"/>
      <c r="E9" s="21"/>
      <c r="F9" s="21"/>
      <c r="G9" s="21"/>
      <c r="H9" s="21"/>
      <c r="I9" s="21"/>
      <c r="J9" s="21"/>
      <c r="K9" s="21"/>
      <c r="L9" s="21"/>
      <c r="M9" s="21"/>
      <c r="N9" s="21"/>
      <c r="O9" s="21"/>
      <c r="P9" s="21"/>
      <c r="Q9" s="21"/>
      <c r="R9" s="21"/>
      <c r="S9" s="21"/>
      <c r="T9" s="21"/>
      <c r="U9" s="21"/>
      <c r="V9" s="21"/>
      <c r="W9" s="21"/>
      <c r="X9" s="21"/>
      <c r="Y9" s="21"/>
      <c r="Z9" s="21"/>
      <c r="AA9" s="21"/>
      <c r="AB9" s="21"/>
      <c r="AC9" s="21"/>
      <c r="AD9" s="21"/>
    </row>
    <row r="10" spans="1:41" x14ac:dyDescent="0.3">
      <c r="A10" s="263" t="s">
        <v>241</v>
      </c>
      <c r="B10" s="276" t="s">
        <v>114</v>
      </c>
      <c r="C10" s="390">
        <f>Project_open_year</f>
        <v>46388</v>
      </c>
      <c r="D10" s="245"/>
      <c r="E10" s="2"/>
      <c r="F10" s="2"/>
      <c r="G10" s="2"/>
      <c r="H10" s="2"/>
      <c r="I10" s="2"/>
      <c r="J10" s="2"/>
      <c r="K10" s="2"/>
      <c r="L10" s="2"/>
      <c r="M10" s="2"/>
      <c r="N10" s="2"/>
      <c r="O10" s="2"/>
      <c r="P10" s="2"/>
      <c r="Q10" s="2"/>
      <c r="R10" s="2"/>
      <c r="S10" s="2"/>
      <c r="T10" s="2"/>
      <c r="U10" s="2"/>
      <c r="V10" s="2"/>
      <c r="W10" s="2"/>
      <c r="X10" s="2"/>
      <c r="Y10" s="2"/>
      <c r="Z10" s="2"/>
      <c r="AA10" s="2"/>
    </row>
    <row r="11" spans="1:41" x14ac:dyDescent="0.3">
      <c r="A11" s="263" t="s">
        <v>242</v>
      </c>
      <c r="B11" s="276" t="s">
        <v>114</v>
      </c>
      <c r="C11" s="270">
        <f>Inputs!E8</f>
        <v>2046</v>
      </c>
      <c r="D11" s="245"/>
      <c r="E11" s="2"/>
      <c r="F11" s="2"/>
      <c r="G11" s="2"/>
      <c r="H11" s="2"/>
      <c r="I11" s="2"/>
      <c r="J11" s="2"/>
      <c r="K11" s="2"/>
      <c r="L11" s="2"/>
      <c r="M11" s="2"/>
      <c r="N11" s="2"/>
      <c r="O11" s="2"/>
      <c r="P11" s="2"/>
      <c r="Q11" s="2"/>
      <c r="R11" s="2"/>
      <c r="S11" s="2"/>
      <c r="T11" s="2"/>
      <c r="U11" s="2"/>
      <c r="V11" s="2"/>
      <c r="W11" s="2"/>
      <c r="X11" s="2"/>
      <c r="Y11" s="2"/>
      <c r="Z11" s="2"/>
      <c r="AA11" s="2"/>
    </row>
    <row r="12" spans="1:41" x14ac:dyDescent="0.3">
      <c r="A12" s="263" t="s">
        <v>254</v>
      </c>
      <c r="B12" s="276" t="s">
        <v>114</v>
      </c>
      <c r="C12" s="270">
        <f>Inputs!E7</f>
        <v>20</v>
      </c>
      <c r="D12" s="245"/>
      <c r="E12" s="2"/>
      <c r="F12" s="2"/>
      <c r="G12" s="2"/>
      <c r="H12" s="2"/>
      <c r="I12" s="2"/>
      <c r="J12" s="2"/>
      <c r="K12" s="2"/>
      <c r="L12" s="2"/>
      <c r="M12" s="2"/>
      <c r="N12" s="2"/>
      <c r="O12" s="2"/>
      <c r="P12" s="2"/>
      <c r="Q12" s="2"/>
      <c r="R12" s="2"/>
      <c r="S12" s="2"/>
      <c r="T12" s="2"/>
      <c r="U12" s="2"/>
      <c r="V12" s="2"/>
      <c r="W12" s="2"/>
      <c r="X12" s="2"/>
      <c r="Y12" s="2"/>
      <c r="Z12" s="2"/>
      <c r="AA12" s="2"/>
    </row>
    <row r="13" spans="1:41" x14ac:dyDescent="0.3">
      <c r="A13" s="101"/>
      <c r="B13" s="103"/>
      <c r="C13" s="245"/>
      <c r="D13" s="245"/>
      <c r="E13" s="245"/>
      <c r="F13" s="2"/>
      <c r="G13" s="2"/>
      <c r="H13" s="2"/>
      <c r="I13" s="2"/>
      <c r="J13" s="2"/>
      <c r="K13" s="2"/>
      <c r="L13" s="2"/>
      <c r="M13" s="2"/>
      <c r="N13" s="2"/>
      <c r="O13" s="2"/>
      <c r="P13" s="2"/>
      <c r="Q13" s="2"/>
      <c r="R13" s="2"/>
      <c r="S13" s="2"/>
      <c r="T13" s="2"/>
      <c r="U13" s="2"/>
      <c r="V13" s="2"/>
      <c r="W13" s="2"/>
      <c r="X13" s="2"/>
      <c r="Y13" s="2"/>
      <c r="Z13" s="2"/>
      <c r="AA13" s="2"/>
    </row>
    <row r="14" spans="1:41" ht="15" x14ac:dyDescent="0.3">
      <c r="A14" s="102" t="s">
        <v>239</v>
      </c>
      <c r="B14" s="104" t="s">
        <v>1</v>
      </c>
      <c r="C14" s="105" t="s">
        <v>69</v>
      </c>
      <c r="D14" s="317">
        <f>Base.Year</f>
        <v>2019</v>
      </c>
      <c r="E14" s="317">
        <f>D14+1</f>
        <v>2020</v>
      </c>
      <c r="F14" s="317">
        <f t="shared" ref="F14:AO14" si="25">E14+1</f>
        <v>2021</v>
      </c>
      <c r="G14" s="317">
        <f t="shared" si="25"/>
        <v>2022</v>
      </c>
      <c r="H14" s="317">
        <f t="shared" si="25"/>
        <v>2023</v>
      </c>
      <c r="I14" s="317">
        <f t="shared" si="25"/>
        <v>2024</v>
      </c>
      <c r="J14" s="317">
        <f t="shared" si="25"/>
        <v>2025</v>
      </c>
      <c r="K14" s="317">
        <f t="shared" si="25"/>
        <v>2026</v>
      </c>
      <c r="L14" s="317">
        <f t="shared" si="25"/>
        <v>2027</v>
      </c>
      <c r="M14" s="317">
        <f t="shared" si="25"/>
        <v>2028</v>
      </c>
      <c r="N14" s="317">
        <f t="shared" si="25"/>
        <v>2029</v>
      </c>
      <c r="O14" s="317">
        <f t="shared" si="25"/>
        <v>2030</v>
      </c>
      <c r="P14" s="317">
        <f t="shared" si="25"/>
        <v>2031</v>
      </c>
      <c r="Q14" s="317">
        <f t="shared" si="25"/>
        <v>2032</v>
      </c>
      <c r="R14" s="317">
        <f t="shared" si="25"/>
        <v>2033</v>
      </c>
      <c r="S14" s="317">
        <f t="shared" si="25"/>
        <v>2034</v>
      </c>
      <c r="T14" s="317">
        <f t="shared" si="25"/>
        <v>2035</v>
      </c>
      <c r="U14" s="317">
        <f t="shared" si="25"/>
        <v>2036</v>
      </c>
      <c r="V14" s="317">
        <f t="shared" si="25"/>
        <v>2037</v>
      </c>
      <c r="W14" s="317">
        <f t="shared" si="25"/>
        <v>2038</v>
      </c>
      <c r="X14" s="317">
        <f t="shared" si="25"/>
        <v>2039</v>
      </c>
      <c r="Y14" s="317">
        <f t="shared" si="25"/>
        <v>2040</v>
      </c>
      <c r="Z14" s="317">
        <f t="shared" si="25"/>
        <v>2041</v>
      </c>
      <c r="AA14" s="317">
        <f t="shared" si="25"/>
        <v>2042</v>
      </c>
      <c r="AB14" s="317">
        <f t="shared" si="25"/>
        <v>2043</v>
      </c>
      <c r="AC14" s="317">
        <f t="shared" si="25"/>
        <v>2044</v>
      </c>
      <c r="AD14" s="317">
        <f t="shared" si="25"/>
        <v>2045</v>
      </c>
      <c r="AE14" s="317">
        <f t="shared" si="25"/>
        <v>2046</v>
      </c>
      <c r="AF14" s="317">
        <f t="shared" si="25"/>
        <v>2047</v>
      </c>
      <c r="AG14" s="317">
        <f t="shared" si="25"/>
        <v>2048</v>
      </c>
      <c r="AH14" s="317">
        <f t="shared" si="25"/>
        <v>2049</v>
      </c>
      <c r="AI14" s="317">
        <f t="shared" si="25"/>
        <v>2050</v>
      </c>
      <c r="AJ14" s="317">
        <f t="shared" si="25"/>
        <v>2051</v>
      </c>
      <c r="AK14" s="317">
        <f t="shared" si="25"/>
        <v>2052</v>
      </c>
      <c r="AL14" s="317">
        <f t="shared" si="25"/>
        <v>2053</v>
      </c>
      <c r="AM14" s="317">
        <f t="shared" si="25"/>
        <v>2054</v>
      </c>
      <c r="AN14" s="317">
        <f t="shared" si="25"/>
        <v>2055</v>
      </c>
      <c r="AO14" s="317">
        <f t="shared" si="25"/>
        <v>2056</v>
      </c>
    </row>
    <row r="15" spans="1:41" s="6" customFormat="1" x14ac:dyDescent="0.3">
      <c r="A15" s="122"/>
      <c r="B15" s="123"/>
      <c r="C15" s="124"/>
      <c r="D15" s="124"/>
      <c r="E15" s="124"/>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row>
    <row r="16" spans="1:41" s="6" customFormat="1" x14ac:dyDescent="0.3">
      <c r="A16" s="126" t="s">
        <v>255</v>
      </c>
      <c r="B16" s="275" t="s">
        <v>252</v>
      </c>
      <c r="C16" s="278"/>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490">
        <f>((C9-C12)/C9)*C17</f>
        <v>68690224.040925473</v>
      </c>
      <c r="AF16" s="279"/>
      <c r="AG16" s="279"/>
      <c r="AH16" s="279"/>
      <c r="AI16" s="279"/>
      <c r="AJ16" s="279"/>
      <c r="AK16" s="279"/>
      <c r="AL16" s="279"/>
      <c r="AM16" s="279"/>
      <c r="AN16" s="357"/>
      <c r="AO16" s="357"/>
    </row>
    <row r="17" spans="1:41" s="6" customFormat="1" x14ac:dyDescent="0.3">
      <c r="A17" s="427" t="s">
        <v>250</v>
      </c>
      <c r="B17" s="275" t="s">
        <v>251</v>
      </c>
      <c r="C17" s="277">
        <f>'Project Costs'!G69/DeflatorRate</f>
        <v>103035336.06138821</v>
      </c>
      <c r="D17" s="126"/>
      <c r="E17" s="126"/>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N17" s="294"/>
    </row>
    <row r="18" spans="1:41" s="6" customFormat="1" x14ac:dyDescent="0.3">
      <c r="A18" s="427" t="s">
        <v>253</v>
      </c>
      <c r="B18" s="275" t="s">
        <v>252</v>
      </c>
      <c r="C18" s="356">
        <f>C17/C9</f>
        <v>1717255.6010231369</v>
      </c>
      <c r="D18" s="126"/>
      <c r="E18" s="126"/>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N18" s="294"/>
    </row>
    <row r="19" spans="1:41" s="6" customFormat="1" x14ac:dyDescent="0.3">
      <c r="A19" s="126"/>
      <c r="B19" s="278"/>
      <c r="C19" s="278"/>
      <c r="D19" s="126"/>
      <c r="E19" s="126"/>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N19" s="294"/>
    </row>
    <row r="20" spans="1:41" s="6" customFormat="1" x14ac:dyDescent="0.3">
      <c r="A20" s="122"/>
      <c r="B20" s="123"/>
      <c r="C20" s="124"/>
      <c r="D20" s="124"/>
      <c r="E20" s="124"/>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row>
    <row r="21" spans="1:41" s="6" customFormat="1" x14ac:dyDescent="0.3">
      <c r="A21" s="68" t="s">
        <v>540</v>
      </c>
      <c r="B21" s="123"/>
      <c r="C21" s="124"/>
      <c r="D21" s="124"/>
      <c r="E21" s="124"/>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428"/>
      <c r="AF21" s="125"/>
      <c r="AG21" s="125"/>
      <c r="AH21" s="125"/>
      <c r="AI21" s="125"/>
      <c r="AJ21" s="125"/>
      <c r="AK21" s="125"/>
      <c r="AL21" s="125"/>
      <c r="AM21" s="125"/>
      <c r="AN21" s="125"/>
      <c r="AO21" s="491">
        <f>((C9-30)/C9)*C17</f>
        <v>51517668.030694105</v>
      </c>
    </row>
    <row r="22" spans="1:41" s="6" customFormat="1" x14ac:dyDescent="0.3">
      <c r="A22" s="122"/>
      <c r="B22" s="123"/>
      <c r="C22" s="124"/>
      <c r="D22" s="124"/>
      <c r="E22" s="124"/>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row>
    <row r="23" spans="1:41" ht="15" x14ac:dyDescent="0.3">
      <c r="A23" s="102" t="s">
        <v>246</v>
      </c>
      <c r="B23" s="104" t="s">
        <v>1</v>
      </c>
      <c r="C23" s="105" t="s">
        <v>69</v>
      </c>
      <c r="D23" s="317">
        <f>Base.Year</f>
        <v>2019</v>
      </c>
      <c r="E23" s="317">
        <f>D23+1</f>
        <v>2020</v>
      </c>
      <c r="F23" s="317">
        <f t="shared" ref="F23:AO23" si="26">E23+1</f>
        <v>2021</v>
      </c>
      <c r="G23" s="317">
        <f t="shared" si="26"/>
        <v>2022</v>
      </c>
      <c r="H23" s="317">
        <f t="shared" si="26"/>
        <v>2023</v>
      </c>
      <c r="I23" s="317">
        <f t="shared" si="26"/>
        <v>2024</v>
      </c>
      <c r="J23" s="317">
        <f t="shared" si="26"/>
        <v>2025</v>
      </c>
      <c r="K23" s="317">
        <f t="shared" si="26"/>
        <v>2026</v>
      </c>
      <c r="L23" s="317">
        <f t="shared" si="26"/>
        <v>2027</v>
      </c>
      <c r="M23" s="317">
        <f t="shared" si="26"/>
        <v>2028</v>
      </c>
      <c r="N23" s="317">
        <f t="shared" si="26"/>
        <v>2029</v>
      </c>
      <c r="O23" s="317">
        <f t="shared" si="26"/>
        <v>2030</v>
      </c>
      <c r="P23" s="317">
        <f t="shared" si="26"/>
        <v>2031</v>
      </c>
      <c r="Q23" s="317">
        <f t="shared" si="26"/>
        <v>2032</v>
      </c>
      <c r="R23" s="317">
        <f t="shared" si="26"/>
        <v>2033</v>
      </c>
      <c r="S23" s="317">
        <f t="shared" si="26"/>
        <v>2034</v>
      </c>
      <c r="T23" s="317">
        <f t="shared" si="26"/>
        <v>2035</v>
      </c>
      <c r="U23" s="317">
        <f t="shared" si="26"/>
        <v>2036</v>
      </c>
      <c r="V23" s="317">
        <f t="shared" si="26"/>
        <v>2037</v>
      </c>
      <c r="W23" s="317">
        <f t="shared" si="26"/>
        <v>2038</v>
      </c>
      <c r="X23" s="317">
        <f t="shared" si="26"/>
        <v>2039</v>
      </c>
      <c r="Y23" s="317">
        <f t="shared" si="26"/>
        <v>2040</v>
      </c>
      <c r="Z23" s="317">
        <f t="shared" si="26"/>
        <v>2041</v>
      </c>
      <c r="AA23" s="317">
        <f t="shared" si="26"/>
        <v>2042</v>
      </c>
      <c r="AB23" s="317">
        <f t="shared" si="26"/>
        <v>2043</v>
      </c>
      <c r="AC23" s="317">
        <f t="shared" si="26"/>
        <v>2044</v>
      </c>
      <c r="AD23" s="317">
        <f t="shared" si="26"/>
        <v>2045</v>
      </c>
      <c r="AE23" s="317">
        <f t="shared" si="26"/>
        <v>2046</v>
      </c>
      <c r="AF23" s="317">
        <f t="shared" si="26"/>
        <v>2047</v>
      </c>
      <c r="AG23" s="317">
        <f t="shared" si="26"/>
        <v>2048</v>
      </c>
      <c r="AH23" s="317">
        <f t="shared" si="26"/>
        <v>2049</v>
      </c>
      <c r="AI23" s="317">
        <f t="shared" si="26"/>
        <v>2050</v>
      </c>
      <c r="AJ23" s="317">
        <f t="shared" si="26"/>
        <v>2051</v>
      </c>
      <c r="AK23" s="317">
        <f t="shared" si="26"/>
        <v>2052</v>
      </c>
      <c r="AL23" s="317">
        <f t="shared" si="26"/>
        <v>2053</v>
      </c>
      <c r="AM23" s="317">
        <f t="shared" si="26"/>
        <v>2054</v>
      </c>
      <c r="AN23" s="317">
        <f t="shared" si="26"/>
        <v>2055</v>
      </c>
      <c r="AO23" s="317">
        <f t="shared" si="26"/>
        <v>2056</v>
      </c>
    </row>
    <row r="24" spans="1:41" x14ac:dyDescent="0.3">
      <c r="A24" s="108" t="s">
        <v>72</v>
      </c>
      <c r="B24" s="133" t="s">
        <v>78</v>
      </c>
      <c r="D24" s="3">
        <f t="shared" ref="D24:AO24" si="27">D16</f>
        <v>0</v>
      </c>
      <c r="E24" s="3">
        <f t="shared" si="27"/>
        <v>0</v>
      </c>
      <c r="F24" s="3">
        <f t="shared" si="27"/>
        <v>0</v>
      </c>
      <c r="G24" s="3">
        <f t="shared" si="27"/>
        <v>0</v>
      </c>
      <c r="H24" s="3">
        <f t="shared" si="27"/>
        <v>0</v>
      </c>
      <c r="I24" s="3">
        <f t="shared" si="27"/>
        <v>0</v>
      </c>
      <c r="J24" s="3">
        <f t="shared" si="27"/>
        <v>0</v>
      </c>
      <c r="K24" s="3">
        <f t="shared" si="27"/>
        <v>0</v>
      </c>
      <c r="L24" s="3">
        <f t="shared" si="27"/>
        <v>0</v>
      </c>
      <c r="M24" s="3">
        <f t="shared" si="27"/>
        <v>0</v>
      </c>
      <c r="N24" s="3">
        <f t="shared" si="27"/>
        <v>0</v>
      </c>
      <c r="O24" s="3">
        <f t="shared" si="27"/>
        <v>0</v>
      </c>
      <c r="P24" s="3">
        <f t="shared" si="27"/>
        <v>0</v>
      </c>
      <c r="Q24" s="3">
        <f t="shared" si="27"/>
        <v>0</v>
      </c>
      <c r="R24" s="3">
        <f t="shared" si="27"/>
        <v>0</v>
      </c>
      <c r="S24" s="3">
        <f t="shared" si="27"/>
        <v>0</v>
      </c>
      <c r="T24" s="3">
        <f t="shared" si="27"/>
        <v>0</v>
      </c>
      <c r="U24" s="3">
        <f t="shared" si="27"/>
        <v>0</v>
      </c>
      <c r="V24" s="3">
        <f t="shared" si="27"/>
        <v>0</v>
      </c>
      <c r="W24" s="3">
        <f t="shared" si="27"/>
        <v>0</v>
      </c>
      <c r="X24" s="3">
        <f t="shared" si="27"/>
        <v>0</v>
      </c>
      <c r="Y24" s="3">
        <f t="shared" si="27"/>
        <v>0</v>
      </c>
      <c r="Z24" s="3">
        <f t="shared" si="27"/>
        <v>0</v>
      </c>
      <c r="AA24" s="3">
        <f t="shared" si="27"/>
        <v>0</v>
      </c>
      <c r="AB24" s="3">
        <f t="shared" si="27"/>
        <v>0</v>
      </c>
      <c r="AC24" s="3">
        <f t="shared" si="27"/>
        <v>0</v>
      </c>
      <c r="AD24" s="3">
        <f t="shared" si="27"/>
        <v>0</v>
      </c>
      <c r="AE24" s="3">
        <f t="shared" si="27"/>
        <v>68690224.040925473</v>
      </c>
      <c r="AF24" s="3">
        <f t="shared" si="27"/>
        <v>0</v>
      </c>
      <c r="AG24" s="3">
        <f t="shared" si="27"/>
        <v>0</v>
      </c>
      <c r="AH24" s="3">
        <f t="shared" si="27"/>
        <v>0</v>
      </c>
      <c r="AI24" s="3">
        <f t="shared" si="27"/>
        <v>0</v>
      </c>
      <c r="AJ24" s="3">
        <f t="shared" si="27"/>
        <v>0</v>
      </c>
      <c r="AK24" s="3">
        <f t="shared" si="27"/>
        <v>0</v>
      </c>
      <c r="AL24" s="3">
        <f t="shared" si="27"/>
        <v>0</v>
      </c>
      <c r="AM24" s="3">
        <f t="shared" si="27"/>
        <v>0</v>
      </c>
      <c r="AN24" s="3">
        <f t="shared" si="27"/>
        <v>0</v>
      </c>
      <c r="AO24" s="3">
        <f t="shared" si="27"/>
        <v>0</v>
      </c>
    </row>
    <row r="25" spans="1:41" x14ac:dyDescent="0.3">
      <c r="A25" s="108" t="s">
        <v>73</v>
      </c>
      <c r="B25" s="133" t="s">
        <v>78</v>
      </c>
      <c r="D25" s="1">
        <f t="shared" ref="D25:AO25" si="28">D24*D6</f>
        <v>0</v>
      </c>
      <c r="E25" s="1">
        <f t="shared" si="28"/>
        <v>0</v>
      </c>
      <c r="F25" s="1">
        <f t="shared" si="28"/>
        <v>0</v>
      </c>
      <c r="G25" s="1">
        <f t="shared" si="28"/>
        <v>0</v>
      </c>
      <c r="H25" s="1">
        <f t="shared" si="28"/>
        <v>0</v>
      </c>
      <c r="I25" s="1">
        <f t="shared" si="28"/>
        <v>0</v>
      </c>
      <c r="J25" s="1">
        <f t="shared" si="28"/>
        <v>0</v>
      </c>
      <c r="K25" s="1">
        <f t="shared" si="28"/>
        <v>0</v>
      </c>
      <c r="L25" s="1">
        <f t="shared" si="28"/>
        <v>0</v>
      </c>
      <c r="M25" s="1">
        <f t="shared" si="28"/>
        <v>0</v>
      </c>
      <c r="N25" s="1">
        <f t="shared" si="28"/>
        <v>0</v>
      </c>
      <c r="O25" s="1">
        <f t="shared" si="28"/>
        <v>0</v>
      </c>
      <c r="P25" s="1">
        <f t="shared" si="28"/>
        <v>0</v>
      </c>
      <c r="Q25" s="1">
        <f t="shared" si="28"/>
        <v>0</v>
      </c>
      <c r="R25" s="1">
        <f t="shared" si="28"/>
        <v>0</v>
      </c>
      <c r="S25" s="1">
        <f t="shared" si="28"/>
        <v>0</v>
      </c>
      <c r="T25" s="1">
        <f t="shared" si="28"/>
        <v>0</v>
      </c>
      <c r="U25" s="1">
        <f t="shared" si="28"/>
        <v>0</v>
      </c>
      <c r="V25" s="1">
        <f t="shared" si="28"/>
        <v>0</v>
      </c>
      <c r="W25" s="1">
        <f t="shared" si="28"/>
        <v>0</v>
      </c>
      <c r="X25" s="1">
        <f t="shared" si="28"/>
        <v>0</v>
      </c>
      <c r="Y25" s="1">
        <f t="shared" si="28"/>
        <v>0</v>
      </c>
      <c r="Z25" s="1">
        <f t="shared" si="28"/>
        <v>0</v>
      </c>
      <c r="AA25" s="1">
        <f t="shared" si="28"/>
        <v>0</v>
      </c>
      <c r="AB25" s="1">
        <f t="shared" si="28"/>
        <v>0</v>
      </c>
      <c r="AC25" s="1">
        <f t="shared" si="28"/>
        <v>0</v>
      </c>
      <c r="AD25" s="1">
        <f t="shared" si="28"/>
        <v>0</v>
      </c>
      <c r="AE25" s="1">
        <f t="shared" si="28"/>
        <v>11054342.984853599</v>
      </c>
      <c r="AF25" s="1">
        <f t="shared" si="28"/>
        <v>0</v>
      </c>
      <c r="AG25" s="1">
        <f t="shared" si="28"/>
        <v>0</v>
      </c>
      <c r="AH25" s="1">
        <f t="shared" si="28"/>
        <v>0</v>
      </c>
      <c r="AI25" s="1">
        <f t="shared" si="28"/>
        <v>0</v>
      </c>
      <c r="AJ25" s="1">
        <f t="shared" si="28"/>
        <v>0</v>
      </c>
      <c r="AK25" s="1">
        <f t="shared" si="28"/>
        <v>0</v>
      </c>
      <c r="AL25" s="1">
        <f t="shared" si="28"/>
        <v>0</v>
      </c>
      <c r="AM25" s="1">
        <f t="shared" si="28"/>
        <v>0</v>
      </c>
      <c r="AN25" s="1">
        <f t="shared" si="28"/>
        <v>0</v>
      </c>
      <c r="AO25" s="1">
        <f t="shared" si="28"/>
        <v>0</v>
      </c>
    </row>
    <row r="26" spans="1:41" ht="15" x14ac:dyDescent="0.3">
      <c r="A26" s="108" t="s">
        <v>74</v>
      </c>
      <c r="B26" s="133" t="s">
        <v>78</v>
      </c>
      <c r="D26" s="1">
        <f t="shared" ref="D26:AO26" si="29">D24*D7</f>
        <v>0</v>
      </c>
      <c r="E26" s="1">
        <f t="shared" si="29"/>
        <v>0</v>
      </c>
      <c r="F26" s="1">
        <f t="shared" si="29"/>
        <v>0</v>
      </c>
      <c r="G26" s="1">
        <f t="shared" si="29"/>
        <v>0</v>
      </c>
      <c r="H26" s="1">
        <f t="shared" si="29"/>
        <v>0</v>
      </c>
      <c r="I26" s="1">
        <f t="shared" si="29"/>
        <v>0</v>
      </c>
      <c r="J26" s="1">
        <f t="shared" si="29"/>
        <v>0</v>
      </c>
      <c r="K26" s="1">
        <f t="shared" si="29"/>
        <v>0</v>
      </c>
      <c r="L26" s="1">
        <f t="shared" si="29"/>
        <v>0</v>
      </c>
      <c r="M26" s="1">
        <f t="shared" si="29"/>
        <v>0</v>
      </c>
      <c r="N26" s="1">
        <f t="shared" si="29"/>
        <v>0</v>
      </c>
      <c r="O26" s="1">
        <f t="shared" si="29"/>
        <v>0</v>
      </c>
      <c r="P26" s="1">
        <f t="shared" si="29"/>
        <v>0</v>
      </c>
      <c r="Q26" s="1">
        <f t="shared" si="29"/>
        <v>0</v>
      </c>
      <c r="R26" s="1">
        <f t="shared" si="29"/>
        <v>0</v>
      </c>
      <c r="S26" s="1">
        <f t="shared" si="29"/>
        <v>0</v>
      </c>
      <c r="T26" s="1">
        <f t="shared" si="29"/>
        <v>0</v>
      </c>
      <c r="U26" s="1">
        <f t="shared" si="29"/>
        <v>0</v>
      </c>
      <c r="V26" s="1">
        <f t="shared" si="29"/>
        <v>0</v>
      </c>
      <c r="W26" s="1">
        <f t="shared" si="29"/>
        <v>0</v>
      </c>
      <c r="X26" s="1">
        <f t="shared" si="29"/>
        <v>0</v>
      </c>
      <c r="Y26" s="1">
        <f t="shared" si="29"/>
        <v>0</v>
      </c>
      <c r="Z26" s="1">
        <f t="shared" si="29"/>
        <v>0</v>
      </c>
      <c r="AA26" s="1">
        <f t="shared" si="29"/>
        <v>0</v>
      </c>
      <c r="AB26" s="1">
        <f t="shared" si="29"/>
        <v>0</v>
      </c>
      <c r="AC26" s="1">
        <f t="shared" si="29"/>
        <v>0</v>
      </c>
      <c r="AD26" s="1">
        <f t="shared" si="29"/>
        <v>0</v>
      </c>
      <c r="AE26" s="1">
        <f t="shared" si="29"/>
        <v>30923587.101307523</v>
      </c>
      <c r="AF26" s="1">
        <f t="shared" si="29"/>
        <v>0</v>
      </c>
      <c r="AG26" s="1">
        <f t="shared" si="29"/>
        <v>0</v>
      </c>
      <c r="AH26" s="1">
        <f t="shared" si="29"/>
        <v>0</v>
      </c>
      <c r="AI26" s="1">
        <f t="shared" si="29"/>
        <v>0</v>
      </c>
      <c r="AJ26" s="1">
        <f t="shared" si="29"/>
        <v>0</v>
      </c>
      <c r="AK26" s="1">
        <f t="shared" si="29"/>
        <v>0</v>
      </c>
      <c r="AL26" s="1">
        <f t="shared" si="29"/>
        <v>0</v>
      </c>
      <c r="AM26" s="1">
        <f t="shared" si="29"/>
        <v>0</v>
      </c>
      <c r="AN26" s="1">
        <f t="shared" si="29"/>
        <v>0</v>
      </c>
      <c r="AO26" s="1">
        <f t="shared" si="29"/>
        <v>0</v>
      </c>
    </row>
    <row r="28" spans="1:41" s="109" customFormat="1" ht="15" x14ac:dyDescent="0.3">
      <c r="A28" s="113" t="s">
        <v>43</v>
      </c>
      <c r="B28" s="112"/>
      <c r="C28" s="111"/>
      <c r="D28" s="111"/>
      <c r="E28" s="111"/>
      <c r="F28" s="116"/>
      <c r="G28" s="116"/>
      <c r="H28" s="116"/>
      <c r="I28" s="116"/>
      <c r="J28" s="116"/>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row>
    <row r="29" spans="1:41" ht="15" x14ac:dyDescent="0.3">
      <c r="A29" s="114" t="s">
        <v>246</v>
      </c>
      <c r="B29" s="115" t="s">
        <v>78</v>
      </c>
      <c r="C29" s="118"/>
      <c r="D29" s="119">
        <f t="shared" ref="D29:E29" si="30">D24</f>
        <v>0</v>
      </c>
      <c r="E29" s="119">
        <f t="shared" si="30"/>
        <v>0</v>
      </c>
      <c r="F29" s="119">
        <f>F24</f>
        <v>0</v>
      </c>
      <c r="G29" s="119">
        <f t="shared" ref="G29:AA29" si="31">G24</f>
        <v>0</v>
      </c>
      <c r="H29" s="119">
        <f t="shared" si="31"/>
        <v>0</v>
      </c>
      <c r="I29" s="119">
        <f t="shared" si="31"/>
        <v>0</v>
      </c>
      <c r="J29" s="119">
        <f t="shared" si="31"/>
        <v>0</v>
      </c>
      <c r="K29" s="119">
        <f t="shared" si="31"/>
        <v>0</v>
      </c>
      <c r="L29" s="119">
        <f t="shared" si="31"/>
        <v>0</v>
      </c>
      <c r="M29" s="119">
        <f t="shared" si="31"/>
        <v>0</v>
      </c>
      <c r="N29" s="119">
        <f t="shared" si="31"/>
        <v>0</v>
      </c>
      <c r="O29" s="119">
        <f t="shared" si="31"/>
        <v>0</v>
      </c>
      <c r="P29" s="119">
        <f t="shared" si="31"/>
        <v>0</v>
      </c>
      <c r="Q29" s="119">
        <f t="shared" si="31"/>
        <v>0</v>
      </c>
      <c r="R29" s="119">
        <f t="shared" si="31"/>
        <v>0</v>
      </c>
      <c r="S29" s="119">
        <f t="shared" si="31"/>
        <v>0</v>
      </c>
      <c r="T29" s="119">
        <f t="shared" si="31"/>
        <v>0</v>
      </c>
      <c r="U29" s="119">
        <f t="shared" si="31"/>
        <v>0</v>
      </c>
      <c r="V29" s="119">
        <f t="shared" si="31"/>
        <v>0</v>
      </c>
      <c r="W29" s="119">
        <f t="shared" si="31"/>
        <v>0</v>
      </c>
      <c r="X29" s="119">
        <f t="shared" si="31"/>
        <v>0</v>
      </c>
      <c r="Y29" s="119">
        <f t="shared" si="31"/>
        <v>0</v>
      </c>
      <c r="Z29" s="119">
        <f t="shared" si="31"/>
        <v>0</v>
      </c>
      <c r="AA29" s="119">
        <f t="shared" si="31"/>
        <v>0</v>
      </c>
      <c r="AB29" s="119">
        <f t="shared" ref="AB29:AF29" si="32">AB24</f>
        <v>0</v>
      </c>
      <c r="AC29" s="119">
        <f t="shared" si="32"/>
        <v>0</v>
      </c>
      <c r="AD29" s="119">
        <f t="shared" si="32"/>
        <v>0</v>
      </c>
      <c r="AE29" s="119">
        <f t="shared" si="32"/>
        <v>68690224.040925473</v>
      </c>
      <c r="AF29" s="119">
        <f t="shared" si="32"/>
        <v>0</v>
      </c>
      <c r="AG29" s="119">
        <f t="shared" ref="AG29:AH29" si="33">AG24</f>
        <v>0</v>
      </c>
      <c r="AH29" s="119">
        <f t="shared" si="33"/>
        <v>0</v>
      </c>
      <c r="AI29" s="119">
        <f t="shared" ref="AI29:AN29" si="34">AI24</f>
        <v>0</v>
      </c>
      <c r="AJ29" s="119">
        <f t="shared" si="34"/>
        <v>0</v>
      </c>
      <c r="AK29" s="119">
        <f t="shared" si="34"/>
        <v>0</v>
      </c>
      <c r="AL29" s="119">
        <f t="shared" si="34"/>
        <v>0</v>
      </c>
      <c r="AM29" s="119">
        <f t="shared" si="34"/>
        <v>0</v>
      </c>
      <c r="AN29" s="119">
        <f t="shared" si="34"/>
        <v>0</v>
      </c>
      <c r="AO29" s="119">
        <f t="shared" ref="AO29" si="35">AO24</f>
        <v>0</v>
      </c>
    </row>
  </sheetData>
  <mergeCells count="1">
    <mergeCell ref="A2:B2"/>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249977111117893"/>
  </sheetPr>
  <dimension ref="A1:AU29"/>
  <sheetViews>
    <sheetView showGridLines="0" zoomScale="89" zoomScaleNormal="89" workbookViewId="0">
      <pane xSplit="3" ySplit="4" topLeftCell="D5" activePane="bottomRight" state="frozen"/>
      <selection activeCell="D20" sqref="D20"/>
      <selection pane="topRight" activeCell="D20" sqref="D20"/>
      <selection pane="bottomLeft" activeCell="D20" sqref="D20"/>
      <selection pane="bottomRight"/>
    </sheetView>
  </sheetViews>
  <sheetFormatPr defaultColWidth="10.5546875" defaultRowHeight="14.4" outlineLevelCol="1" x14ac:dyDescent="0.3"/>
  <cols>
    <col min="1" max="1" width="3.6640625" customWidth="1"/>
    <col min="2" max="2" width="8.6640625" customWidth="1"/>
    <col min="3" max="3" width="58.77734375" customWidth="1"/>
    <col min="4" max="4" width="13.5546875" customWidth="1"/>
    <col min="5" max="5" width="7.77734375" customWidth="1"/>
    <col min="6" max="6" width="11.21875" hidden="1" customWidth="1" outlineLevel="1"/>
    <col min="7" max="7" width="13" hidden="1" customWidth="1" outlineLevel="1"/>
    <col min="8" max="8" width="13.109375" hidden="1" customWidth="1" outlineLevel="1"/>
    <col min="9" max="9" width="12" hidden="1" customWidth="1" outlineLevel="1"/>
    <col min="10" max="10" width="15.6640625" customWidth="1" collapsed="1"/>
    <col min="11" max="11" width="14.109375" customWidth="1"/>
    <col min="12" max="13" width="12.33203125" customWidth="1"/>
    <col min="14" max="14" width="13.44140625" customWidth="1"/>
    <col min="15" max="19" width="14.5546875" customWidth="1"/>
    <col min="20" max="20" width="15" customWidth="1"/>
    <col min="21" max="33" width="15.6640625" customWidth="1"/>
    <col min="34" max="37" width="15.44140625" customWidth="1"/>
    <col min="38" max="38" width="15.44140625" customWidth="1" outlineLevel="1"/>
    <col min="39" max="47" width="10.5546875" customWidth="1" outlineLevel="1"/>
  </cols>
  <sheetData>
    <row r="1" spans="1:47" s="86" customFormat="1" ht="15" x14ac:dyDescent="0.3">
      <c r="B1" s="93"/>
      <c r="L1" s="68"/>
      <c r="M1" s="89"/>
      <c r="P1" s="71"/>
      <c r="Q1" s="71"/>
      <c r="R1" s="71"/>
      <c r="S1" s="71"/>
      <c r="T1" s="71"/>
    </row>
    <row r="2" spans="1:47" s="86" customFormat="1" ht="24.45" x14ac:dyDescent="0.45">
      <c r="B2" s="92" t="s">
        <v>65</v>
      </c>
      <c r="C2" s="91"/>
      <c r="D2" s="91"/>
      <c r="E2" s="91"/>
      <c r="F2" s="91"/>
      <c r="G2" s="91"/>
      <c r="H2" s="91"/>
      <c r="I2" s="91"/>
      <c r="J2" s="91"/>
      <c r="K2" s="91"/>
      <c r="L2" s="90"/>
      <c r="M2" s="89"/>
      <c r="P2" s="88"/>
      <c r="Q2" s="87"/>
      <c r="R2" s="71"/>
      <c r="S2" s="87"/>
      <c r="T2" s="87"/>
    </row>
    <row r="3" spans="1:47" s="81" customFormat="1" ht="15" x14ac:dyDescent="0.3">
      <c r="A3" s="85"/>
      <c r="C3" s="82"/>
      <c r="J3" s="84" t="s">
        <v>64</v>
      </c>
      <c r="K3" s="83">
        <v>2019</v>
      </c>
      <c r="N3" s="82"/>
      <c r="O3" s="82"/>
      <c r="P3" s="82"/>
      <c r="Q3" s="82"/>
      <c r="R3" s="82"/>
      <c r="S3" s="82"/>
      <c r="T3" s="82"/>
      <c r="U3" s="82"/>
      <c r="V3" s="82"/>
      <c r="W3" s="82"/>
      <c r="X3" s="82"/>
      <c r="Y3" s="82"/>
      <c r="Z3" s="82"/>
      <c r="AA3" s="82"/>
      <c r="AB3" s="82"/>
      <c r="AC3" s="82"/>
      <c r="AD3" s="82"/>
      <c r="AE3" s="82"/>
      <c r="AF3" s="82"/>
      <c r="AG3" s="82"/>
    </row>
    <row r="4" spans="1:47" s="75" customFormat="1" ht="13.65" customHeight="1" x14ac:dyDescent="0.3">
      <c r="B4" s="80" t="s">
        <v>63</v>
      </c>
      <c r="C4" s="80" t="s">
        <v>62</v>
      </c>
      <c r="D4" s="79" t="s">
        <v>41</v>
      </c>
      <c r="E4" s="79"/>
      <c r="F4" s="79">
        <v>2015</v>
      </c>
      <c r="G4" s="352">
        <v>2016</v>
      </c>
      <c r="H4" s="352">
        <v>2017</v>
      </c>
      <c r="I4" s="352">
        <v>2018</v>
      </c>
      <c r="J4" s="78">
        <f>Base.Year</f>
        <v>2019</v>
      </c>
      <c r="K4" s="78">
        <f>J4+1</f>
        <v>2020</v>
      </c>
      <c r="L4" s="78">
        <f t="shared" ref="L4:AE5" si="0">K4+1</f>
        <v>2021</v>
      </c>
      <c r="M4" s="78">
        <f t="shared" si="0"/>
        <v>2022</v>
      </c>
      <c r="N4" s="78">
        <f t="shared" si="0"/>
        <v>2023</v>
      </c>
      <c r="O4" s="78">
        <f t="shared" si="0"/>
        <v>2024</v>
      </c>
      <c r="P4" s="78">
        <f t="shared" si="0"/>
        <v>2025</v>
      </c>
      <c r="Q4" s="78">
        <f t="shared" si="0"/>
        <v>2026</v>
      </c>
      <c r="R4" s="78">
        <f t="shared" si="0"/>
        <v>2027</v>
      </c>
      <c r="S4" s="78">
        <f t="shared" si="0"/>
        <v>2028</v>
      </c>
      <c r="T4" s="78">
        <f t="shared" si="0"/>
        <v>2029</v>
      </c>
      <c r="U4" s="78">
        <f t="shared" si="0"/>
        <v>2030</v>
      </c>
      <c r="V4" s="78">
        <f t="shared" si="0"/>
        <v>2031</v>
      </c>
      <c r="W4" s="78">
        <f t="shared" si="0"/>
        <v>2032</v>
      </c>
      <c r="X4" s="78">
        <f t="shared" si="0"/>
        <v>2033</v>
      </c>
      <c r="Y4" s="78">
        <f t="shared" si="0"/>
        <v>2034</v>
      </c>
      <c r="Z4" s="78">
        <f t="shared" si="0"/>
        <v>2035</v>
      </c>
      <c r="AA4" s="78">
        <f t="shared" si="0"/>
        <v>2036</v>
      </c>
      <c r="AB4" s="78">
        <f t="shared" si="0"/>
        <v>2037</v>
      </c>
      <c r="AC4" s="78">
        <f t="shared" si="0"/>
        <v>2038</v>
      </c>
      <c r="AD4" s="78">
        <f t="shared" si="0"/>
        <v>2039</v>
      </c>
      <c r="AE4" s="78">
        <f t="shared" si="0"/>
        <v>2040</v>
      </c>
      <c r="AF4" s="78">
        <f t="shared" ref="AF4:AF5" si="1">AE4+1</f>
        <v>2041</v>
      </c>
      <c r="AG4" s="78">
        <f t="shared" ref="AG4:AG5" si="2">AF4+1</f>
        <v>2042</v>
      </c>
      <c r="AH4" s="78">
        <f t="shared" ref="AH4:AH5" si="3">AG4+1</f>
        <v>2043</v>
      </c>
      <c r="AI4" s="78">
        <f t="shared" ref="AI4:AJ5" si="4">AH4+1</f>
        <v>2044</v>
      </c>
      <c r="AJ4" s="78">
        <f t="shared" si="4"/>
        <v>2045</v>
      </c>
      <c r="AK4" s="78">
        <f t="shared" ref="AK4:AK5" si="5">AJ4+1</f>
        <v>2046</v>
      </c>
      <c r="AL4" s="78">
        <f t="shared" ref="AL4:AL5" si="6">AK4+1</f>
        <v>2047</v>
      </c>
      <c r="AM4" s="78">
        <f t="shared" ref="AM4:AM5" si="7">AL4+1</f>
        <v>2048</v>
      </c>
      <c r="AN4" s="78">
        <f t="shared" ref="AN4:AN5" si="8">AM4+1</f>
        <v>2049</v>
      </c>
      <c r="AO4" s="78">
        <f t="shared" ref="AO4:AO5" si="9">AN4+1</f>
        <v>2050</v>
      </c>
      <c r="AP4" s="78">
        <f t="shared" ref="AP4:AP5" si="10">AO4+1</f>
        <v>2051</v>
      </c>
      <c r="AQ4" s="78">
        <f t="shared" ref="AQ4:AQ5" si="11">AP4+1</f>
        <v>2052</v>
      </c>
      <c r="AR4" s="78">
        <f t="shared" ref="AR4:AR5" si="12">AQ4+1</f>
        <v>2053</v>
      </c>
      <c r="AS4" s="78">
        <f t="shared" ref="AS4:AS5" si="13">AR4+1</f>
        <v>2054</v>
      </c>
      <c r="AT4" s="78">
        <f t="shared" ref="AT4:AU5" si="14">AS4+1</f>
        <v>2055</v>
      </c>
      <c r="AU4" s="78">
        <f t="shared" si="14"/>
        <v>2056</v>
      </c>
    </row>
    <row r="5" spans="1:47" s="75" customFormat="1" ht="13.65" customHeight="1" x14ac:dyDescent="0.3">
      <c r="D5" s="77" t="s">
        <v>61</v>
      </c>
      <c r="E5" s="77"/>
      <c r="F5" s="77"/>
      <c r="G5" s="77"/>
      <c r="H5" s="77"/>
      <c r="I5" s="77"/>
      <c r="J5" s="4">
        <v>0</v>
      </c>
      <c r="K5" s="4">
        <v>0</v>
      </c>
      <c r="L5" s="4">
        <v>0</v>
      </c>
      <c r="M5" s="4">
        <v>0</v>
      </c>
      <c r="N5" s="4">
        <v>0</v>
      </c>
      <c r="O5" s="4">
        <v>0</v>
      </c>
      <c r="P5" s="4">
        <v>0</v>
      </c>
      <c r="Q5" s="4">
        <v>0</v>
      </c>
      <c r="R5" s="4">
        <v>1</v>
      </c>
      <c r="S5" s="4">
        <f t="shared" si="0"/>
        <v>2</v>
      </c>
      <c r="T5" s="4">
        <f t="shared" si="0"/>
        <v>3</v>
      </c>
      <c r="U5" s="4">
        <f t="shared" si="0"/>
        <v>4</v>
      </c>
      <c r="V5" s="4">
        <f t="shared" si="0"/>
        <v>5</v>
      </c>
      <c r="W5" s="4">
        <f t="shared" si="0"/>
        <v>6</v>
      </c>
      <c r="X5" s="4">
        <f t="shared" si="0"/>
        <v>7</v>
      </c>
      <c r="Y5" s="4">
        <f t="shared" si="0"/>
        <v>8</v>
      </c>
      <c r="Z5" s="4">
        <f t="shared" si="0"/>
        <v>9</v>
      </c>
      <c r="AA5" s="4">
        <f t="shared" si="0"/>
        <v>10</v>
      </c>
      <c r="AB5" s="4">
        <f t="shared" si="0"/>
        <v>11</v>
      </c>
      <c r="AC5" s="4">
        <f t="shared" si="0"/>
        <v>12</v>
      </c>
      <c r="AD5" s="4">
        <f t="shared" si="0"/>
        <v>13</v>
      </c>
      <c r="AE5" s="4">
        <f t="shared" si="0"/>
        <v>14</v>
      </c>
      <c r="AF5" s="4">
        <f t="shared" si="1"/>
        <v>15</v>
      </c>
      <c r="AG5" s="4">
        <f t="shared" si="2"/>
        <v>16</v>
      </c>
      <c r="AH5" s="4">
        <f t="shared" si="3"/>
        <v>17</v>
      </c>
      <c r="AI5" s="4">
        <f t="shared" si="4"/>
        <v>18</v>
      </c>
      <c r="AJ5" s="4">
        <f t="shared" si="4"/>
        <v>19</v>
      </c>
      <c r="AK5" s="4">
        <f t="shared" si="5"/>
        <v>20</v>
      </c>
      <c r="AL5" s="4">
        <f t="shared" si="6"/>
        <v>21</v>
      </c>
      <c r="AM5" s="4">
        <f t="shared" si="7"/>
        <v>22</v>
      </c>
      <c r="AN5" s="4">
        <f t="shared" si="8"/>
        <v>23</v>
      </c>
      <c r="AO5" s="4">
        <f t="shared" si="9"/>
        <v>24</v>
      </c>
      <c r="AP5" s="4">
        <f t="shared" si="10"/>
        <v>25</v>
      </c>
      <c r="AQ5" s="4">
        <f t="shared" si="11"/>
        <v>26</v>
      </c>
      <c r="AR5" s="4">
        <f t="shared" si="12"/>
        <v>27</v>
      </c>
      <c r="AS5" s="4">
        <f t="shared" si="13"/>
        <v>28</v>
      </c>
      <c r="AT5" s="4">
        <f t="shared" si="14"/>
        <v>29</v>
      </c>
      <c r="AU5" s="4">
        <f t="shared" si="14"/>
        <v>30</v>
      </c>
    </row>
    <row r="6" spans="1:47" s="75" customFormat="1" ht="13.65" customHeight="1" x14ac:dyDescent="0.3">
      <c r="D6" s="77" t="s">
        <v>60</v>
      </c>
      <c r="E6" s="76">
        <v>7.0000000000000007E-2</v>
      </c>
      <c r="F6" s="353">
        <f t="shared" ref="F6" si="15">1/(1+$E$6)^(F4-$K$3)</f>
        <v>1.31079601</v>
      </c>
      <c r="G6" s="353">
        <f t="shared" ref="G6:I6" si="16">1/(1+$E$6)^(G4-$K$3)</f>
        <v>1.2250430000000001</v>
      </c>
      <c r="H6" s="353">
        <f t="shared" si="16"/>
        <v>1.1449</v>
      </c>
      <c r="I6" s="353">
        <f t="shared" si="16"/>
        <v>1.07</v>
      </c>
      <c r="J6" s="100">
        <f t="shared" ref="J6:AL6" si="17">1/(1+$E$6)^(J4-$K$3)</f>
        <v>1</v>
      </c>
      <c r="K6" s="100">
        <f t="shared" si="17"/>
        <v>0.93457943925233644</v>
      </c>
      <c r="L6" s="100">
        <f t="shared" si="17"/>
        <v>0.87343872827321156</v>
      </c>
      <c r="M6" s="100">
        <f t="shared" si="17"/>
        <v>0.81629787689085187</v>
      </c>
      <c r="N6" s="100">
        <f t="shared" si="17"/>
        <v>0.7628952120475252</v>
      </c>
      <c r="O6" s="100">
        <f t="shared" si="17"/>
        <v>0.71298617948366838</v>
      </c>
      <c r="P6" s="100">
        <f t="shared" si="17"/>
        <v>0.66634222381651254</v>
      </c>
      <c r="Q6" s="100">
        <f t="shared" si="17"/>
        <v>0.62274974188459109</v>
      </c>
      <c r="R6" s="100">
        <f t="shared" si="17"/>
        <v>0.5820091045650384</v>
      </c>
      <c r="S6" s="100">
        <f t="shared" si="17"/>
        <v>0.54393374258414806</v>
      </c>
      <c r="T6" s="100">
        <f t="shared" si="17"/>
        <v>0.5083492921347178</v>
      </c>
      <c r="U6" s="100">
        <f t="shared" si="17"/>
        <v>0.47509279638758667</v>
      </c>
      <c r="V6" s="100">
        <f t="shared" si="17"/>
        <v>0.44401195924073528</v>
      </c>
      <c r="W6" s="100">
        <f t="shared" si="17"/>
        <v>0.41496444788853759</v>
      </c>
      <c r="X6" s="100">
        <f t="shared" si="17"/>
        <v>0.3878172410173249</v>
      </c>
      <c r="Y6" s="100">
        <f t="shared" si="17"/>
        <v>0.36244601964235967</v>
      </c>
      <c r="Z6" s="100">
        <f t="shared" si="17"/>
        <v>0.33873459779659787</v>
      </c>
      <c r="AA6" s="100">
        <f t="shared" si="17"/>
        <v>0.31657439046411018</v>
      </c>
      <c r="AB6" s="100">
        <f t="shared" si="17"/>
        <v>0.29586391632159825</v>
      </c>
      <c r="AC6" s="100">
        <f t="shared" si="17"/>
        <v>0.27650833301083949</v>
      </c>
      <c r="AD6" s="100">
        <f t="shared" si="17"/>
        <v>0.2584190028138687</v>
      </c>
      <c r="AE6" s="100">
        <f t="shared" si="17"/>
        <v>0.24151308674193336</v>
      </c>
      <c r="AF6" s="100">
        <f t="shared" si="17"/>
        <v>0.22571316517937698</v>
      </c>
      <c r="AG6" s="100">
        <f t="shared" si="17"/>
        <v>0.21094688334521211</v>
      </c>
      <c r="AH6" s="100">
        <f t="shared" si="17"/>
        <v>0.19714661994879637</v>
      </c>
      <c r="AI6" s="100">
        <f t="shared" si="17"/>
        <v>0.18424917752223957</v>
      </c>
      <c r="AJ6" s="100">
        <f t="shared" si="17"/>
        <v>0.17219549301143888</v>
      </c>
      <c r="AK6" s="100">
        <f t="shared" si="17"/>
        <v>0.16093036730041013</v>
      </c>
      <c r="AL6" s="100">
        <f t="shared" si="17"/>
        <v>0.15040221243028987</v>
      </c>
      <c r="AM6" s="100">
        <f t="shared" ref="AM6:AT6" si="18">1/(1+$E$6)^(AM4-$K$3)</f>
        <v>0.1405628153554111</v>
      </c>
      <c r="AN6" s="100">
        <f t="shared" si="18"/>
        <v>0.13136711715458982</v>
      </c>
      <c r="AO6" s="100">
        <f t="shared" si="18"/>
        <v>0.1227730066865325</v>
      </c>
      <c r="AP6" s="100">
        <f t="shared" si="18"/>
        <v>0.11474112774442291</v>
      </c>
      <c r="AQ6" s="100">
        <f t="shared" si="18"/>
        <v>0.10723469882656347</v>
      </c>
      <c r="AR6" s="100">
        <f t="shared" si="18"/>
        <v>0.10021934469772288</v>
      </c>
      <c r="AS6" s="100">
        <f t="shared" si="18"/>
        <v>9.366293896983445E-2</v>
      </c>
      <c r="AT6" s="100">
        <f t="shared" si="18"/>
        <v>8.7535456981153698E-2</v>
      </c>
      <c r="AU6" s="100">
        <f t="shared" ref="AU6" si="19">1/(1+$E$6)^(AU4-$K$3)</f>
        <v>8.1808838300143641E-2</v>
      </c>
    </row>
    <row r="7" spans="1:47" s="75" customFormat="1" ht="15" x14ac:dyDescent="0.3">
      <c r="D7" s="77" t="s">
        <v>60</v>
      </c>
      <c r="E7" s="76">
        <v>0.03</v>
      </c>
      <c r="F7" s="353">
        <f t="shared" ref="F7" si="20">1/(1+$E$7)^(F4-$K$3)</f>
        <v>1.1255088099999999</v>
      </c>
      <c r="G7" s="353">
        <f t="shared" ref="G7:I7" si="21">1/(1+$E$7)^(G4-$K$3)</f>
        <v>1.092727</v>
      </c>
      <c r="H7" s="353">
        <f t="shared" si="21"/>
        <v>1.0609</v>
      </c>
      <c r="I7" s="353">
        <f t="shared" si="21"/>
        <v>1.03</v>
      </c>
      <c r="J7" s="100">
        <f t="shared" ref="J7:AL7" si="22">1/(1+$E$7)^(J4-$K$3)</f>
        <v>1</v>
      </c>
      <c r="K7" s="100">
        <f t="shared" si="22"/>
        <v>0.970873786407767</v>
      </c>
      <c r="L7" s="100">
        <f t="shared" si="22"/>
        <v>0.94259590913375435</v>
      </c>
      <c r="M7" s="100">
        <f t="shared" si="22"/>
        <v>0.91514165935315961</v>
      </c>
      <c r="N7" s="100">
        <f t="shared" si="22"/>
        <v>0.888487047915689</v>
      </c>
      <c r="O7" s="100">
        <f t="shared" si="22"/>
        <v>0.86260878438416411</v>
      </c>
      <c r="P7" s="100">
        <f t="shared" si="22"/>
        <v>0.83748425668365445</v>
      </c>
      <c r="Q7" s="100">
        <f t="shared" si="22"/>
        <v>0.81309151134335378</v>
      </c>
      <c r="R7" s="100">
        <f t="shared" si="22"/>
        <v>0.78940923431393573</v>
      </c>
      <c r="S7" s="100">
        <f t="shared" si="22"/>
        <v>0.76641673234362695</v>
      </c>
      <c r="T7" s="100">
        <f t="shared" si="22"/>
        <v>0.74409391489672516</v>
      </c>
      <c r="U7" s="100">
        <f t="shared" si="22"/>
        <v>0.72242127659876232</v>
      </c>
      <c r="V7" s="100">
        <f t="shared" si="22"/>
        <v>0.70137988019297326</v>
      </c>
      <c r="W7" s="100">
        <f t="shared" si="22"/>
        <v>0.68095133999317792</v>
      </c>
      <c r="X7" s="100">
        <f t="shared" si="22"/>
        <v>0.66111780581861923</v>
      </c>
      <c r="Y7" s="100">
        <f t="shared" si="22"/>
        <v>0.64186194739671765</v>
      </c>
      <c r="Z7" s="100">
        <f t="shared" si="22"/>
        <v>0.62316693922011435</v>
      </c>
      <c r="AA7" s="100">
        <f t="shared" si="22"/>
        <v>0.60501644584477121</v>
      </c>
      <c r="AB7" s="100">
        <f t="shared" si="22"/>
        <v>0.5873946076162827</v>
      </c>
      <c r="AC7" s="100">
        <f t="shared" si="22"/>
        <v>0.57028602681192497</v>
      </c>
      <c r="AD7" s="100">
        <f t="shared" si="22"/>
        <v>0.55367575418633497</v>
      </c>
      <c r="AE7" s="100">
        <f t="shared" si="22"/>
        <v>0.5375492759090631</v>
      </c>
      <c r="AF7" s="100">
        <f t="shared" si="22"/>
        <v>0.52189250088258554</v>
      </c>
      <c r="AG7" s="100">
        <f t="shared" si="22"/>
        <v>0.50669174842969467</v>
      </c>
      <c r="AH7" s="100">
        <f t="shared" si="22"/>
        <v>0.49193373633950943</v>
      </c>
      <c r="AI7" s="100">
        <f t="shared" si="22"/>
        <v>0.47760556926165965</v>
      </c>
      <c r="AJ7" s="100">
        <f t="shared" si="22"/>
        <v>0.46369472743850448</v>
      </c>
      <c r="AK7" s="100">
        <f t="shared" si="22"/>
        <v>0.45018905576553836</v>
      </c>
      <c r="AL7" s="100">
        <f t="shared" si="22"/>
        <v>0.4370767531704256</v>
      </c>
      <c r="AM7" s="100">
        <f t="shared" ref="AM7:AT7" si="23">1/(1+$E$7)^(AM4-$K$3)</f>
        <v>0.42434636230138412</v>
      </c>
      <c r="AN7" s="100">
        <f t="shared" si="23"/>
        <v>0.41198675951590691</v>
      </c>
      <c r="AO7" s="100">
        <f t="shared" si="23"/>
        <v>0.39998714516107459</v>
      </c>
      <c r="AP7" s="100">
        <f t="shared" si="23"/>
        <v>0.38833703413696569</v>
      </c>
      <c r="AQ7" s="100">
        <f t="shared" si="23"/>
        <v>0.37702624673491814</v>
      </c>
      <c r="AR7" s="100">
        <f t="shared" si="23"/>
        <v>0.36604489974263904</v>
      </c>
      <c r="AS7" s="100">
        <f t="shared" si="23"/>
        <v>0.35538339780838735</v>
      </c>
      <c r="AT7" s="100">
        <f t="shared" si="23"/>
        <v>0.34503242505668674</v>
      </c>
      <c r="AU7" s="100">
        <f t="shared" ref="AU7" si="24">1/(1+$E$7)^(AU4-$K$3)</f>
        <v>0.33498293694823961</v>
      </c>
    </row>
    <row r="8" spans="1:47" ht="15" x14ac:dyDescent="0.3">
      <c r="G8" s="354"/>
      <c r="H8" s="354"/>
      <c r="I8" s="354"/>
    </row>
    <row r="9" spans="1:47" ht="15.75" x14ac:dyDescent="0.3">
      <c r="C9" s="74" t="s">
        <v>587</v>
      </c>
      <c r="G9" s="354"/>
      <c r="H9" s="354"/>
      <c r="I9" s="354"/>
    </row>
    <row r="10" spans="1:47" ht="15" x14ac:dyDescent="0.3">
      <c r="C10" s="8"/>
      <c r="G10" s="354"/>
      <c r="H10" s="354"/>
      <c r="I10" s="354"/>
    </row>
    <row r="11" spans="1:47" ht="15" x14ac:dyDescent="0.3">
      <c r="B11" t="s">
        <v>4</v>
      </c>
      <c r="C11" s="8" t="s">
        <v>466</v>
      </c>
      <c r="F11" s="389">
        <f>'Project Costs'!D75</f>
        <v>196940.07707142856</v>
      </c>
      <c r="G11" s="355">
        <f>'Project Costs'!D76</f>
        <v>1357970.5944000001</v>
      </c>
      <c r="H11" s="355">
        <f>'Project Costs'!D77</f>
        <v>2601733.2171999998</v>
      </c>
      <c r="I11" s="355">
        <f>'Project Costs'!D78</f>
        <v>1335785</v>
      </c>
      <c r="J11" s="73">
        <f>SUM(G11:I11)</f>
        <v>5295488.8115999997</v>
      </c>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row>
    <row r="12" spans="1:47" ht="15" x14ac:dyDescent="0.3">
      <c r="B12" t="s">
        <v>4</v>
      </c>
      <c r="C12" s="8" t="s">
        <v>91</v>
      </c>
      <c r="J12" s="73">
        <f>(SUMIF('Project Costs'!$B$36:$B$68,'Project Data'!J4,'Project Costs'!$G$36:$G$68))/DeflatorRate</f>
        <v>0</v>
      </c>
      <c r="K12" s="73">
        <f>(SUMIF('Project Costs'!$B$36:$B$68,'Project Data'!K4,'Project Costs'!$G$36:$G$68))/DeflatorRate</f>
        <v>0</v>
      </c>
      <c r="L12" s="73">
        <f>(SUMIF('Project Costs'!$B$36:$B$68,'Project Data'!L4,'Project Costs'!$G$36:$G$68))/DeflatorRate</f>
        <v>0</v>
      </c>
      <c r="M12" s="73">
        <f>(SUMIF('Project Costs'!$B$36:$B$68,'Project Data'!M4,'Project Costs'!$G$36:$G$68))/DeflatorRate</f>
        <v>0</v>
      </c>
      <c r="N12" s="73">
        <f>(SUMIF('Project Costs'!$B$36:$B$68,'Project Data'!N4,'Project Costs'!$G$36:$G$68))/DeflatorRate</f>
        <v>19810423.481688175</v>
      </c>
      <c r="O12" s="73">
        <f>(SUMIF('Project Costs'!$B$36:$B$68,'Project Data'!O4,'Project Costs'!$G$36:$G$68))/DeflatorRate</f>
        <v>26643375.696546912</v>
      </c>
      <c r="P12" s="73">
        <f>(SUMIF('Project Costs'!$B$36:$B$68,'Project Data'!P4,'Project Costs'!$G$36:$G$68))/DeflatorRate</f>
        <v>34476307.332403213</v>
      </c>
      <c r="Q12" s="73">
        <f>(SUMIF('Project Costs'!$B$36:$B$68,'Project Data'!Q4,'Project Costs'!$G$36:$G$68))/DeflatorRate</f>
        <v>22105229.550749913</v>
      </c>
      <c r="R12" s="73">
        <f>(SUMIF('Project Costs'!$B$36:$B$68,'Project Data'!R4,'Project Costs'!$G$36:$G$68))/DeflatorRate</f>
        <v>0</v>
      </c>
      <c r="S12" s="73">
        <f>(SUMIF('Project Costs'!$B$36:$B$68,'Project Data'!S4,'Project Costs'!$G$36:$G$68))/DeflatorRate</f>
        <v>0</v>
      </c>
      <c r="T12" s="73">
        <f>(SUMIF('Project Costs'!$B$36:$B$68,'Project Data'!T4,'Project Costs'!$G$36:$G$68))/DeflatorRate</f>
        <v>0</v>
      </c>
      <c r="U12" s="73">
        <f>(SUMIF('Project Costs'!$B$36:$B$68,'Project Data'!U4,'Project Costs'!$G$36:$G$68))/DeflatorRate</f>
        <v>0</v>
      </c>
      <c r="V12" s="73">
        <f>(SUMIF('Project Costs'!$B$36:$B$68,'Project Data'!V4,'Project Costs'!$G$36:$G$68))/DeflatorRate</f>
        <v>0</v>
      </c>
      <c r="W12" s="73">
        <f>(SUMIF('Project Costs'!$B$36:$B$68,'Project Data'!W4,'Project Costs'!$G$36:$G$68))/DeflatorRate</f>
        <v>0</v>
      </c>
      <c r="X12" s="73">
        <f>(SUMIF('Project Costs'!$B$36:$B$68,'Project Data'!X4,'Project Costs'!$G$36:$G$68))/DeflatorRate</f>
        <v>0</v>
      </c>
      <c r="Y12" s="73">
        <f>(SUMIF('Project Costs'!$B$36:$B$68,'Project Data'!Y4,'Project Costs'!$G$36:$G$68))/DeflatorRate</f>
        <v>0</v>
      </c>
      <c r="Z12" s="73">
        <f>(SUMIF('Project Costs'!$B$36:$B$68,'Project Data'!Z4,'Project Costs'!$G$36:$G$68))/DeflatorRate</f>
        <v>0</v>
      </c>
      <c r="AA12" s="73">
        <f>(SUMIF('Project Costs'!$B$36:$B$68,'Project Data'!AA4,'Project Costs'!$G$36:$G$68))/DeflatorRate</f>
        <v>0</v>
      </c>
      <c r="AB12" s="73">
        <f>(SUMIF('Project Costs'!$B$36:$B$68,'Project Data'!AB4,'Project Costs'!$G$36:$G$68))/DeflatorRate</f>
        <v>0</v>
      </c>
      <c r="AC12" s="73">
        <f>(SUMIF('Project Costs'!$B$36:$B$68,'Project Data'!AC4,'Project Costs'!$G$36:$G$68))/DeflatorRate</f>
        <v>0</v>
      </c>
      <c r="AD12" s="73">
        <f>(SUMIF('Project Costs'!$B$36:$B$68,'Project Data'!AD4,'Project Costs'!$G$36:$G$68))/DeflatorRate</f>
        <v>0</v>
      </c>
      <c r="AE12" s="73">
        <f>(SUMIF('Project Costs'!$B$36:$B$68,'Project Data'!AE4,'Project Costs'!$G$36:$G$68))/DeflatorRate</f>
        <v>0</v>
      </c>
      <c r="AF12" s="73">
        <f>(SUMIF('Project Costs'!$B$36:$B$68,'Project Data'!AF4,'Project Costs'!$G$36:$G$68))/DeflatorRate</f>
        <v>0</v>
      </c>
      <c r="AG12" s="73">
        <f>(SUMIF('Project Costs'!$B$36:$B$68,'Project Data'!AG4,'Project Costs'!$G$36:$G$68))/DeflatorRate</f>
        <v>0</v>
      </c>
      <c r="AH12" s="73">
        <f>(SUMIF('Project Costs'!$B$36:$B$68,'Project Data'!AH4,'Project Costs'!$G$36:$G$68))/DeflatorRate</f>
        <v>0</v>
      </c>
      <c r="AI12" s="73">
        <f>(SUMIF('Project Costs'!$B$36:$B$68,'Project Data'!AI4,'Project Costs'!$G$36:$G$68))/DeflatorRate</f>
        <v>0</v>
      </c>
      <c r="AJ12" s="73">
        <f>(SUMIF('Project Costs'!$B$36:$B$68,'Project Data'!AJ4,'Project Costs'!$G$36:$G$68))/DeflatorRate</f>
        <v>0</v>
      </c>
      <c r="AK12" s="73">
        <f>(SUMIF('Project Costs'!$B$36:$B$68,'Project Data'!AK4,'Project Costs'!$G$36:$G$68))/DeflatorRate</f>
        <v>0</v>
      </c>
      <c r="AL12" s="73">
        <f>(SUMIF('Project Costs'!$B$36:$B$68,'Project Data'!AL4,'Project Costs'!$G$36:$G$68))/DeflatorRate</f>
        <v>0</v>
      </c>
      <c r="AM12" s="73">
        <f>(SUMIF('Project Costs'!$B$36:$B$68,'Project Data'!AM4,'Project Costs'!$G$36:$G$68))/DeflatorRate</f>
        <v>0</v>
      </c>
      <c r="AN12" s="73">
        <f>(SUMIF('Project Costs'!$B$36:$B$68,'Project Data'!AN4,'Project Costs'!$G$36:$G$68))/DeflatorRate</f>
        <v>0</v>
      </c>
      <c r="AO12" s="73">
        <f>(SUMIF('Project Costs'!$B$36:$B$68,'Project Data'!AO4,'Project Costs'!$G$36:$G$68))/DeflatorRate</f>
        <v>0</v>
      </c>
      <c r="AP12" s="73">
        <f>(SUMIF('Project Costs'!$B$36:$B$68,'Project Data'!AP4,'Project Costs'!$G$36:$G$68))/DeflatorRate</f>
        <v>0</v>
      </c>
      <c r="AQ12" s="73">
        <f>(SUMIF('Project Costs'!$B$36:$B$68,'Project Data'!AQ4,'Project Costs'!$G$36:$G$68))/DeflatorRate</f>
        <v>0</v>
      </c>
      <c r="AR12" s="73">
        <f>(SUMIF('Project Costs'!$B$36:$B$68,'Project Data'!AR4,'Project Costs'!$G$36:$G$68))/DeflatorRate</f>
        <v>0</v>
      </c>
      <c r="AS12" s="73">
        <f>(SUMIF('Project Costs'!$B$36:$B$68,'Project Data'!AS4,'Project Costs'!$G$36:$G$68))/DeflatorRate</f>
        <v>0</v>
      </c>
      <c r="AT12" s="73">
        <f>(SUMIF('Project Costs'!$B$36:$B$68,'Project Data'!AT4,'Project Costs'!$G$36:$G$68))/DeflatorRate</f>
        <v>0</v>
      </c>
      <c r="AU12" s="73">
        <f>(SUMIF('Project Costs'!$B$36:$B$68,'Project Data'!AU4,'Project Costs'!$G$36:$G$68))/DeflatorRate</f>
        <v>0</v>
      </c>
    </row>
    <row r="13" spans="1:47" ht="15" x14ac:dyDescent="0.3">
      <c r="C13" s="71"/>
      <c r="J13" s="1"/>
      <c r="K13" s="5"/>
      <c r="L13" s="1"/>
      <c r="P13" s="1"/>
    </row>
    <row r="14" spans="1:47" ht="15" x14ac:dyDescent="0.3">
      <c r="B14" s="68" t="s">
        <v>4</v>
      </c>
      <c r="C14" s="154" t="s">
        <v>76</v>
      </c>
      <c r="J14" s="499">
        <f>SUM(J11:J12)</f>
        <v>5295488.8115999997</v>
      </c>
      <c r="K14" s="499">
        <f t="shared" ref="K14:AT14" si="25">SUM(K11:K12)</f>
        <v>0</v>
      </c>
      <c r="L14" s="499">
        <f t="shared" si="25"/>
        <v>0</v>
      </c>
      <c r="M14" s="499">
        <f t="shared" si="25"/>
        <v>0</v>
      </c>
      <c r="N14" s="499">
        <f t="shared" si="25"/>
        <v>19810423.481688175</v>
      </c>
      <c r="O14" s="499">
        <f t="shared" si="25"/>
        <v>26643375.696546912</v>
      </c>
      <c r="P14" s="499">
        <f t="shared" si="25"/>
        <v>34476307.332403213</v>
      </c>
      <c r="Q14" s="499">
        <f t="shared" si="25"/>
        <v>22105229.550749913</v>
      </c>
      <c r="R14" s="499">
        <f t="shared" si="25"/>
        <v>0</v>
      </c>
      <c r="S14" s="499">
        <f t="shared" si="25"/>
        <v>0</v>
      </c>
      <c r="T14" s="499">
        <f t="shared" si="25"/>
        <v>0</v>
      </c>
      <c r="U14" s="499">
        <f t="shared" si="25"/>
        <v>0</v>
      </c>
      <c r="V14" s="499">
        <f t="shared" si="25"/>
        <v>0</v>
      </c>
      <c r="W14" s="499">
        <f t="shared" si="25"/>
        <v>0</v>
      </c>
      <c r="X14" s="499">
        <f t="shared" si="25"/>
        <v>0</v>
      </c>
      <c r="Y14" s="499">
        <f t="shared" si="25"/>
        <v>0</v>
      </c>
      <c r="Z14" s="499">
        <f t="shared" si="25"/>
        <v>0</v>
      </c>
      <c r="AA14" s="499">
        <f t="shared" si="25"/>
        <v>0</v>
      </c>
      <c r="AB14" s="499">
        <f t="shared" si="25"/>
        <v>0</v>
      </c>
      <c r="AC14" s="499">
        <f t="shared" si="25"/>
        <v>0</v>
      </c>
      <c r="AD14" s="499">
        <f t="shared" si="25"/>
        <v>0</v>
      </c>
      <c r="AE14" s="499">
        <f t="shared" si="25"/>
        <v>0</v>
      </c>
      <c r="AF14" s="499">
        <f t="shared" si="25"/>
        <v>0</v>
      </c>
      <c r="AG14" s="499">
        <f t="shared" si="25"/>
        <v>0</v>
      </c>
      <c r="AH14" s="499">
        <f t="shared" si="25"/>
        <v>0</v>
      </c>
      <c r="AI14" s="499">
        <f t="shared" si="25"/>
        <v>0</v>
      </c>
      <c r="AJ14" s="499">
        <f t="shared" si="25"/>
        <v>0</v>
      </c>
      <c r="AK14" s="499">
        <f t="shared" si="25"/>
        <v>0</v>
      </c>
      <c r="AL14" s="499">
        <f t="shared" si="25"/>
        <v>0</v>
      </c>
      <c r="AM14" s="499">
        <f t="shared" si="25"/>
        <v>0</v>
      </c>
      <c r="AN14" s="499">
        <f t="shared" si="25"/>
        <v>0</v>
      </c>
      <c r="AO14" s="499">
        <f t="shared" si="25"/>
        <v>0</v>
      </c>
      <c r="AP14" s="499">
        <f t="shared" si="25"/>
        <v>0</v>
      </c>
      <c r="AQ14" s="499">
        <f t="shared" si="25"/>
        <v>0</v>
      </c>
      <c r="AR14" s="499">
        <f t="shared" si="25"/>
        <v>0</v>
      </c>
      <c r="AS14" s="499">
        <f t="shared" si="25"/>
        <v>0</v>
      </c>
      <c r="AT14" s="499">
        <f t="shared" si="25"/>
        <v>0</v>
      </c>
      <c r="AU14" s="499">
        <f t="shared" ref="AU14" si="26">SUM(AU11:AU12)</f>
        <v>0</v>
      </c>
    </row>
    <row r="15" spans="1:47" ht="15" x14ac:dyDescent="0.3">
      <c r="A15" s="6"/>
      <c r="C15" s="71" t="s">
        <v>596</v>
      </c>
      <c r="J15" s="500">
        <f>J28</f>
        <v>6329734.9484821605</v>
      </c>
      <c r="K15" s="500">
        <f t="shared" ref="K15:AU15" si="27">K14*K6</f>
        <v>0</v>
      </c>
      <c r="L15" s="500">
        <f t="shared" si="27"/>
        <v>0</v>
      </c>
      <c r="M15" s="500">
        <f t="shared" si="27"/>
        <v>0</v>
      </c>
      <c r="N15" s="500">
        <f t="shared" si="27"/>
        <v>15113277.222813772</v>
      </c>
      <c r="O15" s="500">
        <f t="shared" si="27"/>
        <v>18996358.646429006</v>
      </c>
      <c r="P15" s="500">
        <f t="shared" si="27"/>
        <v>22973019.296855092</v>
      </c>
      <c r="Q15" s="500">
        <f t="shared" si="27"/>
        <v>13766025.997029144</v>
      </c>
      <c r="R15" s="500">
        <f t="shared" si="27"/>
        <v>0</v>
      </c>
      <c r="S15" s="500">
        <f t="shared" si="27"/>
        <v>0</v>
      </c>
      <c r="T15" s="500">
        <f t="shared" si="27"/>
        <v>0</v>
      </c>
      <c r="U15" s="500">
        <f t="shared" si="27"/>
        <v>0</v>
      </c>
      <c r="V15" s="500">
        <f t="shared" si="27"/>
        <v>0</v>
      </c>
      <c r="W15" s="500">
        <f t="shared" si="27"/>
        <v>0</v>
      </c>
      <c r="X15" s="500">
        <f t="shared" si="27"/>
        <v>0</v>
      </c>
      <c r="Y15" s="500">
        <f t="shared" si="27"/>
        <v>0</v>
      </c>
      <c r="Z15" s="500">
        <f t="shared" si="27"/>
        <v>0</v>
      </c>
      <c r="AA15" s="500">
        <f t="shared" si="27"/>
        <v>0</v>
      </c>
      <c r="AB15" s="500">
        <f t="shared" si="27"/>
        <v>0</v>
      </c>
      <c r="AC15" s="500">
        <f t="shared" si="27"/>
        <v>0</v>
      </c>
      <c r="AD15" s="500">
        <f t="shared" si="27"/>
        <v>0</v>
      </c>
      <c r="AE15" s="500">
        <f t="shared" si="27"/>
        <v>0</v>
      </c>
      <c r="AF15" s="500">
        <f t="shared" si="27"/>
        <v>0</v>
      </c>
      <c r="AG15" s="500">
        <f t="shared" si="27"/>
        <v>0</v>
      </c>
      <c r="AH15" s="500">
        <f t="shared" si="27"/>
        <v>0</v>
      </c>
      <c r="AI15" s="500">
        <f t="shared" si="27"/>
        <v>0</v>
      </c>
      <c r="AJ15" s="500">
        <f t="shared" si="27"/>
        <v>0</v>
      </c>
      <c r="AK15" s="500">
        <f t="shared" si="27"/>
        <v>0</v>
      </c>
      <c r="AL15" s="500">
        <f t="shared" si="27"/>
        <v>0</v>
      </c>
      <c r="AM15" s="500">
        <f t="shared" si="27"/>
        <v>0</v>
      </c>
      <c r="AN15" s="500">
        <f t="shared" si="27"/>
        <v>0</v>
      </c>
      <c r="AO15" s="500">
        <f t="shared" si="27"/>
        <v>0</v>
      </c>
      <c r="AP15" s="500">
        <f t="shared" si="27"/>
        <v>0</v>
      </c>
      <c r="AQ15" s="500">
        <f t="shared" si="27"/>
        <v>0</v>
      </c>
      <c r="AR15" s="500">
        <f t="shared" si="27"/>
        <v>0</v>
      </c>
      <c r="AS15" s="500">
        <f t="shared" si="27"/>
        <v>0</v>
      </c>
      <c r="AT15" s="500">
        <f t="shared" si="27"/>
        <v>0</v>
      </c>
      <c r="AU15" s="500">
        <f t="shared" si="27"/>
        <v>0</v>
      </c>
    </row>
    <row r="16" spans="1:47" x14ac:dyDescent="0.3">
      <c r="A16" s="6"/>
      <c r="C16" s="8"/>
      <c r="J16" s="1"/>
      <c r="M16" s="1"/>
    </row>
    <row r="17" spans="1:47" ht="15.75" x14ac:dyDescent="0.3">
      <c r="A17" s="6"/>
      <c r="C17" s="70" t="s">
        <v>588</v>
      </c>
      <c r="N17" s="1"/>
    </row>
    <row r="18" spans="1:47" ht="15" x14ac:dyDescent="0.3">
      <c r="A18" s="6"/>
      <c r="C18" s="8"/>
    </row>
    <row r="19" spans="1:47" ht="15" x14ac:dyDescent="0.3">
      <c r="A19" s="6"/>
      <c r="B19" s="68" t="s">
        <v>4</v>
      </c>
      <c r="C19" s="67" t="s">
        <v>59</v>
      </c>
      <c r="J19" s="499">
        <f>SUMIF('Project Costs'!$B$36:$B$68,'Project Data'!J4,'Project Costs'!$H$36:$H$68)/DeflatorRate</f>
        <v>0</v>
      </c>
      <c r="K19" s="499">
        <f>SUMIF('Project Costs'!$B$36:$B$68,'Project Data'!K4,'Project Costs'!$H$36:$H$68)/DeflatorRate</f>
        <v>0</v>
      </c>
      <c r="L19" s="499">
        <f>SUMIF('Project Costs'!$B$36:$B$68,'Project Data'!L4,'Project Costs'!$H$36:$H$68)/DeflatorRate</f>
        <v>0</v>
      </c>
      <c r="M19" s="499">
        <f>SUMIF('Project Costs'!$B$36:$B$68,'Project Data'!M4,'Project Costs'!$H$36:$H$68)/DeflatorRate</f>
        <v>0</v>
      </c>
      <c r="N19" s="499">
        <f>SUMIF('Project Costs'!$B$36:$B$68,'Project Data'!N4,'Project Costs'!$H$36:$H$68)/DeflatorRate</f>
        <v>0</v>
      </c>
      <c r="O19" s="499">
        <f>SUMIF('Project Costs'!$B$36:$B$68,'Project Data'!O4,'Project Costs'!$H$36:$H$68)/DeflatorRate</f>
        <v>0</v>
      </c>
      <c r="P19" s="499">
        <f>SUMIF('Project Costs'!$B$36:$B$68,'Project Data'!P4,'Project Costs'!$H$36:$H$68)/DeflatorRate</f>
        <v>0</v>
      </c>
      <c r="Q19" s="499">
        <f>SUMIF('Project Costs'!$B$36:$B$68,'Project Data'!Q4,'Project Costs'!$H$36:$H$68)/DeflatorRate</f>
        <v>961981.16498081619</v>
      </c>
      <c r="R19" s="499">
        <f>SUMIF('Project Costs'!$B$36:$B$68,'Project Data'!R4,'Project Costs'!$H$36:$H$68)/DeflatorRate</f>
        <v>0</v>
      </c>
      <c r="S19" s="499">
        <f>SUMIF('Project Costs'!$B$36:$B$68,'Project Data'!S4,'Project Costs'!$H$36:$H$68)/DeflatorRate</f>
        <v>0</v>
      </c>
      <c r="T19" s="499">
        <f>SUMIF('Project Costs'!$B$36:$B$68,'Project Data'!T4,'Project Costs'!$H$36:$H$68)/DeflatorRate</f>
        <v>0</v>
      </c>
      <c r="U19" s="499">
        <f>SUMIF('Project Costs'!$B$36:$B$68,'Project Data'!U4,'Project Costs'!$H$36:$H$68)/DeflatorRate</f>
        <v>0</v>
      </c>
      <c r="V19" s="499">
        <f>SUMIF('Project Costs'!$B$36:$B$68,'Project Data'!V4,'Project Costs'!$H$36:$H$68)/DeflatorRate</f>
        <v>0</v>
      </c>
      <c r="W19" s="499">
        <f>SUMIF('Project Costs'!$B$36:$B$68,'Project Data'!W4,'Project Costs'!$H$36:$H$68)/DeflatorRate</f>
        <v>0</v>
      </c>
      <c r="X19" s="499">
        <f>SUMIF('Project Costs'!$B$36:$B$68,'Project Data'!X4,'Project Costs'!$H$36:$H$68)/DeflatorRate</f>
        <v>0</v>
      </c>
      <c r="Y19" s="499">
        <f>SUMIF('Project Costs'!$B$36:$B$68,'Project Data'!Y4,'Project Costs'!$H$36:$H$68)/DeflatorRate</f>
        <v>0</v>
      </c>
      <c r="Z19" s="499">
        <f>SUMIF('Project Costs'!$B$36:$B$68,'Project Data'!Z4,'Project Costs'!$H$36:$H$68)/DeflatorRate</f>
        <v>0</v>
      </c>
      <c r="AA19" s="499">
        <f>SUMIF('Project Costs'!$B$36:$B$68,'Project Data'!AA4,'Project Costs'!$H$36:$H$68)/DeflatorRate</f>
        <v>0</v>
      </c>
      <c r="AB19" s="499">
        <f>SUMIF('Project Costs'!$B$36:$B$68,'Project Data'!AB4,'Project Costs'!$H$36:$H$68)/DeflatorRate</f>
        <v>0</v>
      </c>
      <c r="AC19" s="499">
        <f>SUMIF('Project Costs'!$B$36:$B$68,'Project Data'!AC4,'Project Costs'!$H$36:$H$68)/DeflatorRate</f>
        <v>0</v>
      </c>
      <c r="AD19" s="499">
        <f>SUMIF('Project Costs'!$B$36:$B$68,'Project Data'!AD4,'Project Costs'!$H$36:$H$68)/DeflatorRate</f>
        <v>0</v>
      </c>
      <c r="AE19" s="499">
        <f>SUMIF('Project Costs'!$B$36:$B$68,'Project Data'!AE4,'Project Costs'!$H$36:$H$68)/DeflatorRate</f>
        <v>0</v>
      </c>
      <c r="AF19" s="499">
        <f>SUMIF('Project Costs'!$B$36:$B$68,'Project Data'!AF4,'Project Costs'!$H$36:$H$68)/DeflatorRate</f>
        <v>0</v>
      </c>
      <c r="AG19" s="499">
        <f>SUMIF('Project Costs'!$B$36:$B$68,'Project Data'!AG4,'Project Costs'!$H$36:$H$68)/DeflatorRate</f>
        <v>0</v>
      </c>
      <c r="AH19" s="499">
        <f>SUMIF('Project Costs'!$B$36:$B$68,'Project Data'!AH4,'Project Costs'!$H$36:$H$68)/DeflatorRate</f>
        <v>0</v>
      </c>
      <c r="AI19" s="499">
        <f>SUMIF('Project Costs'!$B$36:$B$68,'Project Data'!AI4,'Project Costs'!$H$36:$H$68)/DeflatorRate</f>
        <v>0</v>
      </c>
      <c r="AJ19" s="499">
        <f>SUMIF('Project Costs'!$B$36:$B$68,'Project Data'!AJ4,'Project Costs'!$H$36:$H$68)/DeflatorRate</f>
        <v>5290896.4073944893</v>
      </c>
      <c r="AK19" s="499">
        <f>SUMIF('Project Costs'!$B$36:$B$68,'Project Data'!AK4,'Project Costs'!$H$36:$H$68)/DeflatorRate</f>
        <v>0</v>
      </c>
      <c r="AL19" s="499">
        <f>SUMIF('Project Costs'!$B$36:$B$68,'Project Data'!AL4,'Project Costs'!$H$36:$H$68)/DeflatorRate</f>
        <v>0</v>
      </c>
      <c r="AM19" s="499">
        <f>SUMIF('Project Costs'!$B$36:$B$68,'Project Data'!AM4,'Project Costs'!$H$36:$H$68)/DeflatorRate</f>
        <v>0</v>
      </c>
      <c r="AN19" s="499">
        <f>SUMIF('Project Costs'!$B$36:$B$68,'Project Data'!AN4,'Project Costs'!$H$36:$H$68)/DeflatorRate</f>
        <v>0</v>
      </c>
      <c r="AO19" s="499">
        <f>SUMIF('Project Costs'!$B$36:$B$68,'Project Data'!AO4,'Project Costs'!$H$36:$H$68)/DeflatorRate</f>
        <v>5290896.4073944893</v>
      </c>
      <c r="AP19" s="499">
        <f>SUMIF('Project Costs'!$B$36:$B$68,'Project Data'!AP4,'Project Costs'!$H$36:$H$68)/DeflatorRate</f>
        <v>0</v>
      </c>
      <c r="AQ19" s="499">
        <f>SUMIF('Project Costs'!$B$36:$B$68,'Project Data'!AQ4,'Project Costs'!$H$36:$H$68)/DeflatorRate</f>
        <v>0</v>
      </c>
      <c r="AR19" s="499">
        <f>SUMIF('Project Costs'!$B$36:$B$68,'Project Data'!AR4,'Project Costs'!$H$36:$H$68)/DeflatorRate</f>
        <v>0</v>
      </c>
      <c r="AS19" s="499">
        <f>SUMIF('Project Costs'!$B$36:$B$68,'Project Data'!AS4,'Project Costs'!$H$36:$H$68)/DeflatorRate</f>
        <v>0</v>
      </c>
      <c r="AT19" s="499">
        <f>SUMIF('Project Costs'!$B$36:$B$68,'Project Data'!AT4,'Project Costs'!$H$36:$H$68)/DeflatorRate</f>
        <v>0</v>
      </c>
      <c r="AU19" s="499">
        <f>SUMIF('Project Costs'!$B$36:$B$68,'Project Data'!AU4,'Project Costs'!$H$36:$H$68)/DeflatorRate</f>
        <v>0</v>
      </c>
    </row>
    <row r="20" spans="1:47" ht="15" x14ac:dyDescent="0.3">
      <c r="A20" s="6"/>
      <c r="C20" s="67" t="s">
        <v>595</v>
      </c>
      <c r="J20" s="501">
        <f>J19*J6</f>
        <v>0</v>
      </c>
      <c r="K20" s="501">
        <f t="shared" ref="K20:AU20" si="28">K19*K6</f>
        <v>0</v>
      </c>
      <c r="L20" s="501">
        <f t="shared" si="28"/>
        <v>0</v>
      </c>
      <c r="M20" s="501">
        <f t="shared" si="28"/>
        <v>0</v>
      </c>
      <c r="N20" s="501">
        <f t="shared" si="28"/>
        <v>0</v>
      </c>
      <c r="O20" s="501">
        <f t="shared" si="28"/>
        <v>0</v>
      </c>
      <c r="P20" s="501">
        <f t="shared" si="28"/>
        <v>0</v>
      </c>
      <c r="Q20" s="501">
        <f t="shared" si="28"/>
        <v>599073.52218964149</v>
      </c>
      <c r="R20" s="501">
        <f t="shared" si="28"/>
        <v>0</v>
      </c>
      <c r="S20" s="501">
        <f t="shared" si="28"/>
        <v>0</v>
      </c>
      <c r="T20" s="501">
        <f t="shared" si="28"/>
        <v>0</v>
      </c>
      <c r="U20" s="501">
        <f t="shared" si="28"/>
        <v>0</v>
      </c>
      <c r="V20" s="501">
        <f t="shared" si="28"/>
        <v>0</v>
      </c>
      <c r="W20" s="501">
        <f t="shared" si="28"/>
        <v>0</v>
      </c>
      <c r="X20" s="501">
        <f t="shared" si="28"/>
        <v>0</v>
      </c>
      <c r="Y20" s="501">
        <f t="shared" si="28"/>
        <v>0</v>
      </c>
      <c r="Z20" s="501">
        <f t="shared" si="28"/>
        <v>0</v>
      </c>
      <c r="AA20" s="501">
        <f t="shared" si="28"/>
        <v>0</v>
      </c>
      <c r="AB20" s="501">
        <f t="shared" si="28"/>
        <v>0</v>
      </c>
      <c r="AC20" s="501">
        <f t="shared" si="28"/>
        <v>0</v>
      </c>
      <c r="AD20" s="501">
        <f t="shared" si="28"/>
        <v>0</v>
      </c>
      <c r="AE20" s="501">
        <f t="shared" si="28"/>
        <v>0</v>
      </c>
      <c r="AF20" s="501">
        <f t="shared" si="28"/>
        <v>0</v>
      </c>
      <c r="AG20" s="501">
        <f t="shared" si="28"/>
        <v>0</v>
      </c>
      <c r="AH20" s="501">
        <f t="shared" si="28"/>
        <v>0</v>
      </c>
      <c r="AI20" s="501">
        <f t="shared" si="28"/>
        <v>0</v>
      </c>
      <c r="AJ20" s="501">
        <f t="shared" si="28"/>
        <v>911068.51534374489</v>
      </c>
      <c r="AK20" s="501">
        <f t="shared" si="28"/>
        <v>0</v>
      </c>
      <c r="AL20" s="501">
        <f t="shared" si="28"/>
        <v>0</v>
      </c>
      <c r="AM20" s="501">
        <f t="shared" si="28"/>
        <v>0</v>
      </c>
      <c r="AN20" s="501">
        <f t="shared" si="28"/>
        <v>0</v>
      </c>
      <c r="AO20" s="501">
        <f t="shared" si="28"/>
        <v>649579.26000279444</v>
      </c>
      <c r="AP20" s="501">
        <f t="shared" si="28"/>
        <v>0</v>
      </c>
      <c r="AQ20" s="501">
        <f t="shared" si="28"/>
        <v>0</v>
      </c>
      <c r="AR20" s="501">
        <f t="shared" si="28"/>
        <v>0</v>
      </c>
      <c r="AS20" s="501">
        <f t="shared" si="28"/>
        <v>0</v>
      </c>
      <c r="AT20" s="501">
        <f t="shared" si="28"/>
        <v>0</v>
      </c>
      <c r="AU20" s="501">
        <f t="shared" si="28"/>
        <v>0</v>
      </c>
    </row>
    <row r="21" spans="1:47" x14ac:dyDescent="0.3">
      <c r="A21" s="6"/>
      <c r="C21" s="67"/>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row>
    <row r="22" spans="1:47" ht="15.75" x14ac:dyDescent="0.3">
      <c r="C22" s="70" t="s">
        <v>588</v>
      </c>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row>
    <row r="23" spans="1:47" ht="15" x14ac:dyDescent="0.3">
      <c r="C23" s="67"/>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row>
    <row r="24" spans="1:47" ht="15" x14ac:dyDescent="0.3">
      <c r="B24" t="s">
        <v>3</v>
      </c>
      <c r="C24" s="67" t="s">
        <v>59</v>
      </c>
      <c r="J24" s="499">
        <f>SUMIF('Project Costs'!$B$7:$B$28,'Project Data'!J4,'Project Costs'!$F$7:$F$28)/DeflatorRate</f>
        <v>0</v>
      </c>
      <c r="K24" s="499">
        <f>SUMIF('Project Costs'!$B$7:$B$28,'Project Data'!K4,'Project Costs'!$F$7:$F$28)/DeflatorRate</f>
        <v>0</v>
      </c>
      <c r="L24" s="499">
        <f>SUMIF('Project Costs'!$B$7:$B$28,'Project Data'!L4,'Project Costs'!$F$7:$F$28)/DeflatorRate</f>
        <v>0</v>
      </c>
      <c r="M24" s="499">
        <f>SUMIF('Project Costs'!$B$7:$B$28,'Project Data'!M4,'Project Costs'!$F$7:$F$28)/DeflatorRate</f>
        <v>0</v>
      </c>
      <c r="N24" s="499">
        <f>SUMIF('Project Costs'!$B$7:$B$28,'Project Data'!N4,'Project Costs'!$F$7:$F$28)/DeflatorRate</f>
        <v>0</v>
      </c>
      <c r="O24" s="499">
        <f>SUMIF('Project Costs'!$B$7:$B$28,'Project Data'!O4,'Project Costs'!$F$7:$F$28)/DeflatorRate</f>
        <v>0</v>
      </c>
      <c r="P24" s="499">
        <f>SUMIF('Project Costs'!$B$7:$B$28,'Project Data'!P4,'Project Costs'!$F$7:$F$28)/DeflatorRate</f>
        <v>0</v>
      </c>
      <c r="Q24" s="499">
        <f>SUMIF('Project Costs'!$B$7:$B$28,'Project Data'!Q4,'Project Costs'!$F$7:$F$28)/DeflatorRate</f>
        <v>7311056.8538542036</v>
      </c>
      <c r="R24" s="499">
        <f>SUMIF('Project Costs'!$B$7:$B$28,'Project Data'!R4,'Project Costs'!$F$7:$F$28)/DeflatorRate</f>
        <v>0</v>
      </c>
      <c r="S24" s="499">
        <f>SUMIF('Project Costs'!$B$7:$B$28,'Project Data'!S4,'Project Costs'!$F$7:$F$28)/DeflatorRate</f>
        <v>0</v>
      </c>
      <c r="T24" s="499">
        <f>SUMIF('Project Costs'!$B$7:$B$28,'Project Data'!T4,'Project Costs'!$F$7:$F$28)/DeflatorRate</f>
        <v>0</v>
      </c>
      <c r="U24" s="499">
        <f>SUMIF('Project Costs'!$B$7:$B$28,'Project Data'!U4,'Project Costs'!$F$7:$F$28)/DeflatorRate</f>
        <v>6349075.6888733869</v>
      </c>
      <c r="V24" s="499">
        <f>SUMIF('Project Costs'!$B$7:$B$28,'Project Data'!V4,'Project Costs'!$F$7:$F$28)/DeflatorRate</f>
        <v>0</v>
      </c>
      <c r="W24" s="499">
        <f>SUMIF('Project Costs'!$B$7:$B$28,'Project Data'!W4,'Project Costs'!$F$7:$F$28)/DeflatorRate</f>
        <v>0</v>
      </c>
      <c r="X24" s="499">
        <f>SUMIF('Project Costs'!$B$7:$B$28,'Project Data'!X4,'Project Costs'!$F$7:$F$28)/DeflatorRate</f>
        <v>0</v>
      </c>
      <c r="Y24" s="499">
        <f>SUMIF('Project Costs'!$B$7:$B$28,'Project Data'!Y4,'Project Costs'!$F$7:$F$28)/DeflatorRate</f>
        <v>0</v>
      </c>
      <c r="Z24" s="499">
        <f>SUMIF('Project Costs'!$B$7:$B$28,'Project Data'!Z4,'Project Costs'!$F$7:$F$28)/DeflatorRate</f>
        <v>6349075.6888733869</v>
      </c>
      <c r="AA24" s="499">
        <f>SUMIF('Project Costs'!$B$7:$B$28,'Project Data'!AA4,'Project Costs'!$F$7:$F$28)/DeflatorRate</f>
        <v>0</v>
      </c>
      <c r="AB24" s="499">
        <f>SUMIF('Project Costs'!$B$7:$B$28,'Project Data'!AB4,'Project Costs'!$F$7:$F$28)/DeflatorRate</f>
        <v>0</v>
      </c>
      <c r="AC24" s="499">
        <f>SUMIF('Project Costs'!$B$7:$B$28,'Project Data'!AC4,'Project Costs'!$F$7:$F$28)/DeflatorRate</f>
        <v>0</v>
      </c>
      <c r="AD24" s="499">
        <f>SUMIF('Project Costs'!$B$7:$B$28,'Project Data'!AD4,'Project Costs'!$F$7:$F$28)/DeflatorRate</f>
        <v>0</v>
      </c>
      <c r="AE24" s="499">
        <f>SUMIF('Project Costs'!$B$7:$B$28,'Project Data'!AE4,'Project Costs'!$F$7:$F$28)/DeflatorRate</f>
        <v>5387094.5238925712</v>
      </c>
      <c r="AF24" s="499">
        <f>SUMIF('Project Costs'!$B$7:$B$28,'Project Data'!AF4,'Project Costs'!$F$7:$F$28)/DeflatorRate</f>
        <v>0</v>
      </c>
      <c r="AG24" s="499">
        <f>SUMIF('Project Costs'!$B$7:$B$28,'Project Data'!AG4,'Project Costs'!$F$7:$F$28)/DeflatorRate</f>
        <v>0</v>
      </c>
      <c r="AH24" s="499">
        <f>SUMIF('Project Costs'!$B$7:$B$28,'Project Data'!AH4,'Project Costs'!$F$7:$F$28)/DeflatorRate</f>
        <v>0</v>
      </c>
      <c r="AI24" s="499">
        <f>SUMIF('Project Costs'!$B$7:$B$28,'Project Data'!AI4,'Project Costs'!$F$7:$F$28)/DeflatorRate</f>
        <v>0</v>
      </c>
      <c r="AJ24" s="499">
        <f>SUMIF('Project Costs'!$B$7:$B$28,'Project Data'!AJ4,'Project Costs'!$F$7:$F$28)/DeflatorRate</f>
        <v>5387094.5238925712</v>
      </c>
      <c r="AK24" s="499">
        <f>SUMIF('Project Costs'!$B$7:$B$28,'Project Data'!AK4,'Project Costs'!$F$7:$F$28)/DeflatorRate</f>
        <v>0</v>
      </c>
      <c r="AL24" s="499">
        <f>SUMIF('Project Costs'!$B$7:$B$28,'Project Data'!AL4,'Project Costs'!$F$7:$F$28)/DeflatorRate</f>
        <v>0</v>
      </c>
      <c r="AM24" s="499">
        <f>SUMIF('Project Costs'!$B$7:$B$28,'Project Data'!AM4,'Project Costs'!$F$7:$F$28)/DeflatorRate</f>
        <v>0</v>
      </c>
      <c r="AN24" s="499">
        <f>SUMIF('Project Costs'!$B$7:$B$28,'Project Data'!AN4,'Project Costs'!$F$7:$F$28)/DeflatorRate</f>
        <v>0</v>
      </c>
      <c r="AO24" s="499">
        <f>SUMIF('Project Costs'!$B$7:$B$28,'Project Data'!AO4,'Project Costs'!$F$7:$F$28)/DeflatorRate</f>
        <v>15006906.173700733</v>
      </c>
      <c r="AP24" s="499">
        <f>SUMIF('Project Costs'!$B$7:$B$28,'Project Data'!AP4,'Project Costs'!$F$7:$F$28)/DeflatorRate</f>
        <v>0</v>
      </c>
      <c r="AQ24" s="499">
        <f>SUMIF('Project Costs'!$B$7:$B$28,'Project Data'!AQ4,'Project Costs'!$F$7:$F$28)/DeflatorRate</f>
        <v>0</v>
      </c>
      <c r="AR24" s="499">
        <f>SUMIF('Project Costs'!$B$7:$B$28,'Project Data'!AR4,'Project Costs'!$F$7:$F$28)/DeflatorRate</f>
        <v>0</v>
      </c>
      <c r="AS24" s="499">
        <f>SUMIF('Project Costs'!$B$7:$B$28,'Project Data'!AS4,'Project Costs'!$F$7:$F$28)/DeflatorRate</f>
        <v>0</v>
      </c>
      <c r="AT24" s="499">
        <f>SUMIF('Project Costs'!$B$7:$B$28,'Project Data'!AT4,'Project Costs'!$F$7:$F$28)/DeflatorRate</f>
        <v>0</v>
      </c>
      <c r="AU24" s="499">
        <f>SUMIF('Project Costs'!$B$7:$B$28,'Project Data'!AU4,'Project Costs'!$F$7:$F$28)/DeflatorRate</f>
        <v>0</v>
      </c>
    </row>
    <row r="25" spans="1:47" x14ac:dyDescent="0.3">
      <c r="C25" s="67" t="s">
        <v>595</v>
      </c>
      <c r="J25" s="500">
        <f t="shared" ref="J25:AU25" si="29">J24*J6</f>
        <v>0</v>
      </c>
      <c r="K25" s="500">
        <f t="shared" si="29"/>
        <v>0</v>
      </c>
      <c r="L25" s="500">
        <f t="shared" si="29"/>
        <v>0</v>
      </c>
      <c r="M25" s="500">
        <f t="shared" si="29"/>
        <v>0</v>
      </c>
      <c r="N25" s="500">
        <f t="shared" si="29"/>
        <v>0</v>
      </c>
      <c r="O25" s="500">
        <f t="shared" si="29"/>
        <v>0</v>
      </c>
      <c r="P25" s="500">
        <f t="shared" si="29"/>
        <v>0</v>
      </c>
      <c r="Q25" s="500">
        <f t="shared" si="29"/>
        <v>4552958.7686412763</v>
      </c>
      <c r="R25" s="500">
        <f t="shared" si="29"/>
        <v>0</v>
      </c>
      <c r="S25" s="500">
        <f t="shared" si="29"/>
        <v>0</v>
      </c>
      <c r="T25" s="500">
        <f t="shared" si="29"/>
        <v>0</v>
      </c>
      <c r="U25" s="500">
        <f t="shared" si="29"/>
        <v>3016400.1235033004</v>
      </c>
      <c r="V25" s="500">
        <f t="shared" si="29"/>
        <v>0</v>
      </c>
      <c r="W25" s="500">
        <f t="shared" si="29"/>
        <v>0</v>
      </c>
      <c r="X25" s="500">
        <f t="shared" si="29"/>
        <v>0</v>
      </c>
      <c r="Y25" s="500">
        <f t="shared" si="29"/>
        <v>0</v>
      </c>
      <c r="Z25" s="500">
        <f t="shared" si="29"/>
        <v>2150651.5998506844</v>
      </c>
      <c r="AA25" s="500">
        <f t="shared" si="29"/>
        <v>0</v>
      </c>
      <c r="AB25" s="500">
        <f t="shared" si="29"/>
        <v>0</v>
      </c>
      <c r="AC25" s="500">
        <f t="shared" si="29"/>
        <v>0</v>
      </c>
      <c r="AD25" s="500">
        <f t="shared" si="29"/>
        <v>0</v>
      </c>
      <c r="AE25" s="500">
        <f t="shared" si="29"/>
        <v>1301053.8270358609</v>
      </c>
      <c r="AF25" s="500">
        <f t="shared" si="29"/>
        <v>0</v>
      </c>
      <c r="AG25" s="500">
        <f t="shared" si="29"/>
        <v>0</v>
      </c>
      <c r="AH25" s="500">
        <f t="shared" si="29"/>
        <v>0</v>
      </c>
      <c r="AI25" s="500">
        <f t="shared" si="29"/>
        <v>0</v>
      </c>
      <c r="AJ25" s="500">
        <f t="shared" si="29"/>
        <v>927633.39744090394</v>
      </c>
      <c r="AK25" s="500">
        <f t="shared" si="29"/>
        <v>0</v>
      </c>
      <c r="AL25" s="500">
        <f t="shared" si="29"/>
        <v>0</v>
      </c>
      <c r="AM25" s="500">
        <f t="shared" si="29"/>
        <v>0</v>
      </c>
      <c r="AN25" s="500">
        <f t="shared" si="29"/>
        <v>0</v>
      </c>
      <c r="AO25" s="500">
        <f t="shared" si="29"/>
        <v>1842442.9920079259</v>
      </c>
      <c r="AP25" s="500">
        <f t="shared" si="29"/>
        <v>0</v>
      </c>
      <c r="AQ25" s="500">
        <f t="shared" si="29"/>
        <v>0</v>
      </c>
      <c r="AR25" s="500">
        <f t="shared" si="29"/>
        <v>0</v>
      </c>
      <c r="AS25" s="500">
        <f t="shared" si="29"/>
        <v>0</v>
      </c>
      <c r="AT25" s="500">
        <f t="shared" si="29"/>
        <v>0</v>
      </c>
      <c r="AU25" s="500">
        <f t="shared" si="29"/>
        <v>0</v>
      </c>
    </row>
    <row r="26" spans="1:47" x14ac:dyDescent="0.3">
      <c r="C26" s="67"/>
      <c r="J26" s="1"/>
      <c r="K26" s="72"/>
      <c r="L26" s="72"/>
      <c r="M26" s="72"/>
      <c r="N26" s="72"/>
      <c r="O26" s="72"/>
      <c r="P26" s="72"/>
      <c r="Q26" s="72"/>
      <c r="R26" s="72"/>
      <c r="S26" s="72"/>
      <c r="T26" s="72"/>
      <c r="U26" s="72"/>
      <c r="V26" s="72"/>
      <c r="W26" s="72"/>
      <c r="X26" s="72"/>
      <c r="Y26" s="72"/>
      <c r="Z26" s="72"/>
      <c r="AA26" s="72"/>
      <c r="AB26" s="72"/>
      <c r="AC26" s="72"/>
      <c r="AD26" s="72"/>
      <c r="AE26" s="72"/>
      <c r="AF26" s="72"/>
      <c r="AG26" s="72"/>
    </row>
    <row r="27" spans="1:47" x14ac:dyDescent="0.3">
      <c r="C27" s="67"/>
      <c r="J27" s="1"/>
      <c r="K27" s="72"/>
      <c r="L27" s="72"/>
      <c r="M27" s="72"/>
      <c r="N27" s="72"/>
      <c r="O27" s="72"/>
      <c r="P27" s="72"/>
      <c r="Q27" s="72"/>
      <c r="R27" s="72"/>
      <c r="S27" s="72"/>
      <c r="T27" s="72"/>
      <c r="U27" s="72"/>
      <c r="V27" s="72"/>
      <c r="W27" s="72"/>
      <c r="X27" s="72"/>
      <c r="Y27" s="72"/>
      <c r="Z27" s="72"/>
      <c r="AA27" s="72"/>
      <c r="AB27" s="72"/>
      <c r="AC27" s="72"/>
      <c r="AD27" s="72"/>
      <c r="AE27" s="72"/>
      <c r="AF27" s="72"/>
      <c r="AG27" s="72"/>
    </row>
    <row r="28" spans="1:47" ht="15" x14ac:dyDescent="0.3">
      <c r="C28" t="s">
        <v>467</v>
      </c>
      <c r="J28" s="502">
        <f>F11*F6+G11*G6+H11*H6+I11*I6</f>
        <v>6329734.9484821605</v>
      </c>
    </row>
    <row r="29" spans="1:47" ht="15" x14ac:dyDescent="0.3">
      <c r="C29" t="s">
        <v>468</v>
      </c>
      <c r="J29" s="502">
        <f>F11*F7+G11*G7+H11*H7+I11*I7</f>
        <v>5841586.2456203802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63</vt:i4>
      </vt:variant>
    </vt:vector>
  </HeadingPairs>
  <TitlesOfParts>
    <vt:vector size="75" baseType="lpstr">
      <vt:lpstr>Disclaimer</vt:lpstr>
      <vt:lpstr>Results</vt:lpstr>
      <vt:lpstr>Report Tables</vt:lpstr>
      <vt:lpstr>Inputs</vt:lpstr>
      <vt:lpstr>Accident Cost Saving</vt:lpstr>
      <vt:lpstr>Travel Time Savings</vt:lpstr>
      <vt:lpstr>Travel Time Saving-Interchanges</vt:lpstr>
      <vt:lpstr>Residual Value</vt:lpstr>
      <vt:lpstr>Project Data</vt:lpstr>
      <vt:lpstr>Project Costs</vt:lpstr>
      <vt:lpstr>Traffic Projection</vt:lpstr>
      <vt:lpstr>Deflation Factors</vt:lpstr>
      <vt:lpstr>AADT_current_DouglasInt</vt:lpstr>
      <vt:lpstr>AADT_future_DouglasInt</vt:lpstr>
      <vt:lpstr>Acc_Fatal_AndersonInt</vt:lpstr>
      <vt:lpstr>Acc_Fatal_DouglasInt</vt:lpstr>
      <vt:lpstr>Acc_Fatal_Mainlanes</vt:lpstr>
      <vt:lpstr>Acc_IncapacitatingInj_Anderson_Int</vt:lpstr>
      <vt:lpstr>Acc_IncapacitatingInj_DouglasInt</vt:lpstr>
      <vt:lpstr>Acc_IncapacitatingInj_Mailanes</vt:lpstr>
      <vt:lpstr>Acc_NonIncapacitatingInj_AndersonInt</vt:lpstr>
      <vt:lpstr>Acc_NonIncapacitatingInj_DouglasInt</vt:lpstr>
      <vt:lpstr>Acc_NonIncapacitatingInj_mainlanes</vt:lpstr>
      <vt:lpstr>Acc_PDO_AndersonInt</vt:lpstr>
      <vt:lpstr>Acc_PDO_DouglasInt</vt:lpstr>
      <vt:lpstr>Acc_PDO_Mainlanes</vt:lpstr>
      <vt:lpstr>Acc_PossibleInj_AndersonInt</vt:lpstr>
      <vt:lpstr>Acc_PossibleInj_DouglasInt</vt:lpstr>
      <vt:lpstr>Acc_PossibleInj_Mainlanes</vt:lpstr>
      <vt:lpstr>AccidentCost_Fatality</vt:lpstr>
      <vt:lpstr>AccidentCost_IncapacitatingInjury</vt:lpstr>
      <vt:lpstr>AccidentCost_NonIncapacitating_Injury</vt:lpstr>
      <vt:lpstr>AccidentCost_PDO</vt:lpstr>
      <vt:lpstr>AccidentCost_PossibleInjury</vt:lpstr>
      <vt:lpstr>Annual_Number_Weekdays</vt:lpstr>
      <vt:lpstr>Avg_Truck_Occ</vt:lpstr>
      <vt:lpstr>Avg_Veh_Occ</vt:lpstr>
      <vt:lpstr>Base.Year</vt:lpstr>
      <vt:lpstr>CAGR_Build_TT_Anderson_I240</vt:lpstr>
      <vt:lpstr>CAGR_Build_TT_Douglas_Anderson</vt:lpstr>
      <vt:lpstr>CAGR_Build_TT_Douglas_Interchange</vt:lpstr>
      <vt:lpstr>CAGR_Build_TT_Industrial</vt:lpstr>
      <vt:lpstr>CAGR_NoBuild_TT_Anderson_I240</vt:lpstr>
      <vt:lpstr>CAGR_NoBuild_TT_Douglas_Anderson</vt:lpstr>
      <vt:lpstr>CAGR_NoBuild_TT_Douglas_Interchange</vt:lpstr>
      <vt:lpstr>CAGR_NoBuild_TT_Industrial</vt:lpstr>
      <vt:lpstr>Disclaimer!Client.Name</vt:lpstr>
      <vt:lpstr>Client.Name</vt:lpstr>
      <vt:lpstr>days_in_year</vt:lpstr>
      <vt:lpstr>DeflatorRate</vt:lpstr>
      <vt:lpstr>Disclaimer1</vt:lpstr>
      <vt:lpstr>Disclaimer2</vt:lpstr>
      <vt:lpstr>Disclaimer3</vt:lpstr>
      <vt:lpstr>Disclaimer4</vt:lpstr>
      <vt:lpstr>GrowthRate_Anderson_I40</vt:lpstr>
      <vt:lpstr>GrowthRate_Douglas_Anderson</vt:lpstr>
      <vt:lpstr>GrowthRate_DouglasInterchange</vt:lpstr>
      <vt:lpstr>GrowthRate_West_Industrial</vt:lpstr>
      <vt:lpstr>Miles_Anderson_I240</vt:lpstr>
      <vt:lpstr>Miles_Douglas_Anderson</vt:lpstr>
      <vt:lpstr>number_of_victims_accident_Fatality</vt:lpstr>
      <vt:lpstr>number_of_victims_accident_incapacitating</vt:lpstr>
      <vt:lpstr>number_of_victims_accident_nonincapacitating</vt:lpstr>
      <vt:lpstr>number_of_victims_accident_PDO</vt:lpstr>
      <vt:lpstr>number_of_victims_accident_possibleInjry</vt:lpstr>
      <vt:lpstr>Disclaimer!Project.Name</vt:lpstr>
      <vt:lpstr>Project.Name</vt:lpstr>
      <vt:lpstr>Project_open_year</vt:lpstr>
      <vt:lpstr>Project_start_year</vt:lpstr>
      <vt:lpstr>Real_discount_rate</vt:lpstr>
      <vt:lpstr>Real_discount_rate_Sensitivity</vt:lpstr>
      <vt:lpstr>seconds_in_hour</vt:lpstr>
      <vt:lpstr>ShareTruck</vt:lpstr>
      <vt:lpstr>timevalue_auto</vt:lpstr>
      <vt:lpstr>TimeValue_truck</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Tomaszewska, Ewa</dc:creator>
  <cp:lastModifiedBy>OMES</cp:lastModifiedBy>
  <cp:lastPrinted>2020-02-12T20:11:25Z</cp:lastPrinted>
  <dcterms:created xsi:type="dcterms:W3CDTF">2018-11-16T14:34:15Z</dcterms:created>
  <dcterms:modified xsi:type="dcterms:W3CDTF">2020-02-25T20:40:20Z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5640abd3-2d36-42fe-a282-920696270993</vt:lpwstr>
  </property>
</Properties>
</file>