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I:\WQD-DWSRF\Water Loss Auditing and Control\Water Loss Auditing Forms\"/>
    </mc:Choice>
  </mc:AlternateContent>
  <xr:revisionPtr revIDLastSave="0" documentId="13_ncr:1_{1FB5C80D-02FA-49B6-9BB8-3B7002A18917}" xr6:coauthVersionLast="45" xr6:coauthVersionMax="45" xr10:uidLastSave="{00000000-0000-0000-0000-000000000000}"/>
  <workbookProtection workbookPassword="FDB7" lockStructure="1"/>
  <bookViews>
    <workbookView xWindow="-108" yWindow="-108" windowWidth="23256" windowHeight="12576"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P72" i="53" s="1"/>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59" i="53" l="1"/>
  <c r="BP82" i="53"/>
  <c r="BP80" i="53"/>
  <c r="BP58" i="53"/>
  <c r="BP79" i="53"/>
  <c r="BP74" i="53"/>
  <c r="BP81" i="53"/>
  <c r="BP60" i="53"/>
  <c r="BP56" i="53" s="1"/>
  <c r="BP73" i="53"/>
  <c r="BP25" i="53"/>
  <c r="AB33" i="53"/>
  <c r="BP34" i="53"/>
  <c r="BP18" i="53"/>
  <c r="BP32" i="53"/>
  <c r="BP26" i="53"/>
  <c r="BP27" i="53"/>
  <c r="BP19" i="53"/>
  <c r="BP33" i="53"/>
  <c r="BP20" i="53"/>
  <c r="BP48" i="53"/>
  <c r="BP46" i="53"/>
  <c r="BP40" i="53"/>
  <c r="BP47" i="53"/>
  <c r="BP39" i="53"/>
  <c r="BP41" i="53"/>
  <c r="D44" i="56"/>
  <c r="BP70" i="53" l="1"/>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E8" i="27" s="1"/>
  <c r="C11" i="27" s="1"/>
  <c r="O2" i="27"/>
  <c r="K13" i="27" s="1"/>
  <c r="B3" i="27"/>
  <c r="C3" i="27"/>
  <c r="B4" i="27"/>
  <c r="C4" i="27"/>
  <c r="D4" i="27"/>
  <c r="N4" i="27"/>
  <c r="F5" i="27"/>
  <c r="D2" i="27" s="1"/>
  <c r="D7" i="27"/>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<sst xmlns="http://schemas.openxmlformats.org/spreadsheetml/2006/main" count="2455" uniqueCount="1276">
  <si>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</si>
  <si>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</si>
  <si>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</si>
  <si>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</si>
  <si>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</si>
  <si>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</si>
  <si>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</si>
  <si>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</si>
  <si>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</si>
  <si>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</si>
  <si>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</si>
  <si>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</si>
  <si>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</si>
  <si>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</si>
  <si>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</si>
  <si>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</si>
  <si>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</si>
  <si>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</si>
  <si>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</si>
  <si>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</si>
  <si>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</si>
  <si>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</si>
  <si>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</si>
  <si>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</si>
  <si>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</si>
  <si>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</si>
  <si>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</si>
  <si>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</si>
  <si>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</si>
  <si>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</si>
  <si>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</si>
  <si>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</si>
  <si>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</si>
  <si>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</si>
  <si>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</si>
  <si>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</si>
  <si>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</si>
  <si>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</si>
  <si>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</si>
  <si>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</si>
  <si>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</si>
  <si>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</si>
  <si>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</si>
  <si>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</si>
  <si>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</si>
  <si>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</si>
  <si>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</si>
  <si>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</si>
  <si>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</si>
  <si>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</si>
  <si>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</si>
  <si>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</si>
  <si>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</si>
  <si>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</si>
  <si>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</si>
  <si>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</si>
  <si>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</si>
  <si>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</si>
  <si>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</si>
  <si>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</si>
  <si>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</si>
  <si>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</si>
  <si>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</si>
  <si>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</si>
  <si>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</si>
  <si>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</si>
  <si>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</si>
  <si>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</si>
  <si>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</si>
  <si>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</si>
  <si>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</si>
  <si>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</si>
  <si>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</si>
  <si>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</si>
  <si>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</si>
  <si>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</si>
  <si>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</si>
  <si>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</si>
  <si>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</si>
  <si>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</si>
  <si>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</si>
  <si>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</si>
  <si>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</si>
  <si>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</si>
  <si>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</si>
  <si>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</si>
  <si>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</si>
  <si>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</si>
  <si>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</si>
  <si>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</si>
  <si>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</si>
  <si>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</si>
  <si>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</si>
  <si>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</si>
  <si>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</si>
  <si>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</si>
  <si>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</si>
  <si>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</si>
  <si>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</si>
  <si>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</si>
  <si>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</si>
  <si>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</si>
  <si>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</si>
  <si>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</si>
  <si>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</si>
  <si>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</si>
  <si>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</si>
  <si>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</si>
  <si>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</si>
  <si>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</si>
  <si>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</si>
  <si>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</si>
  <si>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</si>
  <si>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</si>
  <si>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</si>
  <si>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</si>
  <si>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</si>
  <si>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</si>
  <si>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</si>
  <si>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</si>
  <si>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</si>
  <si>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</si>
  <si>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</si>
  <si>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</si>
  <si>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</si>
  <si>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</si>
  <si>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</si>
  <si>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</si>
  <si>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</si>
  <si>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</si>
  <si>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</si>
  <si>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</si>
  <si>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</si>
  <si>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</si>
  <si>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</si>
  <si>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</si>
  <si>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</si>
  <si>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</si>
  <si>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</si>
  <si>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</si>
  <si>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</si>
  <si>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</si>
  <si>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</si>
  <si>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</si>
  <si>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</si>
  <si>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</si>
  <si>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</si>
  <si>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</si>
  <si>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</si>
  <si>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</si>
  <si>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</si>
  <si>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</si>
  <si>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</si>
  <si>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</si>
  <si>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</si>
  <si>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</si>
  <si>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</si>
  <si>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</si>
  <si>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</si>
  <si>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</si>
  <si>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</si>
  <si>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</si>
  <si>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</si>
  <si>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</si>
  <si>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</si>
  <si>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</si>
  <si>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</si>
  <si>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</si>
  <si>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</si>
  <si>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</si>
  <si>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</si>
  <si>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</si>
  <si>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</si>
  <si>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</si>
  <si>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</si>
  <si>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</si>
  <si>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</si>
  <si>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</si>
  <si>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</si>
  <si>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</si>
  <si>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</si>
  <si>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</si>
  <si>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</si>
  <si>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</si>
  <si>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</si>
  <si>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</si>
  <si>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</si>
  <si>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</si>
  <si>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</si>
  <si>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</si>
  <si>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</si>
  <si>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</si>
  <si>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</si>
  <si>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</si>
  <si>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</si>
  <si>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</si>
  <si>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</si>
  <si>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</si>
  <si>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</si>
  <si>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</si>
  <si>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</si>
  <si>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</si>
  <si>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</si>
  <si>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</si>
  <si>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</si>
  <si>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</si>
  <si>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</si>
  <si>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</si>
  <si>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</si>
  <si>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</si>
  <si>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</si>
  <si>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</si>
  <si>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</si>
  <si>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</si>
  <si>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</si>
  <si>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</si>
  <si>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</si>
  <si>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</si>
  <si>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</si>
  <si>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</si>
  <si>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</si>
  <si>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</si>
  <si>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</si>
  <si>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</si>
  <si>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</si>
  <si>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</si>
  <si>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</si>
  <si>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</si>
  <si>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</si>
  <si>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</si>
  <si>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</si>
  <si>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</si>
  <si>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</si>
  <si>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</si>
  <si>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</si>
  <si>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</si>
  <si>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</si>
  <si>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</si>
  <si>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</si>
  <si>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</si>
  <si>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</si>
  <si>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</si>
  <si>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</si>
  <si>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</si>
  <si>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</si>
  <si>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</si>
  <si>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</si>
  <si>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</si>
  <si>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</si>
  <si>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</si>
  <si>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</si>
  <si>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</si>
  <si>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</si>
  <si>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</si>
  <si>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</si>
  <si>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</si>
  <si>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</si>
  <si>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</si>
  <si>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</si>
  <si>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</si>
  <si>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</si>
  <si>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</si>
  <si>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</si>
  <si>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</si>
  <si>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</si>
  <si>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</si>
  <si>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</si>
  <si>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</si>
  <si>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</si>
  <si>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</si>
  <si>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</si>
  <si>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</si>
  <si>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</si>
  <si>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</si>
  <si>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</si>
  <si>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</si>
  <si>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</si>
  <si>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</si>
  <si>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</si>
  <si>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</si>
  <si>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</si>
  <si>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</si>
  <si>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</si>
  <si>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</si>
  <si>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</si>
  <si>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</si>
  <si>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</si>
  <si>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</si>
  <si>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</si>
  <si>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</si>
  <si>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</si>
  <si>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</si>
  <si>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</si>
  <si>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</si>
  <si>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</si>
  <si>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</si>
  <si>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</si>
  <si>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</si>
  <si>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</si>
  <si>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</si>
  <si>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</si>
  <si>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</si>
  <si>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</si>
  <si>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</si>
  <si>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</si>
  <si>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</si>
  <si>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</si>
  <si>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</si>
  <si>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</si>
  <si>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</si>
  <si>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</si>
  <si>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</si>
  <si>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</si>
  <si>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</si>
  <si>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</si>
  <si>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</si>
  <si>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</si>
  <si>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</si>
  <si>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</si>
  <si>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</si>
  <si>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</si>
  <si>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</si>
  <si>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</si>
  <si>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</si>
  <si>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</si>
  <si>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</si>
  <si>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</si>
  <si>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</si>
  <si>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</si>
  <si>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</si>
  <si>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</si>
  <si>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</si>
  <si>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</si>
  <si>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</si>
  <si>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</si>
  <si>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</si>
  <si>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</si>
  <si>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</si>
  <si>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</si>
  <si>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</si>
  <si>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</si>
  <si>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</si>
  <si>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</si>
  <si>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</si>
  <si>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</si>
  <si>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</si>
  <si>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</si>
  <si>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</si>
  <si>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</si>
  <si>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</si>
  <si>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</si>
  <si>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</si>
  <si>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</si>
  <si>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</si>
  <si>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</si>
  <si>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</si>
  <si>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</si>
  <si>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</si>
  <si>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</si>
  <si>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</si>
  <si>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</si>
  <si>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</si>
  <si>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</si>
  <si>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</si>
  <si>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</si>
  <si>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</si>
  <si>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</si>
  <si>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</si>
  <si>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</si>
  <si>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</si>
  <si>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</si>
  <si>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</si>
  <si>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</si>
  <si>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</si>
  <si>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</si>
  <si>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</si>
  <si>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</si>
  <si>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</si>
  <si>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</si>
  <si>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</si>
  <si>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</si>
  <si>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</si>
  <si>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</si>
  <si>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</si>
  <si>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</si>
  <si>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</si>
  <si>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</si>
  <si>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</si>
  <si>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</si>
  <si>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</si>
  <si>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</si>
  <si>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</si>
  <si>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</si>
  <si>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</si>
  <si>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</si>
  <si>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</si>
  <si>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</si>
  <si>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</si>
  <si>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</si>
  <si>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</si>
  <si>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</si>
  <si>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</si>
  <si>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</si>
  <si>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</si>
  <si>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</si>
  <si>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</si>
  <si>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</si>
  <si>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</si>
  <si>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</si>
  <si>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</si>
  <si>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</si>
  <si>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</si>
  <si>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</si>
  <si>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</si>
  <si>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</si>
  <si>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</si>
  <si>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</si>
  <si>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</si>
  <si>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</si>
  <si>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</si>
  <si>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</si>
  <si>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</si>
  <si>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</si>
  <si>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</si>
  <si>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</si>
  <si>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</si>
  <si>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</si>
  <si>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</si>
  <si>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</si>
  <si>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</si>
  <si>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</si>
  <si>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</si>
  <si>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</si>
  <si>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</si>
  <si>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</si>
  <si>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</si>
  <si>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</si>
  <si>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</si>
  <si>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</si>
  <si>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</si>
  <si>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</si>
  <si>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</si>
  <si>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</si>
  <si>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</si>
  <si>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</si>
  <si>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</si>
  <si>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</si>
  <si>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</si>
  <si>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</si>
  <si>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</si>
  <si>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</si>
  <si>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</si>
  <si>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</si>
  <si>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</si>
  <si>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</si>
  <si>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</si>
  <si>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</si>
  <si>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</si>
  <si>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</si>
  <si>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</si>
  <si>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</si>
  <si>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</si>
  <si>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</si>
  <si>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</si>
  <si>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</si>
  <si>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</si>
  <si>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</si>
  <si>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</si>
  <si>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</si>
  <si>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</si>
  <si>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</si>
  <si>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</si>
  <si>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</si>
  <si>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</si>
  <si>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</si>
  <si>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</si>
  <si>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</si>
  <si>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</si>
  <si>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</si>
  <si>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</si>
  <si>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</si>
  <si>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</si>
  <si>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</si>
  <si>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</si>
  <si>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</si>
  <si>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</si>
  <si>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</si>
  <si>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</si>
  <si>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</si>
  <si>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</si>
  <si>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</si>
  <si>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</si>
  <si>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</si>
  <si>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</si>
  <si>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</si>
  <si>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</si>
  <si>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</si>
  <si>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</si>
  <si>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</si>
  <si>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</si>
  <si>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</si>
  <si>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</si>
  <si>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</si>
  <si>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</si>
  <si>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</si>
  <si>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</si>
  <si>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</si>
  <si>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</si>
  <si>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</si>
  <si>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</si>
  <si>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</si>
  <si>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</si>
  <si>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</si>
  <si>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</si>
  <si>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</si>
  <si>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</si>
  <si>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</si>
  <si>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</si>
  <si>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</si>
  <si>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</si>
  <si>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</si>
  <si>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</si>
  <si>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</si>
  <si>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</si>
  <si>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</si>
  <si>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</si>
  <si>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</si>
  <si>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</si>
  <si>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</si>
  <si>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</si>
  <si>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</si>
  <si>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</si>
  <si>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</si>
  <si>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</si>
  <si>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</si>
  <si>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</si>
  <si>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</si>
  <si>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</si>
  <si>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</si>
  <si>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</si>
  <si>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</si>
  <si>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</si>
  <si>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</si>
  <si>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</si>
  <si>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</si>
  <si>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</si>
  <si>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</si>
  <si>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</si>
  <si>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</si>
  <si>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</si>
  <si>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</si>
  <si>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</si>
  <si>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</si>
  <si>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</si>
  <si>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</si>
  <si>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</si>
  <si>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</si>
  <si>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</si>
  <si>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</si>
  <si>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</si>
  <si>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</si>
  <si>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</si>
  <si>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</si>
  <si>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</si>
  <si>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</si>
  <si>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</si>
  <si>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</si>
  <si>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</si>
  <si>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</si>
  <si>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</si>
  <si>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</si>
  <si>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</si>
  <si>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</si>
  <si>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</si>
  <si>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</si>
  <si>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</si>
  <si>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</si>
  <si>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</si>
  <si>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</si>
  <si>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</si>
  <si>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</si>
  <si>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</si>
  <si>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</si>
  <si>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</si>
  <si>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</si>
  <si>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</si>
  <si>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</si>
  <si>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</si>
  <si>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</si>
  <si>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</si>
  <si>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</si>
  <si>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</si>
  <si>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</si>
  <si>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</si>
  <si>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</si>
  <si>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</si>
  <si>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</si>
  <si>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</si>
  <si>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</si>
  <si>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</si>
  <si>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</si>
  <si>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</si>
  <si>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</si>
  <si>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</si>
  <si>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</si>
  <si>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</si>
  <si>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</si>
  <si>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</si>
  <si>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</si>
  <si>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</si>
  <si>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</si>
  <si>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</si>
  <si>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</si>
  <si>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</si>
  <si>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</si>
  <si>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</si>
  <si>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</si>
  <si>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</si>
  <si>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</si>
  <si>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</si>
  <si>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</si>
  <si>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</si>
  <si>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</si>
  <si>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</si>
  <si>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</si>
  <si>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</si>
  <si>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</si>
  <si>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</si>
  <si>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</si>
  <si>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</si>
  <si>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</si>
  <si>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</si>
  <si>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</si>
  <si>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</si>
  <si>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</si>
  <si>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</si>
  <si>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</si>
  <si>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</si>
  <si>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</si>
  <si>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</si>
  <si>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</si>
  <si>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</si>
  <si>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</si>
  <si>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</si>
  <si>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</si>
  <si>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</si>
  <si>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</si>
  <si>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</si>
  <si>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</si>
  <si>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</si>
  <si>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</si>
  <si>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</si>
  <si>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</si>
  <si>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</si>
  <si>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</si>
  <si>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</si>
  <si>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</si>
  <si>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</si>
  <si>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</si>
  <si>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</si>
  <si>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</si>
  <si>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</si>
  <si>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</si>
  <si>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</si>
  <si>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</si>
  <si>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</si>
  <si>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</si>
  <si>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</si>
  <si>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</si>
  <si>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</si>
  <si>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</si>
  <si>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</si>
  <si>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</si>
  <si>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</si>
  <si>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</si>
  <si>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</si>
  <si>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</si>
  <si>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</si>
  <si>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</si>
  <si>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</si>
  <si>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</si>
  <si>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</si>
  <si>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</si>
  <si>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</si>
  <si>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</si>
  <si>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</si>
  <si>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</si>
  <si>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</si>
  <si>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</si>
  <si>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</si>
  <si>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</si>
  <si>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</si>
  <si>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</si>
  <si>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</si>
  <si>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</si>
  <si>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</si>
  <si>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</si>
  <si>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</si>
  <si>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</si>
  <si>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</si>
  <si>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</si>
  <si>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</si>
  <si>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</si>
  <si>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</si>
  <si>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</si>
  <si>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</si>
  <si>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</si>
  <si>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</si>
  <si>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</si>
  <si>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</si>
  <si>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</si>
  <si>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</si>
  <si>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</si>
  <si>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</si>
  <si>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</si>
  <si>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</si>
  <si>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</si>
  <si>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</si>
  <si>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</si>
  <si>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</si>
  <si>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</si>
  <si>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</si>
  <si>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</si>
  <si>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</si>
  <si>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</si>
  <si>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</si>
  <si>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</si>
  <si>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</si>
  <si>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</si>
  <si>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</si>
  <si>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</si>
  <si>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</si>
  <si>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</si>
  <si>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</si>
  <si>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</si>
  <si>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</si>
  <si>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</si>
  <si>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</si>
  <si>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</si>
  <si>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</si>
  <si>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</si>
  <si>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</si>
  <si>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</si>
  <si>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</si>
  <si>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</si>
  <si>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</si>
  <si>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</si>
  <si>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</si>
  <si>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</si>
  <si>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</si>
  <si>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</si>
  <si>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</si>
  <si>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</si>
  <si>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</si>
  <si>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</si>
  <si>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</si>
  <si>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</si>
  <si>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</si>
  <si>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</si>
  <si>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</si>
  <si>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</si>
  <si>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</si>
  <si>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</si>
  <si>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</si>
  <si>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</si>
  <si>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</si>
  <si>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</si>
  <si>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</si>
  <si>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</si>
  <si>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</si>
  <si>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</si>
  <si>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</si>
  <si>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</si>
  <si>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</si>
  <si>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</si>
  <si>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</si>
  <si>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</si>
  <si>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</si>
  <si>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</si>
  <si>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</si>
  <si>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</si>
  <si>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</si>
  <si>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</si>
  <si>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</si>
  <si>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</si>
  <si>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</si>
  <si>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</si>
  <si>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</si>
  <si>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</si>
  <si>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</si>
  <si>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</si>
  <si>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</si>
  <si>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</si>
  <si>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</si>
  <si>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</si>
  <si>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</si>
  <si>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</si>
  <si>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</si>
  <si>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</si>
  <si>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</si>
  <si>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</si>
  <si>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</si>
  <si>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</si>
  <si>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</si>
  <si>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</si>
  <si>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</si>
  <si>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</si>
  <si>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</si>
  <si>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</si>
  <si>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</si>
  <si>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</si>
  <si>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</si>
  <si>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</si>
  <si>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</si>
  <si>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</si>
  <si>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</si>
  <si>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</si>
  <si>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</si>
  <si>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</si>
  <si>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</si>
  <si>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</si>
  <si>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</si>
  <si>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</si>
  <si>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</si>
  <si>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</si>
  <si>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</si>
  <si>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</si>
  <si>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</si>
  <si>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</si>
  <si>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</si>
  <si>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</si>
  <si>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</si>
  <si>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</si>
  <si>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</si>
  <si>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</si>
  <si>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</si>
  <si>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</si>
  <si>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</si>
  <si>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</si>
  <si>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</si>
  <si>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</si>
  <si>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</si>
  <si>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</si>
  <si>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</si>
  <si>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</si>
  <si>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</si>
  <si>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</si>
  <si>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</si>
  <si>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</si>
  <si>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</si>
  <si>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</si>
  <si>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</si>
  <si>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</si>
  <si>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</si>
  <si>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</si>
  <si>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</si>
  <si>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</si>
  <si>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</si>
  <si>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</si>
  <si>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</si>
  <si>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</si>
  <si>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</si>
  <si>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</si>
  <si>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</si>
  <si>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</si>
  <si>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</si>
  <si>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</si>
  <si>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</si>
  <si>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</si>
  <si>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</si>
  <si>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</si>
  <si>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</si>
  <si>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</si>
  <si>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</si>
  <si>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</si>
  <si>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</si>
  <si>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</si>
  <si>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</si>
  <si>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</si>
  <si>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</si>
  <si>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</si>
  <si>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</si>
  <si>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</si>
  <si>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</si>
  <si>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</si>
  <si>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</si>
  <si>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</si>
  <si>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</si>
  <si>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</si>
  <si>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</si>
  <si>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</si>
  <si>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</si>
  <si>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</si>
  <si>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</si>
  <si>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</si>
  <si>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</si>
  <si>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</si>
  <si>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</si>
  <si>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</si>
  <si>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</si>
  <si>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</si>
  <si>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</si>
  <si>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</si>
  <si>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</si>
  <si>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</si>
  <si>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</si>
  <si>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</si>
  <si>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</si>
  <si>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</si>
  <si>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</si>
  <si>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</si>
  <si>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</si>
  <si>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</si>
  <si>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</si>
  <si>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</si>
  <si>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</si>
  <si>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</si>
  <si>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</si>
  <si>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</si>
  <si>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</si>
  <si>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</si>
  <si>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</si>
  <si>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</si>
  <si>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</si>
  <si>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</si>
  <si>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</si>
  <si>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</si>
  <si>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</si>
  <si>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</si>
  <si>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</si>
  <si>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</si>
  <si>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</si>
  <si>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</si>
  <si>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</si>
  <si>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</si>
  <si>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</si>
  <si>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</si>
  <si>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</si>
  <si>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</si>
  <si>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</si>
  <si>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</si>
  <si>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</si>
  <si>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</si>
  <si>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</si>
  <si>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</si>
  <si>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</si>
  <si>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</si>
  <si>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</si>
  <si>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</si>
  <si>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</si>
  <si>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</si>
  <si>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</si>
  <si>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</si>
  <si>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</si>
  <si>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</si>
  <si>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</si>
  <si>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</si>
  <si>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</si>
  <si>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</si>
  <si>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</si>
  <si>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</si>
  <si>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</si>
  <si>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</si>
  <si>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</si>
  <si>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</si>
  <si>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</si>
  <si>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</si>
  <si>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</si>
  <si>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</si>
  <si>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</si>
  <si>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</si>
  <si>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</si>
  <si>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</si>
  <si>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</si>
  <si>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</si>
  <si>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</si>
  <si>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</si>
  <si>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</si>
  <si>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</si>
  <si>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</si>
  <si>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</si>
  <si>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</si>
  <si>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</si>
  <si>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</si>
  <si>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</si>
  <si>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</si>
  <si>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</si>
  <si>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</si>
  <si>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</si>
  <si>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</si>
  <si>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</si>
  <si>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</si>
  <si>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</si>
  <si>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</si>
  <si>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</si>
  <si>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</si>
  <si>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</si>
  <si>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</si>
  <si>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</si>
  <si>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</si>
  <si>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</si>
  <si>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</si>
  <si>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</si>
  <si>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</si>
  <si>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</si>
  <si>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</si>
  <si>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</si>
  <si>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</si>
  <si>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</si>
  <si>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</si>
  <si>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</si>
  <si>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</si>
  <si>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</si>
  <si>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</si>
  <si>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</si>
  <si>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</si>
  <si>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</si>
  <si>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</si>
  <si>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</si>
  <si>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</si>
  <si>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</si>
  <si>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</si>
  <si>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</si>
  <si>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</si>
  <si>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</si>
  <si>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</si>
  <si>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</si>
  <si>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</si>
  <si>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</si>
  <si>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</si>
  <si>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</si>
  <si>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</si>
  <si>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</si>
  <si>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</si>
  <si>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</si>
  <si>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</si>
  <si>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</si>
  <si>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</si>
  <si>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</si>
  <si>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</si>
  <si>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</si>
  <si>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</si>
  <si>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</si>
  <si>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</si>
  <si>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</si>
  <si>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</si>
  <si>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</si>
  <si>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</si>
  <si>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</si>
  <si>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</si>
  <si>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</si>
  <si>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</si>
  <si>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</si>
  <si>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</si>
  <si>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</si>
  <si>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</si>
  <si>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</si>
  <si>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</si>
  <si>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</si>
  <si>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</si>
  <si>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</si>
  <si>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</si>
  <si>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</si>
  <si>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</si>
  <si>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</si>
  <si>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</si>
  <si>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</si>
  <si>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</si>
  <si>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</si>
  <si>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</si>
  <si>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</si>
  <si>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</si>
  <si>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</si>
  <si>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</si>
  <si>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</si>
  <si>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</si>
  <si>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</si>
  <si>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</si>
  <si>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</si>
  <si>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</si>
  <si>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</si>
  <si>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</si>
  <si>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</si>
  <si>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</si>
  <si>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</si>
  <si>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</si>
  <si>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</si>
  <si>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</si>
  <si>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</si>
  <si>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</si>
  <si>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</si>
  <si>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</si>
  <si>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</si>
  <si>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</si>
  <si>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</si>
  <si>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</si>
  <si>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</si>
  <si>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</si>
  <si>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</si>
  <si>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</si>
  <si>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</si>
  <si>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</si>
  <si>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</si>
  <si>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</si>
  <si>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</si>
  <si>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</si>
  <si>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</si>
  <si>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</si>
  <si>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</si>
  <si>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</si>
  <si>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</si>
  <si>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</si>
  <si>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</si>
  <si>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</si>
  <si>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</si>
  <si>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</si>
  <si>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</si>
  <si>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</si>
  <si>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</si>
  <si>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</si>
  <si>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</si>
  <si>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</si>
  <si>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</si>
  <si>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</si>
  <si>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</si>
  <si>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</si>
  <si>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</si>
  <si>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</si>
  <si>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</si>
  <si>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</si>
  <si>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</si>
  <si>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</si>
  <si>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</si>
  <si>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</si>
  <si>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</si>
  <si>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</si>
  <si>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</si>
  <si>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</si>
  <si>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</si>
  <si>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</si>
  <si>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</si>
  <si>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</si>
  <si>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</si>
  <si>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</si>
  <si>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</si>
  <si>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</si>
  <si>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</si>
  <si>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</si>
  <si>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</si>
  <si>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</si>
  <si>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</si>
  <si>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</si>
  <si>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</si>
  <si>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</si>
  <si>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</si>
  <si>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</si>
  <si>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</si>
  <si>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</si>
  <si>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</si>
  <si>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</si>
  <si>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</si>
  <si>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</si>
  <si>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</si>
  <si>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</si>
  <si>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</si>
  <si>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</si>
  <si>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</si>
  <si>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</si>
  <si>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</si>
  <si>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</si>
  <si>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</si>
  <si>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</si>
  <si>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</si>
  <si>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</si>
  <si>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</si>
  <si>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</si>
  <si>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</si>
  <si>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</si>
  <si>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</si>
  <si>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</si>
  <si>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</si>
  <si>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</si>
  <si>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</si>
  <si>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</si>
  <si>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</si>
  <si>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</si>
  <si>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</si>
  <si>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</si>
  <si>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</si>
  <si>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</si>
  <si>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</si>
  <si>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</si>
  <si>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</si>
  <si>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</si>
  <si>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</si>
  <si>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</si>
  <si>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</si>
  <si>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</si>
  <si>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</si>
  <si>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</si>
  <si>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</si>
  <si>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</si>
  <si>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</si>
  <si>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</si>
  <si>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</si>
  <si>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</si>
  <si>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</si>
  <si>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</si>
  <si>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</si>
  <si>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</si>
  <si>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</si>
  <si>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</si>
  <si>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</si>
  <si>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</si>
  <si>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</si>
  <si>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</si>
  <si>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</si>
  <si>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</si>
  <si>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</si>
  <si>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</si>
  <si>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</si>
  <si>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</si>
  <si>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</si>
  <si>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</si>
  <si>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</si>
  <si>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</si>
  <si>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</si>
  <si>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</si>
  <si>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</si>
  <si>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</si>
  <si>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</si>
  <si>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</si>
  <si>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</si>
  <si>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</si>
  <si>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</si>
  <si>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</si>
  <si>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</si>
  <si>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</si>
  <si>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</si>
  <si>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</si>
  <si>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</si>
  <si>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</si>
  <si>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</si>
  <si>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</si>
  <si>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</si>
  <si>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</si>
  <si>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</si>
  <si>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</si>
  <si>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</si>
  <si>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</si>
  <si>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</si>
  <si>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</si>
  <si>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</si>
  <si>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</si>
  <si>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</si>
  <si>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</si>
  <si>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</si>
  <si>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</si>
  <si>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</si>
  <si>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</si>
  <si>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</si>
  <si>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</si>
  <si>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</si>
  <si>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</si>
  <si>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</si>
  <si>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</si>
  <si>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</si>
  <si>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</si>
  <si>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select...</t>
  </si>
  <si>
    <t>under-registration</t>
  </si>
  <si>
    <t>Emergency Fix</t>
  </si>
  <si>
    <t>E Fix</t>
  </si>
  <si>
    <t>6.0_2020_12_03</t>
  </si>
  <si>
    <t>RATE STRUCTURE equation: how much does it cost to purchase 8,000 gallons? Then divide by 8</t>
  </si>
  <si>
    <t>Equation:chemical costs (if any) + electric costs + purchase cost (if any) = x / WATER SUPPLIED VALUE</t>
  </si>
  <si>
    <t>include active and innactive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</si>
</sst>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1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Border="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168" fontId="103" fillId="0" borderId="0" xfId="0" applyNumberFormat="1" applyFont="1" applyFill="1" applyBorder="1" applyAlignment="1" applyProtection="1">
      <alignment horizontal="left"/>
      <protection locked="0"/>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6" fillId="0" borderId="0" xfId="4" applyFont="1" applyFill="1" applyBorder="1" applyAlignment="1" applyProtection="1">
      <alignment horizontal="right"/>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Fill="1" applyAlignment="1">
      <alignment horizontal="center" vertical="center"/>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158" fillId="0" borderId="0" xfId="0" applyFont="1" applyFill="1" applyBorder="1" applyAlignment="1" applyProtection="1">
      <alignment horizontal="center"/>
      <protection hidden="1"/>
    </xf>
    <xf numFmtId="0" fontId="39" fillId="0" borderId="0" xfId="0" applyFont="1" applyFill="1" applyBorder="1" applyAlignment="1" applyProtection="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0"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11" fillId="0" borderId="4"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7" fillId="0" borderId="67" xfId="0" applyFont="1" applyFill="1" applyBorder="1" applyAlignment="1">
      <alignment horizontal="center" vertical="center"/>
    </xf>
    <xf numFmtId="0" fontId="11" fillId="0" borderId="68"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12" fillId="0" borderId="32" xfId="0" applyFont="1" applyFill="1" applyBorder="1" applyAlignment="1">
      <alignment horizontal="left" vertical="center" wrapText="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7" fillId="0" borderId="16" xfId="0" applyFont="1" applyFill="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0</c:v>
                </c:pt>
                <c:pt idx="1">
                  <c:v>0.92482240795754933</c:v>
                </c:pt>
                <c:pt idx="2">
                  <c:v>114.67797858673612</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0</c:v>
                </c:pt>
                <c:pt idx="1">
                  <c:v>0.38772920688421864</c:v>
                </c:pt>
                <c:pt idx="2">
                  <c:v>48.078421653643112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0</c:v>
                </c:pt>
                <c:pt idx="1">
                  <c:v>1.2666666666666666</c:v>
                </c:pt>
                <c:pt idx="2" formatCode="General">
                  <c:v>198.73333333333332</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0</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0</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0</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0</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0</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0</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-52.334191473572488</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21.jpeg"/><Relationship Id="rId1" Type="http://schemas.openxmlformats.org/officeDocument/2006/relationships/image" Target="../media/image2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4.png"/><Relationship Id="rId1" Type="http://schemas.openxmlformats.org/officeDocument/2006/relationships/image" Target="../media/image2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hyperlink" Target="#'Interactive Data Grading'!VOS"/><Relationship Id="rId18" Type="http://schemas.openxmlformats.org/officeDocument/2006/relationships/hyperlink" Target="#'Interactive Data Grading'!Lm"/><Relationship Id="rId3" Type="http://schemas.openxmlformats.org/officeDocument/2006/relationships/image" Target="../media/image4.emf"/><Relationship Id="rId21" Type="http://schemas.openxmlformats.org/officeDocument/2006/relationships/hyperlink" Target="#'Interactive Data Grading'!CRUC"/><Relationship Id="rId7" Type="http://schemas.openxmlformats.org/officeDocument/2006/relationships/hyperlink" Target="#'Interactive Data Grading'!BMAC"/><Relationship Id="rId12" Type="http://schemas.openxmlformats.org/officeDocument/2006/relationships/hyperlink" Target="#'Interactive Data Grading'!WIEA"/><Relationship Id="rId17" Type="http://schemas.openxmlformats.org/officeDocument/2006/relationships/hyperlink" Target="#'Interactive Data Grading'!AOP"/><Relationship Id="rId25" Type="http://schemas.openxmlformats.org/officeDocument/2006/relationships/image" Target="../media/image1.png"/><Relationship Id="rId2" Type="http://schemas.openxmlformats.org/officeDocument/2006/relationships/hyperlink" Target="#'Interactive Data Grading'!CMI"/><Relationship Id="rId16" Type="http://schemas.openxmlformats.org/officeDocument/2006/relationships/image" Target="../media/image6.emf"/><Relationship Id="rId20" Type="http://schemas.openxmlformats.org/officeDocument/2006/relationships/hyperlink" Target="#'Interactive Data Grading'!Lp"/><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hyperlink" Target="#'Interactive Data Grading'!WE"/><Relationship Id="rId24" Type="http://schemas.openxmlformats.org/officeDocument/2006/relationships/hyperlink" Target="#'Interactive Data Grading'!UUAC"/><Relationship Id="rId5" Type="http://schemas.openxmlformats.org/officeDocument/2006/relationships/hyperlink" Target="#'Interactive Data Grading'!UC"/><Relationship Id="rId15" Type="http://schemas.openxmlformats.org/officeDocument/2006/relationships/hyperlink" Target="#'Interactive Data Grading'!WI"/><Relationship Id="rId23" Type="http://schemas.openxmlformats.org/officeDocument/2006/relationships/hyperlink" Target="#'Interactive Data Grading'!VPC"/><Relationship Id="rId10" Type="http://schemas.openxmlformats.org/officeDocument/2006/relationships/hyperlink" Target="#'Interactive Data Grading'!WEEA"/><Relationship Id="rId19" Type="http://schemas.openxmlformats.org/officeDocument/2006/relationships/hyperlink" Target="#'Interactive Data Grading'!Nc"/><Relationship Id="rId4" Type="http://schemas.openxmlformats.org/officeDocument/2006/relationships/hyperlink" Target="#'Interactive Data Grading'!SDHE"/><Relationship Id="rId9" Type="http://schemas.openxmlformats.org/officeDocument/2006/relationships/hyperlink" Target="#'Interactive Data Grading'!BUAC"/><Relationship Id="rId14" Type="http://schemas.openxmlformats.org/officeDocument/2006/relationships/hyperlink" Target="#'Interactive Data Grading'!VOSEA"/><Relationship Id="rId22" Type="http://schemas.openxmlformats.org/officeDocument/2006/relationships/image" Target="../media/image7.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4.png"/><Relationship Id="rId3" Type="http://schemas.openxmlformats.org/officeDocument/2006/relationships/chart" Target="../charts/chart4.xml"/><Relationship Id="rId21" Type="http://schemas.openxmlformats.org/officeDocument/2006/relationships/image" Target="../media/image1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1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76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76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766"/>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767"/>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768"/>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769"/>
                  </a:ext>
                </a:extLst>
              </xdr:cNvPicPr>
            </xdr:nvPicPr>
            <xdr:blipFill rotWithShape="1">
              <a:blip xmlns:r="http://schemas.openxmlformats.org/officeDocument/2006/relationships" r:embed="rId6"/>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9"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1770"/>
                  </a:ext>
                </a:extLst>
              </xdr:cNvPicPr>
            </xdr:nvPicPr>
            <xdr:blipFill rotWithShape="1">
              <a:blip xmlns:r="http://schemas.openxmlformats.org/officeDocument/2006/relationships" r:embed="rId6"/>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0"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1771"/>
                  </a:ext>
                </a:extLst>
              </xdr:cNvPicPr>
            </xdr:nvPicPr>
            <xdr:blipFill rotWithShape="1">
              <a:blip xmlns:r="http://schemas.openxmlformats.org/officeDocument/2006/relationships" r:embed="rId6"/>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1"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1772"/>
                  </a:ext>
                </a:extLst>
              </xdr:cNvPicPr>
            </xdr:nvPicPr>
            <xdr:blipFill rotWithShape="1">
              <a:blip xmlns:r="http://schemas.openxmlformats.org/officeDocument/2006/relationships" r:embed="rId6"/>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2"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1773"/>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3"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1774"/>
                  </a:ext>
                </a:extLst>
              </xdr:cNvPicPr>
            </xdr:nvPicPr>
            <xdr:blipFill rotWithShape="1">
              <a:blip xmlns:r="http://schemas.openxmlformats.org/officeDocument/2006/relationships" r:embed="rId6"/>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4"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1775"/>
                  </a:ext>
                </a:extLst>
              </xdr:cNvPicPr>
            </xdr:nvPicPr>
            <xdr:blipFill rotWithShape="1">
              <a:blip xmlns:r="http://schemas.openxmlformats.org/officeDocument/2006/relationships" r:embed="rId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5"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1776"/>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7"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1777"/>
                  </a:ext>
                </a:extLst>
              </xdr:cNvPicPr>
            </xdr:nvPicPr>
            <xdr:blipFill rotWithShape="1">
              <a:blip xmlns:r="http://schemas.openxmlformats.org/officeDocument/2006/relationships" r:embed="rId1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18"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1778"/>
                  </a:ext>
                </a:extLst>
              </xdr:cNvPicPr>
            </xdr:nvPicPr>
            <xdr:blipFill rotWithShape="1">
              <a:blip xmlns:r="http://schemas.openxmlformats.org/officeDocument/2006/relationships" r:embed="rId1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19"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1779"/>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0"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1780"/>
                  </a:ext>
                </a:extLst>
              </xdr:cNvPicPr>
            </xdr:nvPicPr>
            <xdr:blipFill rotWithShape="1">
              <a:blip xmlns:r="http://schemas.openxmlformats.org/officeDocument/2006/relationships" r:embed="rId1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1"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1781"/>
                  </a:ext>
                </a:extLst>
              </xdr:cNvPicPr>
            </xdr:nvPicPr>
            <xdr:blipFill rotWithShape="1">
              <a:blip xmlns:r="http://schemas.openxmlformats.org/officeDocument/2006/relationships" r:embed="rId22"/>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3"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1782"/>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4"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18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200" customWidth="1"/>
    <col min="2" max="2" width="13.109375" style="200" customWidth="1"/>
    <col min="3" max="3" width="12.109375" style="200" customWidth="1"/>
    <col min="4" max="5" width="29.44140625" style="200" customWidth="1"/>
    <col min="6" max="6" width="15.109375" style="200" customWidth="1"/>
    <col min="7" max="7" width="34.109375" style="200" customWidth="1"/>
    <col min="8" max="8" width="15.109375" style="200" customWidth="1"/>
    <col min="9" max="9" width="23.44140625" style="200" customWidth="1"/>
    <col min="10" max="10" width="24" style="200" customWidth="1"/>
    <col min="11" max="11" width="18.109375" style="200" customWidth="1"/>
    <col min="12" max="12" width="22.109375" style="200" customWidth="1"/>
    <col min="13" max="13" width="9.88671875" style="200" bestFit="1" customWidth="1"/>
    <col min="14" max="14" width="21.5546875" style="200" customWidth="1"/>
    <col min="15" max="15" width="11.5546875" style="200" customWidth="1"/>
    <col min="16" max="16" width="102.44140625" style="200" bestFit="1" customWidth="1"/>
    <col min="17" max="17" width="52.5546875" style="200" customWidth="1"/>
    <col min="18" max="18" width="10.44140625" style="200" customWidth="1"/>
    <col min="19" max="19" width="12.109375" style="200" bestFit="1" customWidth="1"/>
    <col min="20" max="20" width="16.5546875" style="200" customWidth="1"/>
    <col min="21" max="16384" width="14.44140625" style="200"/>
  </cols>
  <sheetData>
    <row r="1" spans="2:18">
      <c r="B1" s="198" t="s">
        <v>274</v>
      </c>
      <c r="C1" s="175"/>
      <c r="D1" s="205" t="s">
        <v>295</v>
      </c>
      <c r="E1" s="205"/>
      <c r="F1" s="199"/>
      <c r="G1" s="175"/>
      <c r="H1" s="175"/>
      <c r="I1" s="211" t="s">
        <v>317</v>
      </c>
      <c r="J1" s="175"/>
      <c r="K1" s="175"/>
      <c r="L1" s="175"/>
      <c r="M1" s="175"/>
      <c r="N1" s="175"/>
      <c r="O1" s="175"/>
      <c r="P1" s="175"/>
      <c r="Q1" s="175"/>
      <c r="R1" s="175"/>
    </row>
    <row r="2" spans="2:18">
      <c r="B2" s="233" t="s">
        <v>27</v>
      </c>
      <c r="C2" s="875" t="s">
        <v>808</v>
      </c>
      <c r="D2" s="875"/>
      <c r="E2" s="875"/>
      <c r="F2" s="875"/>
      <c r="G2" s="875"/>
      <c r="H2" s="875"/>
      <c r="I2" s="875"/>
      <c r="J2" s="875"/>
      <c r="K2" s="875"/>
      <c r="L2" s="875"/>
      <c r="M2" s="175"/>
      <c r="N2" s="175"/>
      <c r="O2" s="175"/>
      <c r="P2" s="175"/>
      <c r="Q2" s="175"/>
      <c r="R2" s="175"/>
    </row>
    <row r="3" spans="2:18">
      <c r="B3" s="876" t="s">
        <v>318</v>
      </c>
      <c r="C3" s="876" t="s">
        <v>306</v>
      </c>
      <c r="D3" s="876" t="s">
        <v>307</v>
      </c>
      <c r="E3" s="876" t="s">
        <v>308</v>
      </c>
      <c r="F3" s="876" t="s">
        <v>309</v>
      </c>
      <c r="G3" s="876" t="s">
        <v>310</v>
      </c>
      <c r="H3" s="876" t="s">
        <v>311</v>
      </c>
      <c r="I3" s="876" t="s">
        <v>312</v>
      </c>
      <c r="J3" s="876" t="s">
        <v>313</v>
      </c>
      <c r="K3" s="876" t="s">
        <v>314</v>
      </c>
      <c r="L3" s="876" t="s">
        <v>795</v>
      </c>
      <c r="M3" s="176"/>
      <c r="N3" s="176"/>
      <c r="O3" s="176"/>
      <c r="P3" s="176"/>
      <c r="Q3" s="176"/>
      <c r="R3" s="176"/>
    </row>
    <row r="4" spans="2:18" ht="39.6">
      <c r="B4" s="877" t="s">
        <v>276</v>
      </c>
      <c r="C4" s="877" t="s">
        <v>277</v>
      </c>
      <c r="D4" s="877" t="s">
        <v>319</v>
      </c>
      <c r="E4" s="877" t="s">
        <v>796</v>
      </c>
      <c r="F4" s="877" t="s">
        <v>320</v>
      </c>
      <c r="G4" s="877" t="s">
        <v>280</v>
      </c>
      <c r="H4" s="877" t="s">
        <v>321</v>
      </c>
      <c r="I4" s="877" t="s">
        <v>322</v>
      </c>
      <c r="J4" s="877" t="s">
        <v>283</v>
      </c>
      <c r="K4" s="877" t="s">
        <v>284</v>
      </c>
      <c r="L4" s="877" t="s">
        <v>285</v>
      </c>
      <c r="M4" s="201"/>
      <c r="N4" s="201"/>
      <c r="O4" s="201"/>
      <c r="P4" s="201"/>
      <c r="Q4" s="201"/>
      <c r="R4" s="201"/>
    </row>
    <row r="5" spans="2:18" ht="118.8">
      <c r="B5" s="878" t="s">
        <v>286</v>
      </c>
      <c r="C5" s="878" t="s">
        <v>287</v>
      </c>
      <c r="D5" s="878" t="s">
        <v>809</v>
      </c>
      <c r="E5" s="878" t="s">
        <v>797</v>
      </c>
      <c r="F5" s="878" t="s">
        <v>326</v>
      </c>
      <c r="G5" s="878" t="s">
        <v>798</v>
      </c>
      <c r="H5" s="878" t="s">
        <v>327</v>
      </c>
      <c r="I5" s="878" t="s">
        <v>991</v>
      </c>
      <c r="J5" s="878" t="s">
        <v>799</v>
      </c>
      <c r="K5" s="878" t="s">
        <v>928</v>
      </c>
      <c r="L5" s="878" t="s">
        <v>719</v>
      </c>
      <c r="N5" s="177"/>
      <c r="P5" s="177"/>
      <c r="Q5" s="177"/>
      <c r="R5" s="177"/>
    </row>
    <row r="6" spans="2:18" ht="26.4">
      <c r="B6" s="879">
        <v>1</v>
      </c>
      <c r="C6" s="878" t="s">
        <v>267</v>
      </c>
      <c r="D6" s="878"/>
      <c r="E6" s="878"/>
      <c r="F6" s="878"/>
      <c r="G6" s="878"/>
      <c r="H6" s="878"/>
      <c r="I6" s="878" t="s">
        <v>336</v>
      </c>
      <c r="J6" s="878"/>
      <c r="K6" s="878"/>
      <c r="L6" s="878" t="s">
        <v>401</v>
      </c>
      <c r="M6" s="202">
        <v>1</v>
      </c>
      <c r="N6" s="177"/>
      <c r="P6" s="177"/>
      <c r="Q6" s="177"/>
      <c r="R6" s="177"/>
    </row>
    <row r="7" spans="2:18" ht="26.4">
      <c r="B7" s="879">
        <v>2</v>
      </c>
      <c r="C7" s="878" t="s">
        <v>290</v>
      </c>
      <c r="D7" s="232"/>
      <c r="E7" s="232"/>
      <c r="F7" s="878"/>
      <c r="G7" s="232"/>
      <c r="H7" s="878"/>
      <c r="I7" s="878" t="s">
        <v>800</v>
      </c>
      <c r="J7" s="878"/>
      <c r="K7" s="878"/>
      <c r="L7" s="878"/>
      <c r="M7" s="202">
        <v>2</v>
      </c>
      <c r="N7" s="177"/>
      <c r="P7" s="177"/>
      <c r="Q7" s="177"/>
      <c r="R7" s="177"/>
    </row>
    <row r="8" spans="2:18">
      <c r="B8" s="879">
        <v>3</v>
      </c>
      <c r="C8" s="878" t="s">
        <v>292</v>
      </c>
      <c r="D8" s="878" t="s">
        <v>1186</v>
      </c>
      <c r="E8" s="878"/>
      <c r="F8" s="878"/>
      <c r="G8" s="878" t="s">
        <v>1186</v>
      </c>
      <c r="H8" s="878"/>
      <c r="I8" s="878"/>
      <c r="J8" s="878"/>
      <c r="K8" s="878"/>
      <c r="L8" s="878"/>
      <c r="M8" s="202">
        <v>3</v>
      </c>
      <c r="N8" s="177"/>
      <c r="P8" s="177"/>
      <c r="Q8" s="177"/>
      <c r="R8" s="177"/>
    </row>
    <row r="9" spans="2:18" ht="26.4">
      <c r="B9" s="879">
        <v>4</v>
      </c>
      <c r="C9" s="878" t="s">
        <v>720</v>
      </c>
      <c r="D9" s="232"/>
      <c r="E9" s="232" t="s">
        <v>987</v>
      </c>
      <c r="F9" s="878"/>
      <c r="G9" s="878"/>
      <c r="H9" s="878"/>
      <c r="I9" s="878"/>
      <c r="J9" s="878"/>
      <c r="K9" s="878" t="s">
        <v>291</v>
      </c>
      <c r="L9" s="878" t="s">
        <v>291</v>
      </c>
      <c r="M9" s="202">
        <v>4</v>
      </c>
      <c r="N9" s="177"/>
      <c r="P9" s="177"/>
      <c r="Q9" s="177"/>
      <c r="R9" s="177"/>
    </row>
    <row r="10" spans="2:18" ht="26.4">
      <c r="B10" s="879">
        <v>5</v>
      </c>
      <c r="C10" s="232"/>
      <c r="D10" s="878" t="s">
        <v>268</v>
      </c>
      <c r="E10" s="878"/>
      <c r="F10" s="878" t="s">
        <v>269</v>
      </c>
      <c r="G10" s="878" t="s">
        <v>268</v>
      </c>
      <c r="H10" s="878" t="s">
        <v>269</v>
      </c>
      <c r="I10" s="878"/>
      <c r="J10" s="878"/>
      <c r="K10" s="878"/>
      <c r="L10" s="878"/>
      <c r="M10" s="202">
        <v>5</v>
      </c>
      <c r="N10" s="177"/>
      <c r="P10" s="177"/>
      <c r="Q10" s="177"/>
      <c r="R10" s="177"/>
    </row>
    <row r="11" spans="2:18">
      <c r="B11" s="879">
        <v>6</v>
      </c>
      <c r="C11" s="878" t="s">
        <v>721</v>
      </c>
      <c r="E11" s="232"/>
      <c r="F11" s="880"/>
      <c r="H11" s="880"/>
      <c r="I11" s="878"/>
      <c r="J11" s="878"/>
      <c r="K11" s="878" t="s">
        <v>323</v>
      </c>
      <c r="L11" s="878" t="s">
        <v>323</v>
      </c>
      <c r="M11" s="202">
        <v>6</v>
      </c>
      <c r="N11" s="177"/>
      <c r="P11" s="177"/>
      <c r="Q11" s="177"/>
      <c r="R11" s="177"/>
    </row>
    <row r="12" spans="2:18" ht="39.6">
      <c r="B12" s="879">
        <v>7</v>
      </c>
      <c r="C12" s="232"/>
      <c r="D12" s="878" t="s">
        <v>271</v>
      </c>
      <c r="E12" s="878" t="s">
        <v>801</v>
      </c>
      <c r="F12" s="878"/>
      <c r="G12" s="878" t="s">
        <v>271</v>
      </c>
      <c r="H12" s="878"/>
      <c r="I12" s="878" t="s">
        <v>802</v>
      </c>
      <c r="J12" s="878"/>
      <c r="K12" s="878"/>
      <c r="L12" s="878"/>
      <c r="M12" s="202">
        <v>7</v>
      </c>
      <c r="N12" s="177"/>
      <c r="P12" s="177"/>
      <c r="Q12" s="177"/>
      <c r="R12" s="177"/>
    </row>
    <row r="13" spans="2:18" ht="39.6">
      <c r="B13" s="879">
        <v>8</v>
      </c>
      <c r="C13" s="881" t="s">
        <v>722</v>
      </c>
      <c r="D13" s="232"/>
      <c r="E13" s="878"/>
      <c r="F13" s="878"/>
      <c r="G13" s="232"/>
      <c r="H13" s="878"/>
      <c r="I13" s="878"/>
      <c r="J13" s="878"/>
      <c r="K13" s="878" t="s">
        <v>804</v>
      </c>
      <c r="L13" s="878" t="s">
        <v>804</v>
      </c>
      <c r="M13" s="202">
        <v>8</v>
      </c>
      <c r="N13" s="177"/>
      <c r="P13" s="177"/>
      <c r="Q13" s="177"/>
      <c r="R13" s="177"/>
    </row>
    <row r="14" spans="2:18">
      <c r="B14" s="879">
        <v>9</v>
      </c>
      <c r="C14" s="881"/>
      <c r="D14" s="878"/>
      <c r="E14" s="878"/>
      <c r="F14" s="878"/>
      <c r="G14" s="878"/>
      <c r="H14" s="878"/>
      <c r="I14" s="878" t="s">
        <v>803</v>
      </c>
      <c r="J14" s="878" t="s">
        <v>269</v>
      </c>
      <c r="K14" s="878" t="s">
        <v>723</v>
      </c>
      <c r="L14" s="878"/>
      <c r="M14" s="202">
        <v>9</v>
      </c>
      <c r="N14" s="177"/>
      <c r="P14" s="177"/>
      <c r="Q14" s="177"/>
      <c r="R14" s="177"/>
    </row>
    <row r="15" spans="2:18" ht="39.6">
      <c r="B15" s="879">
        <v>10</v>
      </c>
      <c r="C15" s="878" t="s">
        <v>293</v>
      </c>
      <c r="D15" s="878" t="s">
        <v>294</v>
      </c>
      <c r="E15" s="878" t="s">
        <v>805</v>
      </c>
      <c r="F15" s="878" t="s">
        <v>262</v>
      </c>
      <c r="G15" s="878" t="s">
        <v>294</v>
      </c>
      <c r="H15" s="878" t="s">
        <v>262</v>
      </c>
      <c r="I15" s="878" t="s">
        <v>806</v>
      </c>
      <c r="J15" s="878" t="s">
        <v>262</v>
      </c>
      <c r="K15" s="878" t="s">
        <v>324</v>
      </c>
      <c r="L15" s="878" t="s">
        <v>723</v>
      </c>
      <c r="M15" s="202">
        <v>10</v>
      </c>
      <c r="N15" s="177"/>
      <c r="O15" s="203"/>
      <c r="P15" s="177"/>
      <c r="Q15" s="177"/>
      <c r="R15" s="177"/>
    </row>
    <row r="16" spans="2:18" ht="39.6">
      <c r="B16" s="882">
        <v>10</v>
      </c>
      <c r="C16" s="883"/>
      <c r="D16" s="884" t="s">
        <v>304</v>
      </c>
      <c r="E16" s="884" t="s">
        <v>807</v>
      </c>
      <c r="F16" s="883"/>
      <c r="G16" s="883"/>
      <c r="H16" s="883"/>
      <c r="I16" s="883"/>
      <c r="J16" s="883"/>
      <c r="K16" s="883"/>
      <c r="L16" s="883"/>
      <c r="M16" s="202">
        <v>10</v>
      </c>
      <c r="N16" s="203"/>
      <c r="O16" s="203"/>
      <c r="P16" s="203"/>
      <c r="Q16" s="203"/>
      <c r="R16" s="203"/>
    </row>
    <row r="17" spans="2:18" ht="66">
      <c r="B17" s="204"/>
      <c r="C17" s="203"/>
      <c r="D17" s="206" t="s">
        <v>325</v>
      </c>
      <c r="E17" s="206"/>
      <c r="F17" s="206" t="s">
        <v>724</v>
      </c>
      <c r="G17" s="206" t="s">
        <v>325</v>
      </c>
      <c r="H17" s="206" t="s">
        <v>725</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6.4">
      <c r="B23" s="204" t="s">
        <v>343</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9.6">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9.6">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9.6">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26.4">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820</v>
      </c>
      <c r="C33" s="203"/>
      <c r="D33" s="203"/>
      <c r="E33" s="203"/>
      <c r="F33" s="203"/>
      <c r="G33" s="203"/>
      <c r="H33" s="203"/>
      <c r="I33" s="203"/>
      <c r="J33" s="203"/>
      <c r="K33" s="203"/>
      <c r="M33" s="203"/>
      <c r="N33" s="203"/>
      <c r="O33" s="203"/>
      <c r="P33" s="203"/>
      <c r="Q33" s="203"/>
      <c r="R33" s="203"/>
    </row>
    <row r="34" spans="1:18">
      <c r="B34" s="200" t="s">
        <v>808</v>
      </c>
      <c r="C34" s="203"/>
      <c r="D34" s="203"/>
      <c r="E34" s="203"/>
      <c r="F34" s="203"/>
      <c r="G34" s="203"/>
      <c r="H34" s="203"/>
      <c r="I34" s="203"/>
      <c r="J34" s="203"/>
      <c r="K34" s="203"/>
      <c r="M34" s="203"/>
      <c r="N34" s="203"/>
      <c r="O34" s="203"/>
      <c r="P34" s="203"/>
      <c r="Q34" s="203"/>
      <c r="R34" s="203"/>
    </row>
    <row r="35" spans="1:18">
      <c r="A35" s="200" t="s">
        <v>306</v>
      </c>
      <c r="B35" s="217" t="s">
        <v>287</v>
      </c>
      <c r="C35" s="203"/>
      <c r="D35" s="203"/>
      <c r="E35" s="203"/>
      <c r="F35" s="203"/>
      <c r="G35" s="203"/>
      <c r="H35" s="203"/>
      <c r="I35" s="203"/>
      <c r="J35" s="203"/>
      <c r="K35" s="203"/>
      <c r="M35" s="203"/>
      <c r="N35" s="203"/>
      <c r="O35" s="203"/>
      <c r="P35" s="203"/>
      <c r="Q35" s="203"/>
      <c r="R35" s="203"/>
    </row>
    <row r="36" spans="1:18">
      <c r="A36" s="200" t="s">
        <v>307</v>
      </c>
      <c r="B36" s="217" t="s">
        <v>809</v>
      </c>
      <c r="C36" s="203"/>
      <c r="D36" s="203"/>
      <c r="E36" s="203"/>
      <c r="F36" s="203"/>
      <c r="G36" s="203"/>
      <c r="H36" s="203"/>
      <c r="I36" s="203"/>
      <c r="J36" s="203"/>
      <c r="K36" s="203"/>
      <c r="L36" s="203"/>
      <c r="M36" s="203"/>
      <c r="N36" s="203"/>
      <c r="O36" s="203"/>
      <c r="P36" s="203"/>
      <c r="Q36" s="203"/>
      <c r="R36" s="203"/>
    </row>
    <row r="37" spans="1:18">
      <c r="A37" s="200" t="s">
        <v>308</v>
      </c>
      <c r="B37" s="217" t="s">
        <v>797</v>
      </c>
      <c r="C37" s="203"/>
      <c r="D37" s="203"/>
      <c r="E37" s="203"/>
      <c r="F37" s="203"/>
      <c r="G37" s="203"/>
      <c r="H37" s="203"/>
      <c r="I37" s="203"/>
      <c r="J37" s="203"/>
      <c r="K37" s="203"/>
      <c r="L37" s="203"/>
      <c r="M37" s="203"/>
      <c r="N37" s="203"/>
      <c r="O37" s="203"/>
      <c r="P37" s="203"/>
      <c r="Q37" s="203"/>
      <c r="R37" s="203"/>
    </row>
    <row r="38" spans="1:18">
      <c r="A38" s="200" t="s">
        <v>309</v>
      </c>
      <c r="B38" s="217" t="s">
        <v>326</v>
      </c>
      <c r="C38" s="203"/>
      <c r="D38" s="203"/>
      <c r="E38" s="203"/>
      <c r="F38" s="203"/>
      <c r="G38" s="203"/>
      <c r="H38" s="203"/>
      <c r="I38" s="203"/>
      <c r="J38" s="203"/>
      <c r="K38" s="203"/>
      <c r="L38" s="203"/>
      <c r="M38" s="203"/>
      <c r="N38" s="203"/>
      <c r="O38" s="203"/>
      <c r="P38" s="203"/>
      <c r="Q38" s="203"/>
      <c r="R38" s="203"/>
    </row>
    <row r="39" spans="1:18">
      <c r="A39" s="200" t="s">
        <v>310</v>
      </c>
      <c r="B39" s="217" t="s">
        <v>798</v>
      </c>
      <c r="C39" s="203"/>
      <c r="D39" s="203"/>
      <c r="E39" s="203"/>
      <c r="F39" s="203"/>
      <c r="G39" s="203"/>
      <c r="H39" s="203"/>
      <c r="I39" s="203"/>
      <c r="J39" s="203"/>
      <c r="K39" s="203"/>
      <c r="L39" s="203"/>
      <c r="M39" s="203"/>
      <c r="N39" s="203"/>
      <c r="O39" s="203"/>
      <c r="P39" s="203"/>
      <c r="Q39" s="203"/>
      <c r="R39" s="203"/>
    </row>
    <row r="40" spans="1:18">
      <c r="A40" s="200" t="s">
        <v>311</v>
      </c>
      <c r="B40" s="217" t="s">
        <v>327</v>
      </c>
      <c r="C40" s="203"/>
      <c r="D40" s="203"/>
      <c r="E40" s="203"/>
      <c r="F40" s="203"/>
      <c r="G40" s="203"/>
      <c r="H40" s="203"/>
      <c r="I40" s="203"/>
      <c r="J40" s="203"/>
      <c r="K40" s="203"/>
      <c r="L40" s="203"/>
      <c r="M40" s="203"/>
      <c r="N40" s="203"/>
      <c r="O40" s="203"/>
      <c r="P40" s="203"/>
      <c r="Q40" s="203"/>
      <c r="R40" s="203"/>
    </row>
    <row r="41" spans="1:18">
      <c r="A41" s="200" t="s">
        <v>312</v>
      </c>
      <c r="B41" s="217" t="s">
        <v>991</v>
      </c>
      <c r="C41" s="203"/>
      <c r="D41" s="203"/>
      <c r="E41" s="203"/>
      <c r="F41" s="203"/>
      <c r="G41" s="203"/>
      <c r="H41" s="203"/>
      <c r="I41" s="203"/>
      <c r="J41" s="203"/>
      <c r="K41" s="203"/>
      <c r="L41" s="203"/>
      <c r="M41" s="203"/>
      <c r="N41" s="203"/>
      <c r="O41" s="203"/>
      <c r="P41" s="203"/>
      <c r="Q41" s="203"/>
      <c r="R41" s="203"/>
    </row>
    <row r="42" spans="1:18">
      <c r="A42" s="200" t="s">
        <v>313</v>
      </c>
      <c r="B42" s="217" t="s">
        <v>799</v>
      </c>
      <c r="C42" s="203"/>
      <c r="D42" s="203"/>
      <c r="E42" s="203"/>
      <c r="F42" s="203"/>
      <c r="G42" s="203"/>
      <c r="H42" s="203"/>
      <c r="I42" s="203"/>
      <c r="J42" s="203"/>
      <c r="K42" s="203"/>
      <c r="L42" s="203"/>
      <c r="M42" s="203"/>
      <c r="N42" s="203"/>
      <c r="O42" s="203"/>
      <c r="P42" s="203"/>
      <c r="Q42" s="203"/>
      <c r="R42" s="203"/>
    </row>
    <row r="43" spans="1:18">
      <c r="A43" s="200" t="s">
        <v>314</v>
      </c>
      <c r="B43" s="217" t="s">
        <v>928</v>
      </c>
      <c r="C43" s="203"/>
      <c r="D43" s="203"/>
      <c r="E43" s="203"/>
      <c r="F43" s="203"/>
      <c r="G43" s="203"/>
      <c r="H43" s="203"/>
      <c r="I43" s="203"/>
      <c r="J43" s="203"/>
      <c r="K43" s="203"/>
      <c r="L43" s="203">
        <f>COUNTA(L23:L27)</f>
        <v>5</v>
      </c>
      <c r="M43" s="203"/>
      <c r="N43" s="203"/>
      <c r="O43" s="203"/>
      <c r="P43" s="203"/>
      <c r="Q43" s="203"/>
      <c r="R43" s="203"/>
    </row>
    <row r="44" spans="1:18">
      <c r="A44" s="200" t="s">
        <v>795</v>
      </c>
      <c r="B44" s="217" t="s">
        <v>719</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297</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style="241" customWidth="1"/>
    <col min="2" max="2" width="12.88671875" style="231" customWidth="1"/>
    <col min="3" max="5" width="25.109375" style="231" customWidth="1"/>
    <col min="6" max="7" width="21.88671875" style="231" customWidth="1"/>
    <col min="8" max="16384" width="9.109375" style="241"/>
  </cols>
  <sheetData>
    <row r="1" spans="1:7">
      <c r="A1" s="221"/>
      <c r="B1" s="219" t="s">
        <v>466</v>
      </c>
      <c r="C1" s="237"/>
      <c r="D1" s="236"/>
      <c r="E1" s="225"/>
      <c r="F1" s="225"/>
      <c r="G1" s="225"/>
    </row>
    <row r="2" spans="1:7">
      <c r="A2" s="247" t="s">
        <v>740</v>
      </c>
      <c r="B2" s="592" t="s">
        <v>478</v>
      </c>
      <c r="C2" s="247" t="s">
        <v>833</v>
      </c>
      <c r="D2" s="225"/>
      <c r="E2" s="225"/>
      <c r="F2" s="225"/>
      <c r="G2" s="225"/>
    </row>
    <row r="3" spans="1:7">
      <c r="A3" s="247" t="s">
        <v>1233</v>
      </c>
      <c r="B3" s="243" t="s">
        <v>318</v>
      </c>
      <c r="C3" s="899" t="s">
        <v>467</v>
      </c>
      <c r="D3" s="899" t="s">
        <v>468</v>
      </c>
      <c r="E3" s="899" t="s">
        <v>469</v>
      </c>
      <c r="F3" s="243"/>
      <c r="G3" s="243"/>
    </row>
    <row r="4" spans="1:7" ht="26.4">
      <c r="A4" s="231"/>
      <c r="B4" s="228" t="s">
        <v>276</v>
      </c>
      <c r="C4" s="900" t="s">
        <v>470</v>
      </c>
      <c r="D4" s="900" t="s">
        <v>471</v>
      </c>
      <c r="E4" s="908" t="s">
        <v>429</v>
      </c>
      <c r="F4" s="244"/>
    </row>
    <row r="5" spans="1:7" ht="52.8">
      <c r="A5" s="231"/>
      <c r="B5" s="228" t="s">
        <v>286</v>
      </c>
      <c r="C5" s="901" t="s">
        <v>472</v>
      </c>
      <c r="D5" s="902" t="s">
        <v>479</v>
      </c>
      <c r="E5" s="906" t="s">
        <v>842</v>
      </c>
      <c r="F5" s="243"/>
      <c r="G5" s="243"/>
    </row>
    <row r="6" spans="1:7">
      <c r="A6" s="231"/>
      <c r="B6" s="903">
        <v>1</v>
      </c>
      <c r="C6" s="895" t="s">
        <v>460</v>
      </c>
      <c r="D6" s="895" t="s">
        <v>742</v>
      </c>
      <c r="E6" s="895" t="s">
        <v>743</v>
      </c>
      <c r="F6" s="245">
        <v>1</v>
      </c>
    </row>
    <row r="7" spans="1:7">
      <c r="A7" s="231"/>
      <c r="B7" s="903">
        <v>2</v>
      </c>
      <c r="C7" s="894"/>
      <c r="D7" s="894"/>
      <c r="E7" s="895"/>
      <c r="F7" s="245">
        <v>2</v>
      </c>
      <c r="G7" s="243"/>
    </row>
    <row r="8" spans="1:7">
      <c r="A8" s="231"/>
      <c r="B8" s="903">
        <v>3</v>
      </c>
      <c r="C8" s="904"/>
      <c r="D8" s="894"/>
      <c r="E8" s="895"/>
      <c r="F8" s="245">
        <v>3</v>
      </c>
    </row>
    <row r="9" spans="1:7" ht="26.4">
      <c r="A9" s="231"/>
      <c r="B9" s="903">
        <v>4</v>
      </c>
      <c r="C9" s="894" t="s">
        <v>839</v>
      </c>
      <c r="D9" s="894"/>
      <c r="E9" s="895"/>
      <c r="F9" s="245">
        <v>4</v>
      </c>
      <c r="G9" s="243"/>
    </row>
    <row r="10" spans="1:7" ht="39.6">
      <c r="A10" s="231"/>
      <c r="B10" s="903">
        <v>5</v>
      </c>
      <c r="C10" s="897"/>
      <c r="D10" s="905"/>
      <c r="E10" s="895" t="s">
        <v>480</v>
      </c>
      <c r="F10" s="245">
        <v>5</v>
      </c>
    </row>
    <row r="11" spans="1:7" ht="26.4">
      <c r="A11" s="231"/>
      <c r="B11" s="903">
        <v>6</v>
      </c>
      <c r="C11" s="227"/>
      <c r="D11" s="895" t="s">
        <v>834</v>
      </c>
      <c r="E11" s="895"/>
      <c r="F11" s="245">
        <v>6</v>
      </c>
      <c r="G11" s="243"/>
    </row>
    <row r="12" spans="1:7">
      <c r="A12" s="231"/>
      <c r="B12" s="903">
        <v>7</v>
      </c>
      <c r="C12" s="897"/>
      <c r="D12" s="907"/>
      <c r="E12" s="895"/>
      <c r="F12" s="245">
        <v>7</v>
      </c>
    </row>
    <row r="13" spans="1:7" ht="39.6">
      <c r="A13" s="231"/>
      <c r="B13" s="903">
        <v>8</v>
      </c>
      <c r="C13" s="894" t="s">
        <v>840</v>
      </c>
      <c r="D13" s="894"/>
      <c r="E13" s="895" t="s">
        <v>890</v>
      </c>
      <c r="F13" s="245">
        <v>8</v>
      </c>
      <c r="G13" s="243"/>
    </row>
    <row r="14" spans="1:7">
      <c r="A14" s="231"/>
      <c r="B14" s="903">
        <v>9</v>
      </c>
      <c r="C14" s="894"/>
      <c r="D14" s="894"/>
      <c r="E14" s="895"/>
      <c r="F14" s="245">
        <v>9</v>
      </c>
    </row>
    <row r="15" spans="1:7" ht="26.4">
      <c r="A15" s="231"/>
      <c r="B15" s="903">
        <v>10</v>
      </c>
      <c r="C15" s="894" t="s">
        <v>841</v>
      </c>
      <c r="D15" s="895" t="s">
        <v>835</v>
      </c>
      <c r="E15" s="895" t="s">
        <v>481</v>
      </c>
      <c r="F15" s="245">
        <v>10</v>
      </c>
      <c r="G15" s="243"/>
    </row>
    <row r="16" spans="1:7">
      <c r="B16" s="222"/>
      <c r="C16" s="225"/>
      <c r="D16" s="225"/>
      <c r="E16" s="244"/>
      <c r="F16" s="244"/>
    </row>
    <row r="17" spans="2:13" ht="39.6">
      <c r="B17" s="592" t="s">
        <v>836</v>
      </c>
      <c r="C17" s="904" t="s">
        <v>741</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343</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820</v>
      </c>
      <c r="C33" s="225"/>
      <c r="D33" s="225"/>
      <c r="E33" s="225"/>
      <c r="F33" s="225"/>
      <c r="G33" s="225"/>
    </row>
    <row r="34" spans="2:7">
      <c r="B34" s="234" t="s">
        <v>677</v>
      </c>
      <c r="C34" s="225"/>
      <c r="D34" s="225"/>
      <c r="E34" s="225"/>
      <c r="F34" s="225"/>
      <c r="G34" s="225"/>
    </row>
    <row r="35" spans="2:7">
      <c r="B35" s="234" t="s">
        <v>472</v>
      </c>
      <c r="C35" s="225"/>
      <c r="D35" s="225"/>
      <c r="E35" s="225"/>
      <c r="F35" s="225"/>
      <c r="G35" s="225"/>
    </row>
    <row r="36" spans="2:7">
      <c r="B36" s="234" t="s">
        <v>479</v>
      </c>
      <c r="C36" s="225"/>
      <c r="D36" s="225"/>
      <c r="E36" s="225"/>
      <c r="F36" s="225"/>
      <c r="G36" s="225"/>
    </row>
    <row r="37" spans="2:7">
      <c r="B37" s="234" t="s">
        <v>842</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style="241" customWidth="1"/>
    <col min="2" max="2" width="12.88671875" style="231" customWidth="1"/>
    <col min="3" max="3" width="25.109375" style="231" customWidth="1"/>
    <col min="4" max="4" width="50.109375" style="231" customWidth="1"/>
    <col min="5" max="6" width="21.88671875" style="231" customWidth="1"/>
    <col min="7" max="16384" width="9.109375" style="241"/>
  </cols>
  <sheetData>
    <row r="1" spans="1:6">
      <c r="A1" s="221"/>
      <c r="B1" s="215" t="s">
        <v>7</v>
      </c>
      <c r="C1" s="237"/>
      <c r="D1" s="236"/>
      <c r="E1" s="225"/>
      <c r="F1" s="225"/>
    </row>
    <row r="2" spans="1:6">
      <c r="A2" s="247" t="s">
        <v>740</v>
      </c>
      <c r="B2" s="592"/>
      <c r="C2" s="247" t="s">
        <v>677</v>
      </c>
      <c r="D2" s="225"/>
      <c r="E2" s="225"/>
      <c r="F2" s="225"/>
    </row>
    <row r="3" spans="1:6">
      <c r="A3" s="247" t="s">
        <v>1233</v>
      </c>
      <c r="B3" s="243" t="s">
        <v>318</v>
      </c>
      <c r="C3" s="899" t="s">
        <v>490</v>
      </c>
      <c r="D3" s="899" t="s">
        <v>491</v>
      </c>
      <c r="E3" s="243"/>
      <c r="F3" s="243"/>
    </row>
    <row r="4" spans="1:6" ht="26.4">
      <c r="A4" s="231"/>
      <c r="B4" s="228" t="s">
        <v>276</v>
      </c>
      <c r="C4" s="900" t="s">
        <v>492</v>
      </c>
      <c r="D4" s="900" t="s">
        <v>493</v>
      </c>
      <c r="E4" s="244"/>
    </row>
    <row r="5" spans="1:6" ht="26.4">
      <c r="A5" s="231"/>
      <c r="B5" s="228" t="s">
        <v>286</v>
      </c>
      <c r="C5" s="901" t="s">
        <v>494</v>
      </c>
      <c r="D5" s="902" t="s">
        <v>495</v>
      </c>
      <c r="E5" s="243"/>
      <c r="F5" s="243"/>
    </row>
    <row r="6" spans="1:6">
      <c r="A6" s="231"/>
      <c r="B6" s="903">
        <v>1</v>
      </c>
      <c r="C6" s="895" t="s">
        <v>499</v>
      </c>
      <c r="D6" s="894"/>
      <c r="E6" s="245">
        <v>1</v>
      </c>
    </row>
    <row r="7" spans="1:6">
      <c r="A7" s="231"/>
      <c r="B7" s="903">
        <v>2</v>
      </c>
      <c r="C7" s="895"/>
      <c r="D7" s="895" t="s">
        <v>500</v>
      </c>
      <c r="E7" s="245">
        <v>2</v>
      </c>
      <c r="F7" s="243"/>
    </row>
    <row r="8" spans="1:6">
      <c r="A8" s="231"/>
      <c r="B8" s="903">
        <v>3</v>
      </c>
      <c r="D8" s="894"/>
      <c r="E8" s="245">
        <v>3</v>
      </c>
    </row>
    <row r="9" spans="1:6">
      <c r="A9" s="231"/>
      <c r="B9" s="903">
        <v>4</v>
      </c>
      <c r="C9" s="894"/>
      <c r="D9" s="895" t="s">
        <v>501</v>
      </c>
      <c r="E9" s="245">
        <v>4</v>
      </c>
      <c r="F9" s="243"/>
    </row>
    <row r="10" spans="1:6">
      <c r="A10" s="231"/>
      <c r="B10" s="903">
        <v>5</v>
      </c>
      <c r="C10" s="897"/>
      <c r="D10" s="905"/>
      <c r="E10" s="245">
        <v>5</v>
      </c>
    </row>
    <row r="11" spans="1:6" ht="66">
      <c r="A11" s="231"/>
      <c r="B11" s="903">
        <v>6</v>
      </c>
      <c r="C11" s="227" t="s">
        <v>744</v>
      </c>
      <c r="D11" s="895" t="s">
        <v>502</v>
      </c>
      <c r="E11" s="245">
        <v>6</v>
      </c>
      <c r="F11" s="243"/>
    </row>
    <row r="12" spans="1:6">
      <c r="A12" s="231"/>
      <c r="B12" s="903">
        <v>7</v>
      </c>
      <c r="C12" s="897"/>
      <c r="D12" s="907"/>
      <c r="E12" s="245">
        <v>7</v>
      </c>
    </row>
    <row r="13" spans="1:6" ht="52.8">
      <c r="A13" s="231"/>
      <c r="B13" s="903">
        <v>8</v>
      </c>
      <c r="C13" s="895" t="s">
        <v>843</v>
      </c>
      <c r="D13" s="895" t="s">
        <v>745</v>
      </c>
      <c r="E13" s="245">
        <v>8</v>
      </c>
      <c r="F13" s="243"/>
    </row>
    <row r="14" spans="1:6">
      <c r="A14" s="231"/>
      <c r="B14" s="903">
        <v>9</v>
      </c>
      <c r="C14" s="894"/>
      <c r="D14" s="894"/>
      <c r="E14" s="245">
        <v>9</v>
      </c>
    </row>
    <row r="15" spans="1:6" ht="39.6">
      <c r="A15" s="231"/>
      <c r="B15" s="903">
        <v>10</v>
      </c>
      <c r="C15" s="894" t="s">
        <v>746</v>
      </c>
      <c r="D15" s="895" t="s">
        <v>747</v>
      </c>
      <c r="E15" s="245">
        <v>10</v>
      </c>
      <c r="F15" s="243"/>
    </row>
    <row r="16" spans="1:6">
      <c r="B16" s="222"/>
      <c r="C16" s="225"/>
      <c r="D16" s="225"/>
      <c r="E16" s="244"/>
    </row>
    <row r="17" spans="2:12" ht="39.6">
      <c r="B17" s="592" t="s">
        <v>844</v>
      </c>
      <c r="C17" s="904" t="s">
        <v>741</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343</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820</v>
      </c>
      <c r="C33" s="225"/>
      <c r="D33" s="225"/>
      <c r="E33" s="225"/>
      <c r="F33" s="225"/>
    </row>
    <row r="34" spans="2:6">
      <c r="B34" s="234" t="s">
        <v>677</v>
      </c>
      <c r="C34" s="225"/>
      <c r="D34" s="225"/>
      <c r="E34" s="225"/>
      <c r="F34" s="225"/>
    </row>
    <row r="35" spans="2:6">
      <c r="B35" s="234" t="s">
        <v>494</v>
      </c>
      <c r="C35" s="225"/>
      <c r="D35" s="225"/>
      <c r="E35" s="225"/>
      <c r="F35" s="225"/>
    </row>
    <row r="36" spans="2:6">
      <c r="B36" s="234" t="s">
        <v>495</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09375" defaultRowHeight="13.2"/>
  <cols>
    <col min="1" max="1" width="5.109375" style="64" customWidth="1"/>
    <col min="2" max="2" width="12.88671875" style="231" customWidth="1"/>
    <col min="3" max="9" width="29.109375" style="231" customWidth="1"/>
    <col min="10" max="10" width="3.109375" style="64" bestFit="1" customWidth="1"/>
    <col min="11" max="12" width="29.109375" style="231" customWidth="1"/>
    <col min="14" max="16384" width="9.109375" style="64"/>
  </cols>
  <sheetData>
    <row r="1" spans="2:12">
      <c r="B1" s="222" t="s">
        <v>8</v>
      </c>
      <c r="C1" s="223"/>
      <c r="D1" s="224"/>
      <c r="E1" s="224"/>
      <c r="F1" s="225"/>
      <c r="G1" s="225"/>
      <c r="H1" s="225"/>
      <c r="I1" s="225"/>
      <c r="K1" s="225"/>
      <c r="L1" s="225"/>
    </row>
    <row r="2" spans="2:12" ht="13.8" thickBot="1">
      <c r="B2" s="222" t="s">
        <v>27</v>
      </c>
      <c r="C2" s="888" t="s">
        <v>846</v>
      </c>
      <c r="D2" s="224"/>
      <c r="E2" s="224"/>
      <c r="F2" s="225" t="s">
        <v>847</v>
      </c>
      <c r="G2" s="225"/>
      <c r="H2" s="225"/>
      <c r="I2" s="225"/>
      <c r="K2" s="260" t="s">
        <v>753</v>
      </c>
      <c r="L2" s="225"/>
    </row>
    <row r="3" spans="2:12" ht="26.4">
      <c r="B3" s="226" t="s">
        <v>318</v>
      </c>
      <c r="C3" s="227" t="s">
        <v>503</v>
      </c>
      <c r="D3" s="227" t="s">
        <v>504</v>
      </c>
      <c r="E3" s="227" t="s">
        <v>848</v>
      </c>
      <c r="F3" s="906" t="s">
        <v>527</v>
      </c>
      <c r="G3" s="906" t="s">
        <v>849</v>
      </c>
      <c r="H3" s="227" t="s">
        <v>528</v>
      </c>
      <c r="I3" s="227" t="s">
        <v>506</v>
      </c>
      <c r="K3" s="291" t="s">
        <v>507</v>
      </c>
      <c r="L3" s="292" t="s">
        <v>508</v>
      </c>
    </row>
    <row r="4" spans="2:12" ht="26.4">
      <c r="B4" s="228" t="s">
        <v>276</v>
      </c>
      <c r="C4" s="889" t="s">
        <v>509</v>
      </c>
      <c r="D4" s="889" t="s">
        <v>510</v>
      </c>
      <c r="E4" s="889" t="s">
        <v>511</v>
      </c>
      <c r="F4" s="889" t="s">
        <v>512</v>
      </c>
      <c r="G4" s="231" t="s">
        <v>513</v>
      </c>
      <c r="H4" s="889" t="s">
        <v>514</v>
      </c>
      <c r="I4" s="231" t="s">
        <v>515</v>
      </c>
      <c r="K4" s="293" t="s">
        <v>748</v>
      </c>
      <c r="L4" s="294" t="s">
        <v>516</v>
      </c>
    </row>
    <row r="5" spans="2:12" ht="79.2">
      <c r="B5" s="890" t="s">
        <v>286</v>
      </c>
      <c r="C5" s="891" t="s">
        <v>1183</v>
      </c>
      <c r="D5" s="891" t="s">
        <v>1184</v>
      </c>
      <c r="E5" s="891" t="s">
        <v>850</v>
      </c>
      <c r="F5" s="892" t="s">
        <v>851</v>
      </c>
      <c r="G5" s="891" t="s">
        <v>852</v>
      </c>
      <c r="H5" s="892" t="s">
        <v>494</v>
      </c>
      <c r="I5" s="892" t="s">
        <v>517</v>
      </c>
      <c r="K5" s="910" t="s">
        <v>749</v>
      </c>
      <c r="L5" s="911" t="s">
        <v>518</v>
      </c>
    </row>
    <row r="6" spans="2:12" ht="26.4">
      <c r="B6" s="893">
        <v>1</v>
      </c>
      <c r="C6" s="894" t="s">
        <v>519</v>
      </c>
      <c r="D6" s="894"/>
      <c r="E6" s="894"/>
      <c r="F6" s="894"/>
      <c r="G6" s="894"/>
      <c r="H6" s="894"/>
      <c r="I6" s="894"/>
      <c r="J6" s="64">
        <f t="shared" ref="J6:J14" si="0">B6</f>
        <v>1</v>
      </c>
      <c r="K6" s="912" t="s">
        <v>418</v>
      </c>
      <c r="L6" s="913" t="s">
        <v>520</v>
      </c>
    </row>
    <row r="7" spans="2:12" ht="52.8">
      <c r="B7" s="893">
        <v>2</v>
      </c>
      <c r="C7" s="894"/>
      <c r="D7" s="894"/>
      <c r="E7" s="894"/>
      <c r="F7" s="894"/>
      <c r="G7" s="894"/>
      <c r="H7" s="894" t="s">
        <v>853</v>
      </c>
      <c r="I7" s="894"/>
      <c r="J7" s="64">
        <f t="shared" si="0"/>
        <v>2</v>
      </c>
      <c r="K7" s="912" t="s">
        <v>750</v>
      </c>
      <c r="L7" s="914" t="s">
        <v>973</v>
      </c>
    </row>
    <row r="8" spans="2:12" ht="52.8">
      <c r="B8" s="893">
        <v>3</v>
      </c>
      <c r="C8" s="894"/>
      <c r="D8" s="894" t="s">
        <v>854</v>
      </c>
      <c r="E8" s="894"/>
      <c r="F8" s="894" t="s">
        <v>855</v>
      </c>
      <c r="G8" s="894"/>
      <c r="H8" s="894"/>
      <c r="I8" s="894"/>
      <c r="J8" s="64">
        <f t="shared" si="0"/>
        <v>3</v>
      </c>
      <c r="K8" s="912" t="s">
        <v>751</v>
      </c>
      <c r="L8" s="913" t="s">
        <v>521</v>
      </c>
    </row>
    <row r="9" spans="2:12" ht="53.4" thickBot="1">
      <c r="B9" s="893">
        <v>4</v>
      </c>
      <c r="C9" s="894"/>
      <c r="D9" s="894" t="s">
        <v>856</v>
      </c>
      <c r="E9" s="894"/>
      <c r="F9" s="895" t="s">
        <v>857</v>
      </c>
      <c r="G9" s="895"/>
      <c r="H9" s="894"/>
      <c r="I9" s="894"/>
      <c r="J9" s="64">
        <f t="shared" si="0"/>
        <v>4</v>
      </c>
      <c r="K9" s="915" t="s">
        <v>752</v>
      </c>
      <c r="L9" s="916"/>
    </row>
    <row r="10" spans="2:12">
      <c r="B10" s="893">
        <v>5</v>
      </c>
      <c r="C10" s="894"/>
      <c r="D10" s="894"/>
      <c r="E10" s="894"/>
      <c r="F10" s="894"/>
      <c r="G10" s="894"/>
      <c r="H10" s="894"/>
      <c r="I10" s="894"/>
      <c r="J10" s="64">
        <f t="shared" si="0"/>
        <v>5</v>
      </c>
      <c r="K10" s="226"/>
      <c r="L10" s="226"/>
    </row>
    <row r="11" spans="2:12" ht="52.8">
      <c r="B11" s="893">
        <v>6</v>
      </c>
      <c r="C11" s="894"/>
      <c r="D11" s="894" t="s">
        <v>858</v>
      </c>
      <c r="E11" s="894"/>
      <c r="F11" s="895" t="s">
        <v>858</v>
      </c>
      <c r="G11" s="896"/>
      <c r="H11" s="894" t="s">
        <v>859</v>
      </c>
      <c r="I11" s="894"/>
      <c r="J11" s="64">
        <f t="shared" si="0"/>
        <v>6</v>
      </c>
      <c r="K11" s="226"/>
      <c r="L11" s="226"/>
    </row>
    <row r="12" spans="2:12" ht="39.6">
      <c r="B12" s="893">
        <v>7</v>
      </c>
      <c r="C12" s="894"/>
      <c r="D12" s="894"/>
      <c r="E12" s="894" t="s">
        <v>534</v>
      </c>
      <c r="F12" s="894"/>
      <c r="G12" s="894" t="s">
        <v>860</v>
      </c>
      <c r="H12" s="894"/>
      <c r="I12" s="894"/>
      <c r="J12" s="64">
        <f t="shared" si="0"/>
        <v>7</v>
      </c>
      <c r="K12" s="226"/>
      <c r="L12" s="226"/>
    </row>
    <row r="13" spans="2:12" ht="52.8">
      <c r="B13" s="893">
        <v>8</v>
      </c>
      <c r="C13" s="894"/>
      <c r="D13" s="894" t="s">
        <v>861</v>
      </c>
      <c r="E13" s="894"/>
      <c r="F13" s="895" t="s">
        <v>862</v>
      </c>
      <c r="G13" s="897"/>
      <c r="H13" s="895" t="s">
        <v>965</v>
      </c>
      <c r="I13" s="895"/>
      <c r="J13" s="64">
        <f t="shared" si="0"/>
        <v>8</v>
      </c>
      <c r="K13" s="226"/>
      <c r="L13" s="226"/>
    </row>
    <row r="14" spans="2:12" ht="52.8">
      <c r="B14" s="893">
        <v>9</v>
      </c>
      <c r="C14" s="894"/>
      <c r="D14" s="895" t="s">
        <v>964</v>
      </c>
      <c r="E14" s="894"/>
      <c r="F14" s="894"/>
      <c r="G14" s="897"/>
      <c r="H14" s="895" t="s">
        <v>966</v>
      </c>
      <c r="I14" s="895" t="s">
        <v>269</v>
      </c>
      <c r="J14" s="64">
        <f t="shared" si="0"/>
        <v>9</v>
      </c>
      <c r="K14" s="226"/>
      <c r="L14" s="226"/>
    </row>
    <row r="15" spans="2:12" ht="26.4">
      <c r="B15" s="893">
        <v>9</v>
      </c>
      <c r="C15" s="894"/>
      <c r="D15" s="894" t="s">
        <v>863</v>
      </c>
      <c r="E15" s="894"/>
      <c r="F15" s="894"/>
      <c r="G15" s="897"/>
      <c r="H15" s="894"/>
      <c r="I15" s="897"/>
      <c r="J15" s="64">
        <v>9</v>
      </c>
      <c r="K15" s="226"/>
      <c r="L15" s="226"/>
    </row>
    <row r="16" spans="2:12" ht="52.8">
      <c r="B16" s="893">
        <v>10</v>
      </c>
      <c r="C16" s="894" t="s">
        <v>864</v>
      </c>
      <c r="D16" s="894" t="s">
        <v>865</v>
      </c>
      <c r="E16" s="894" t="s">
        <v>866</v>
      </c>
      <c r="F16" s="895" t="s">
        <v>865</v>
      </c>
      <c r="G16" s="896" t="s">
        <v>867</v>
      </c>
      <c r="H16" s="895" t="s">
        <v>972</v>
      </c>
      <c r="I16" s="895" t="s">
        <v>262</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9.6">
      <c r="B23" s="230" t="s">
        <v>343</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2.8">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26.4">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2.8">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2.8">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6.4">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820</v>
      </c>
      <c r="C33" s="226"/>
      <c r="D33" s="226"/>
      <c r="E33" s="226"/>
      <c r="F33" s="226"/>
      <c r="G33" s="226"/>
      <c r="H33" s="226"/>
      <c r="I33" s="226"/>
      <c r="K33" s="226"/>
      <c r="L33" s="226"/>
    </row>
    <row r="34" spans="1:12">
      <c r="A34" s="279" t="s">
        <v>525</v>
      </c>
      <c r="B34" s="231" t="s">
        <v>846</v>
      </c>
      <c r="C34" s="226"/>
      <c r="D34" s="226"/>
      <c r="E34" s="226"/>
      <c r="F34" s="226"/>
      <c r="G34" s="226"/>
      <c r="H34" s="226"/>
      <c r="I34" s="226"/>
      <c r="K34" s="226"/>
      <c r="L34" s="226"/>
    </row>
    <row r="35" spans="1:12">
      <c r="A35" s="279" t="s">
        <v>503</v>
      </c>
      <c r="B35" s="234" t="s">
        <v>1183</v>
      </c>
      <c r="C35" s="226"/>
      <c r="D35" s="226"/>
      <c r="E35" s="226"/>
      <c r="F35" s="226"/>
      <c r="G35" s="226"/>
      <c r="H35" s="226"/>
      <c r="I35" s="226"/>
      <c r="K35" s="226"/>
      <c r="L35" s="226"/>
    </row>
    <row r="36" spans="1:12">
      <c r="A36" s="279" t="s">
        <v>504</v>
      </c>
      <c r="B36" s="234" t="s">
        <v>1184</v>
      </c>
      <c r="C36" s="226"/>
      <c r="D36" s="226"/>
      <c r="E36" s="226"/>
      <c r="F36" s="226"/>
      <c r="G36" s="226"/>
      <c r="H36" s="226"/>
      <c r="I36" s="226"/>
      <c r="K36" s="226"/>
      <c r="L36" s="226"/>
    </row>
    <row r="37" spans="1:12">
      <c r="A37" s="279" t="s">
        <v>526</v>
      </c>
      <c r="B37" s="234" t="s">
        <v>850</v>
      </c>
      <c r="C37" s="226"/>
      <c r="D37" s="226"/>
      <c r="E37" s="226"/>
      <c r="F37" s="226"/>
      <c r="G37" s="226"/>
      <c r="H37" s="226"/>
      <c r="I37" s="226"/>
      <c r="K37" s="226"/>
      <c r="L37" s="226"/>
    </row>
    <row r="38" spans="1:12">
      <c r="A38" s="279" t="s">
        <v>527</v>
      </c>
      <c r="B38" s="234" t="s">
        <v>851</v>
      </c>
      <c r="C38" s="226"/>
      <c r="D38" s="226"/>
      <c r="E38" s="226"/>
      <c r="F38" s="226"/>
      <c r="G38" s="226"/>
      <c r="H38" s="226"/>
      <c r="I38" s="226"/>
      <c r="K38" s="226"/>
      <c r="L38" s="226"/>
    </row>
    <row r="39" spans="1:12">
      <c r="A39" s="279" t="s">
        <v>505</v>
      </c>
      <c r="B39" s="234" t="s">
        <v>852</v>
      </c>
      <c r="C39" s="226"/>
      <c r="D39" s="226"/>
      <c r="E39" s="226"/>
      <c r="F39" s="226"/>
      <c r="G39" s="226"/>
      <c r="H39" s="226"/>
      <c r="I39" s="226"/>
      <c r="K39" s="226"/>
      <c r="L39" s="226"/>
    </row>
    <row r="40" spans="1:12">
      <c r="A40" s="279" t="s">
        <v>528</v>
      </c>
      <c r="B40" s="234" t="s">
        <v>494</v>
      </c>
      <c r="C40" s="226"/>
      <c r="D40" s="226"/>
      <c r="E40" s="226"/>
      <c r="F40" s="226"/>
      <c r="G40" s="226"/>
      <c r="H40" s="226"/>
      <c r="I40" s="226"/>
      <c r="K40" s="226"/>
      <c r="L40" s="226"/>
    </row>
    <row r="41" spans="1:12">
      <c r="A41" s="279" t="s">
        <v>506</v>
      </c>
      <c r="B41" s="234" t="s">
        <v>517</v>
      </c>
      <c r="C41" s="226"/>
      <c r="D41" s="226"/>
      <c r="E41" s="226"/>
      <c r="F41" s="226"/>
      <c r="G41" s="226"/>
      <c r="H41" s="226"/>
      <c r="I41" s="226"/>
      <c r="K41" s="226"/>
      <c r="L41" s="226"/>
    </row>
    <row r="42" spans="1:12">
      <c r="A42" s="279" t="s">
        <v>507</v>
      </c>
      <c r="B42" s="231" t="s">
        <v>749</v>
      </c>
      <c r="C42" s="226"/>
      <c r="D42" s="226"/>
      <c r="E42" s="226"/>
      <c r="F42" s="226"/>
      <c r="G42" s="226"/>
      <c r="H42" s="226"/>
      <c r="I42" s="226"/>
      <c r="K42" s="226"/>
      <c r="L42" s="226"/>
    </row>
    <row r="43" spans="1:12">
      <c r="A43" s="279" t="s">
        <v>508</v>
      </c>
      <c r="B43" s="234" t="s">
        <v>518</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1" max="1" width="9.109375" style="241"/>
    <col min="2" max="2" width="12.88671875" style="231" customWidth="1"/>
    <col min="3" max="6" width="45.88671875" style="231" customWidth="1"/>
    <col min="7" max="8" width="21.88671875" style="231" customWidth="1"/>
    <col min="9" max="16384" width="9.109375" style="241"/>
  </cols>
  <sheetData>
    <row r="1" spans="1:8">
      <c r="A1" s="221"/>
      <c r="B1" s="219" t="s">
        <v>68</v>
      </c>
      <c r="C1" s="237"/>
      <c r="D1" s="236"/>
      <c r="E1" s="236"/>
      <c r="F1" s="236"/>
      <c r="G1" s="225"/>
      <c r="H1" s="225"/>
    </row>
    <row r="2" spans="1:8">
      <c r="A2" s="247" t="s">
        <v>740</v>
      </c>
      <c r="B2" s="592" t="s">
        <v>478</v>
      </c>
      <c r="C2" s="247" t="s">
        <v>677</v>
      </c>
      <c r="D2" s="225"/>
      <c r="E2" s="225"/>
      <c r="F2" s="225"/>
      <c r="G2" s="225"/>
      <c r="H2" s="225"/>
    </row>
    <row r="3" spans="1:8">
      <c r="A3" s="247" t="s">
        <v>1233</v>
      </c>
      <c r="B3" s="243" t="s">
        <v>318</v>
      </c>
      <c r="C3" s="899" t="s">
        <v>535</v>
      </c>
      <c r="D3" s="899" t="s">
        <v>536</v>
      </c>
      <c r="E3" s="899" t="s">
        <v>537</v>
      </c>
      <c r="F3" s="899" t="s">
        <v>538</v>
      </c>
      <c r="G3" s="243"/>
      <c r="H3" s="243"/>
    </row>
    <row r="4" spans="1:8" ht="26.4">
      <c r="A4" s="231"/>
      <c r="B4" s="228" t="s">
        <v>276</v>
      </c>
      <c r="C4" s="900" t="s">
        <v>492</v>
      </c>
      <c r="D4" s="900" t="s">
        <v>539</v>
      </c>
      <c r="E4" s="900" t="s">
        <v>540</v>
      </c>
      <c r="F4" s="900" t="s">
        <v>541</v>
      </c>
      <c r="G4" s="244"/>
    </row>
    <row r="5" spans="1:8" ht="52.8">
      <c r="A5" s="231"/>
      <c r="B5" s="228" t="s">
        <v>286</v>
      </c>
      <c r="C5" s="901" t="s">
        <v>494</v>
      </c>
      <c r="D5" s="902" t="s">
        <v>755</v>
      </c>
      <c r="E5" s="902" t="s">
        <v>542</v>
      </c>
      <c r="F5" s="902" t="s">
        <v>543</v>
      </c>
      <c r="G5" s="243"/>
      <c r="H5" s="243"/>
    </row>
    <row r="6" spans="1:8">
      <c r="A6" s="231"/>
      <c r="B6" s="903">
        <v>1</v>
      </c>
      <c r="C6" s="895"/>
      <c r="D6" s="894" t="s">
        <v>418</v>
      </c>
      <c r="E6" s="894" t="s">
        <v>544</v>
      </c>
      <c r="F6" s="895" t="s">
        <v>418</v>
      </c>
      <c r="G6" s="903">
        <v>1</v>
      </c>
    </row>
    <row r="7" spans="1:8">
      <c r="A7" s="231"/>
      <c r="B7" s="903">
        <v>2</v>
      </c>
      <c r="C7" s="895" t="s">
        <v>499</v>
      </c>
      <c r="D7" s="895"/>
      <c r="E7" s="895" t="s">
        <v>545</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6.4">
      <c r="A10" s="231"/>
      <c r="B10" s="903">
        <v>5</v>
      </c>
      <c r="C10" s="897"/>
      <c r="D10" s="905"/>
      <c r="E10" s="905" t="s">
        <v>546</v>
      </c>
      <c r="F10" s="905"/>
      <c r="G10" s="903">
        <v>5</v>
      </c>
    </row>
    <row r="11" spans="1:8" ht="39.6">
      <c r="A11" s="231"/>
      <c r="B11" s="903">
        <v>6</v>
      </c>
      <c r="C11" s="906" t="s">
        <v>980</v>
      </c>
      <c r="D11" s="895"/>
      <c r="E11" s="895"/>
      <c r="F11" s="895" t="s">
        <v>547</v>
      </c>
      <c r="G11" s="903">
        <v>6</v>
      </c>
      <c r="H11" s="243"/>
    </row>
    <row r="12" spans="1:8" ht="39.6">
      <c r="A12" s="231"/>
      <c r="B12" s="903">
        <v>7</v>
      </c>
      <c r="C12" s="897"/>
      <c r="D12" s="905" t="s">
        <v>550</v>
      </c>
      <c r="E12" s="907"/>
      <c r="F12" s="907"/>
      <c r="G12" s="903">
        <v>7</v>
      </c>
    </row>
    <row r="13" spans="1:8" ht="39.6">
      <c r="A13" s="231"/>
      <c r="B13" s="903">
        <v>8</v>
      </c>
      <c r="C13" s="895"/>
      <c r="D13" s="895"/>
      <c r="E13" s="895"/>
      <c r="F13" s="895" t="s">
        <v>659</v>
      </c>
      <c r="G13" s="903">
        <v>8</v>
      </c>
      <c r="H13" s="243"/>
    </row>
    <row r="14" spans="1:8">
      <c r="A14" s="231"/>
      <c r="B14" s="903">
        <v>9</v>
      </c>
      <c r="C14" s="894"/>
      <c r="D14" s="894"/>
      <c r="E14" s="894"/>
      <c r="F14" s="894"/>
      <c r="G14" s="903">
        <v>9</v>
      </c>
    </row>
    <row r="15" spans="1:8" ht="39.6">
      <c r="A15" s="231"/>
      <c r="B15" s="903">
        <v>10</v>
      </c>
      <c r="C15" s="894" t="s">
        <v>548</v>
      </c>
      <c r="D15" s="895" t="s">
        <v>551</v>
      </c>
      <c r="E15" s="895" t="s">
        <v>549</v>
      </c>
      <c r="F15" s="895" t="s">
        <v>660</v>
      </c>
      <c r="G15" s="903">
        <v>10</v>
      </c>
      <c r="H15" s="243"/>
    </row>
    <row r="16" spans="1:8">
      <c r="B16" s="222"/>
      <c r="C16" s="225"/>
      <c r="D16" s="225"/>
      <c r="E16" s="225"/>
      <c r="F16" s="225"/>
      <c r="G16" s="244"/>
    </row>
    <row r="17" spans="2:14" ht="26.4">
      <c r="B17" s="592" t="s">
        <v>844</v>
      </c>
      <c r="C17" s="904" t="s">
        <v>741</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343</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820</v>
      </c>
      <c r="C33" s="225"/>
      <c r="D33" s="225"/>
      <c r="E33" s="225"/>
      <c r="F33" s="225"/>
      <c r="G33" s="225"/>
      <c r="H33" s="225"/>
    </row>
    <row r="34" spans="2:8">
      <c r="B34" s="234" t="s">
        <v>677</v>
      </c>
      <c r="C34" s="225"/>
      <c r="D34" s="225"/>
      <c r="E34" s="225"/>
      <c r="F34" s="225"/>
      <c r="G34" s="225"/>
      <c r="H34" s="225"/>
    </row>
    <row r="35" spans="2:8">
      <c r="B35" s="234" t="s">
        <v>494</v>
      </c>
      <c r="C35" s="225"/>
      <c r="D35" s="225"/>
      <c r="E35" s="225"/>
      <c r="F35" s="225"/>
      <c r="G35" s="225"/>
      <c r="H35" s="225"/>
    </row>
    <row r="36" spans="2:8">
      <c r="B36" s="234" t="s">
        <v>755</v>
      </c>
      <c r="C36" s="225"/>
      <c r="D36" s="225"/>
      <c r="E36" s="225"/>
      <c r="F36" s="225"/>
      <c r="G36" s="225"/>
      <c r="H36" s="225"/>
    </row>
    <row r="37" spans="2:8">
      <c r="B37" s="234" t="s">
        <v>542</v>
      </c>
      <c r="C37" s="225"/>
      <c r="D37" s="225"/>
      <c r="E37" s="225"/>
      <c r="F37" s="225"/>
      <c r="G37" s="225"/>
      <c r="H37" s="225"/>
    </row>
    <row r="38" spans="2:8">
      <c r="B38" s="234" t="s">
        <v>543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09375" defaultRowHeight="13.2"/>
  <cols>
    <col min="1" max="1" width="9.109375" style="241"/>
    <col min="2" max="2" width="12.88671875" style="231" customWidth="1"/>
    <col min="3" max="3" width="45.88671875" style="231" customWidth="1"/>
    <col min="4" max="4" width="29.88671875" style="231" customWidth="1"/>
    <col min="5" max="6" width="45.88671875" style="231" customWidth="1"/>
    <col min="7" max="8" width="21.88671875" style="231" customWidth="1"/>
    <col min="9" max="16384" width="9.109375" style="241"/>
  </cols>
  <sheetData>
    <row r="1" spans="1:8">
      <c r="A1" s="221"/>
      <c r="B1" s="215" t="s">
        <v>555</v>
      </c>
      <c r="C1" s="249"/>
      <c r="D1" s="250"/>
      <c r="E1" s="250"/>
      <c r="F1" s="250"/>
      <c r="G1" s="225"/>
      <c r="H1" s="225"/>
    </row>
    <row r="2" spans="1:8">
      <c r="A2" s="221"/>
      <c r="B2" s="221"/>
      <c r="C2" s="221"/>
      <c r="D2" s="239"/>
      <c r="E2" s="239"/>
      <c r="F2" s="239"/>
      <c r="G2" s="225"/>
      <c r="H2" s="225"/>
    </row>
    <row r="3" spans="1:8">
      <c r="A3" s="221"/>
      <c r="B3" s="899" t="s">
        <v>318</v>
      </c>
      <c r="C3" s="899" t="s">
        <v>565</v>
      </c>
      <c r="D3" s="899" t="s">
        <v>566</v>
      </c>
      <c r="E3" s="899" t="s">
        <v>567</v>
      </c>
      <c r="F3" s="899" t="s">
        <v>568</v>
      </c>
      <c r="G3" s="243"/>
      <c r="H3" s="243"/>
    </row>
    <row r="4" spans="1:8" ht="26.4">
      <c r="A4" s="221"/>
      <c r="B4" s="908" t="s">
        <v>276</v>
      </c>
      <c r="C4" s="900" t="s">
        <v>492</v>
      </c>
      <c r="D4" s="900" t="s">
        <v>558</v>
      </c>
      <c r="E4" s="900" t="s">
        <v>556</v>
      </c>
      <c r="F4" s="900" t="s">
        <v>557</v>
      </c>
      <c r="G4" s="244"/>
    </row>
    <row r="5" spans="1:8" ht="39.6">
      <c r="A5" s="221"/>
      <c r="B5" s="908" t="s">
        <v>286</v>
      </c>
      <c r="C5" s="902" t="s">
        <v>561</v>
      </c>
      <c r="D5" s="902" t="s">
        <v>756</v>
      </c>
      <c r="E5" s="902" t="s">
        <v>559</v>
      </c>
      <c r="F5" s="902" t="s">
        <v>560</v>
      </c>
      <c r="G5" s="243"/>
      <c r="H5" s="243"/>
    </row>
    <row r="6" spans="1:8">
      <c r="A6" s="221"/>
      <c r="B6" s="917">
        <v>1</v>
      </c>
      <c r="C6" s="895" t="s">
        <v>499</v>
      </c>
      <c r="D6" s="895"/>
      <c r="E6" s="895"/>
      <c r="F6" s="895"/>
      <c r="G6" s="245">
        <v>1</v>
      </c>
    </row>
    <row r="7" spans="1:8">
      <c r="A7" s="221"/>
      <c r="B7" s="917">
        <v>2</v>
      </c>
      <c r="C7" s="895"/>
      <c r="D7" s="895"/>
      <c r="E7" s="895"/>
      <c r="F7" s="895"/>
      <c r="G7" s="245">
        <v>2</v>
      </c>
      <c r="H7" s="243"/>
    </row>
    <row r="8" spans="1:8" ht="26.4">
      <c r="A8" s="221"/>
      <c r="B8" s="917">
        <v>3</v>
      </c>
      <c r="C8" s="906"/>
      <c r="D8" s="895"/>
      <c r="E8" s="895" t="s">
        <v>869</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6.4">
      <c r="A11" s="221"/>
      <c r="B11" s="917">
        <v>6</v>
      </c>
      <c r="C11" s="906"/>
      <c r="D11" s="895"/>
      <c r="E11" s="895" t="s">
        <v>970</v>
      </c>
      <c r="F11" s="895"/>
      <c r="G11" s="245">
        <v>6</v>
      </c>
      <c r="H11" s="243"/>
    </row>
    <row r="12" spans="1:8">
      <c r="A12" s="221"/>
      <c r="B12" s="917">
        <v>7</v>
      </c>
      <c r="C12" s="895"/>
      <c r="D12" s="905"/>
      <c r="E12" s="905"/>
      <c r="F12" s="905" t="s">
        <v>562</v>
      </c>
      <c r="G12" s="245">
        <v>7</v>
      </c>
    </row>
    <row r="13" spans="1:8">
      <c r="A13" s="221"/>
      <c r="B13" s="917">
        <v>8</v>
      </c>
      <c r="C13" s="895"/>
      <c r="D13" s="895" t="s">
        <v>269</v>
      </c>
      <c r="E13" s="895"/>
      <c r="F13" s="895"/>
      <c r="G13" s="245">
        <v>8</v>
      </c>
      <c r="H13" s="243"/>
    </row>
    <row r="14" spans="1:8">
      <c r="A14" s="221"/>
      <c r="B14" s="917">
        <v>9</v>
      </c>
      <c r="C14" s="895"/>
      <c r="D14" s="895"/>
      <c r="E14" s="895"/>
      <c r="F14" s="895"/>
      <c r="G14" s="245">
        <v>9</v>
      </c>
    </row>
    <row r="15" spans="1:8" ht="26.4">
      <c r="A15" s="221"/>
      <c r="B15" s="917">
        <v>10</v>
      </c>
      <c r="C15" s="895" t="s">
        <v>564</v>
      </c>
      <c r="D15" s="895" t="s">
        <v>262</v>
      </c>
      <c r="E15" s="895" t="s">
        <v>971</v>
      </c>
      <c r="F15" s="895" t="s">
        <v>963</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343</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820</v>
      </c>
      <c r="C33" s="225"/>
      <c r="D33" s="225"/>
      <c r="E33" s="225"/>
      <c r="F33" s="225"/>
      <c r="G33" s="225"/>
      <c r="H33" s="225"/>
    </row>
    <row r="34" spans="2:8">
      <c r="B34" s="234"/>
      <c r="C34" s="225"/>
      <c r="D34" s="225"/>
      <c r="E34" s="225"/>
      <c r="F34" s="225"/>
      <c r="G34" s="225"/>
      <c r="H34" s="225"/>
    </row>
    <row r="35" spans="2:8">
      <c r="B35" s="234" t="s">
        <v>561</v>
      </c>
      <c r="C35" s="225"/>
      <c r="D35" s="225"/>
      <c r="E35" s="225"/>
      <c r="F35" s="225"/>
      <c r="G35" s="225"/>
      <c r="H35" s="225"/>
    </row>
    <row r="36" spans="2:8">
      <c r="B36" s="234" t="s">
        <v>756</v>
      </c>
      <c r="C36" s="225"/>
      <c r="D36" s="225"/>
      <c r="E36" s="225"/>
      <c r="F36" s="225"/>
      <c r="G36" s="225"/>
      <c r="H36" s="225"/>
    </row>
    <row r="37" spans="2:8">
      <c r="B37" s="234" t="s">
        <v>559</v>
      </c>
      <c r="C37" s="225"/>
      <c r="D37" s="225"/>
      <c r="E37" s="225"/>
      <c r="F37" s="225"/>
      <c r="G37" s="225"/>
      <c r="H37" s="225"/>
    </row>
    <row r="38" spans="2:8">
      <c r="B38" s="234" t="s">
        <v>560</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09375" defaultRowHeight="13.2"/>
  <cols>
    <col min="1" max="1" width="9.109375" style="241"/>
    <col min="2" max="2" width="12.88671875" style="231" customWidth="1"/>
    <col min="3" max="6" width="38.109375" style="231" customWidth="1"/>
    <col min="7" max="7" width="33.44140625" style="231" bestFit="1" customWidth="1"/>
    <col min="8" max="9" width="21.88671875" style="231" customWidth="1"/>
    <col min="10" max="16384" width="9.109375" style="241"/>
  </cols>
  <sheetData>
    <row r="1" spans="1:9">
      <c r="A1" s="221"/>
      <c r="B1" s="215" t="s">
        <v>571</v>
      </c>
      <c r="C1" s="249"/>
      <c r="D1" s="250"/>
      <c r="E1" s="250"/>
      <c r="F1" s="250"/>
      <c r="G1" s="250"/>
      <c r="H1" s="225"/>
      <c r="I1" s="225"/>
    </row>
    <row r="2" spans="1:9">
      <c r="A2" s="221"/>
      <c r="B2" s="221"/>
      <c r="C2" s="221"/>
      <c r="D2" s="239"/>
      <c r="E2" s="239"/>
      <c r="F2" s="239"/>
      <c r="G2" s="239"/>
      <c r="H2" s="225"/>
      <c r="I2" s="225"/>
    </row>
    <row r="3" spans="1:9">
      <c r="A3" s="221"/>
      <c r="B3" s="242" t="s">
        <v>318</v>
      </c>
      <c r="C3" s="899" t="s">
        <v>572</v>
      </c>
      <c r="D3" s="899" t="s">
        <v>573</v>
      </c>
      <c r="E3" s="899" t="s">
        <v>574</v>
      </c>
      <c r="F3" s="899" t="s">
        <v>575</v>
      </c>
      <c r="G3" s="899" t="s">
        <v>576</v>
      </c>
      <c r="H3" s="243"/>
      <c r="I3" s="243"/>
    </row>
    <row r="4" spans="1:9" ht="26.4">
      <c r="A4" s="221"/>
      <c r="B4" s="251" t="s">
        <v>276</v>
      </c>
      <c r="C4" s="900" t="s">
        <v>492</v>
      </c>
      <c r="D4" s="900" t="s">
        <v>577</v>
      </c>
      <c r="E4" s="900" t="s">
        <v>577</v>
      </c>
      <c r="F4" s="900" t="s">
        <v>556</v>
      </c>
      <c r="G4" s="900" t="s">
        <v>557</v>
      </c>
      <c r="H4" s="244"/>
    </row>
    <row r="5" spans="1:9" ht="66">
      <c r="A5" s="221"/>
      <c r="B5" s="251" t="s">
        <v>286</v>
      </c>
      <c r="C5" s="902" t="s">
        <v>561</v>
      </c>
      <c r="D5" s="902" t="s">
        <v>578</v>
      </c>
      <c r="E5" s="902" t="s">
        <v>983</v>
      </c>
      <c r="F5" s="902" t="s">
        <v>872</v>
      </c>
      <c r="G5" s="902" t="s">
        <v>757</v>
      </c>
      <c r="H5" s="243"/>
      <c r="I5" s="243"/>
    </row>
    <row r="6" spans="1:9" ht="26.4">
      <c r="A6" s="221"/>
      <c r="B6" s="252">
        <v>1</v>
      </c>
      <c r="C6" s="895"/>
      <c r="D6" s="895"/>
      <c r="E6" s="895"/>
      <c r="F6" s="895" t="s">
        <v>758</v>
      </c>
      <c r="G6" s="895"/>
      <c r="H6" s="245">
        <v>1</v>
      </c>
    </row>
    <row r="7" spans="1:9">
      <c r="A7" s="221"/>
      <c r="B7" s="252">
        <v>2</v>
      </c>
      <c r="C7" s="895" t="s">
        <v>499</v>
      </c>
      <c r="D7" s="895"/>
      <c r="E7" s="895"/>
      <c r="F7" s="895"/>
      <c r="G7" s="895"/>
      <c r="H7" s="245">
        <v>2</v>
      </c>
      <c r="I7" s="243"/>
    </row>
    <row r="8" spans="1:9">
      <c r="A8" s="221"/>
      <c r="B8" s="252">
        <v>3</v>
      </c>
      <c r="C8" s="906"/>
      <c r="D8" s="895"/>
      <c r="E8" s="895"/>
      <c r="F8" s="895"/>
      <c r="G8" s="895"/>
      <c r="H8" s="245">
        <v>3</v>
      </c>
    </row>
    <row r="9" spans="1:9">
      <c r="A9" s="221"/>
      <c r="B9" s="252">
        <v>4</v>
      </c>
      <c r="C9" s="895"/>
      <c r="D9" s="895" t="s">
        <v>579</v>
      </c>
      <c r="E9" s="895"/>
      <c r="F9" s="895"/>
      <c r="G9" s="895"/>
      <c r="H9" s="245">
        <v>4</v>
      </c>
      <c r="I9" s="243"/>
    </row>
    <row r="10" spans="1:9">
      <c r="A10" s="221"/>
      <c r="B10" s="252">
        <v>5</v>
      </c>
      <c r="C10" s="895"/>
      <c r="D10" s="905"/>
      <c r="E10" s="905" t="s">
        <v>269</v>
      </c>
      <c r="F10" s="905"/>
      <c r="G10" s="905" t="s">
        <v>562</v>
      </c>
      <c r="H10" s="245">
        <v>5</v>
      </c>
    </row>
    <row r="11" spans="1:9" ht="39.6">
      <c r="A11" s="221"/>
      <c r="B11" s="252">
        <v>6</v>
      </c>
      <c r="C11" s="906"/>
      <c r="D11" s="895"/>
      <c r="E11" s="895"/>
      <c r="F11" s="895" t="s">
        <v>759</v>
      </c>
      <c r="G11" s="895"/>
      <c r="H11" s="245">
        <v>6</v>
      </c>
      <c r="I11" s="243"/>
    </row>
    <row r="12" spans="1:9">
      <c r="A12" s="221"/>
      <c r="B12" s="252">
        <v>7</v>
      </c>
      <c r="C12" s="895"/>
      <c r="D12" s="905"/>
      <c r="E12" s="905"/>
      <c r="F12" s="905"/>
      <c r="G12" s="905"/>
      <c r="H12" s="245">
        <v>7</v>
      </c>
    </row>
    <row r="13" spans="1:9" ht="52.8">
      <c r="A13" s="221"/>
      <c r="B13" s="252">
        <v>8</v>
      </c>
      <c r="C13" s="895"/>
      <c r="D13" s="895" t="s">
        <v>580</v>
      </c>
      <c r="E13" s="895"/>
      <c r="F13" s="895"/>
      <c r="G13" s="895" t="s">
        <v>961</v>
      </c>
      <c r="H13" s="245">
        <v>8</v>
      </c>
      <c r="I13" s="243"/>
    </row>
    <row r="14" spans="1:9">
      <c r="A14" s="221"/>
      <c r="B14" s="252">
        <v>9</v>
      </c>
      <c r="C14" s="895"/>
      <c r="D14" s="895"/>
      <c r="E14" s="895"/>
      <c r="F14" s="895"/>
      <c r="G14" s="895"/>
      <c r="H14" s="245">
        <v>9</v>
      </c>
    </row>
    <row r="15" spans="1:9" ht="39.6">
      <c r="A15" s="221"/>
      <c r="B15" s="252">
        <v>10</v>
      </c>
      <c r="C15" s="895" t="s">
        <v>581</v>
      </c>
      <c r="D15" s="895" t="s">
        <v>868</v>
      </c>
      <c r="E15" s="895" t="s">
        <v>262</v>
      </c>
      <c r="F15" s="895" t="s">
        <v>969</v>
      </c>
      <c r="G15" s="895" t="s">
        <v>962</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343</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820</v>
      </c>
      <c r="C33" s="225"/>
      <c r="D33" s="225"/>
      <c r="E33" s="225"/>
      <c r="F33" s="225"/>
      <c r="G33" s="225"/>
      <c r="H33" s="225"/>
      <c r="I33" s="225"/>
    </row>
    <row r="34" spans="2:9">
      <c r="B34" s="234"/>
      <c r="C34" s="225"/>
      <c r="D34" s="225"/>
      <c r="E34" s="225"/>
      <c r="F34" s="225"/>
      <c r="G34" s="225"/>
      <c r="H34" s="225"/>
      <c r="I34" s="225"/>
    </row>
    <row r="35" spans="2:9">
      <c r="B35" s="234" t="s">
        <v>561</v>
      </c>
      <c r="C35" s="225"/>
      <c r="D35" s="225"/>
      <c r="E35" s="225"/>
      <c r="F35" s="225"/>
      <c r="G35" s="225"/>
      <c r="H35" s="225"/>
      <c r="I35" s="225"/>
    </row>
    <row r="36" spans="2:9">
      <c r="B36" s="234" t="s">
        <v>578</v>
      </c>
      <c r="C36" s="225"/>
      <c r="D36" s="225"/>
      <c r="E36" s="225"/>
      <c r="F36" s="225"/>
      <c r="G36" s="225"/>
      <c r="H36" s="225"/>
      <c r="I36" s="225"/>
    </row>
    <row r="37" spans="2:9">
      <c r="B37" s="234" t="s">
        <v>983</v>
      </c>
      <c r="C37" s="225"/>
      <c r="D37" s="225"/>
      <c r="E37" s="225"/>
      <c r="F37" s="225"/>
      <c r="G37" s="225"/>
      <c r="H37" s="225"/>
      <c r="I37" s="225"/>
    </row>
    <row r="38" spans="2:9">
      <c r="B38" s="234" t="s">
        <v>872</v>
      </c>
      <c r="C38" s="225"/>
      <c r="D38" s="225"/>
      <c r="E38" s="225"/>
      <c r="F38" s="225"/>
      <c r="G38" s="225"/>
      <c r="H38" s="225"/>
      <c r="I38" s="225"/>
    </row>
    <row r="39" spans="2:9">
      <c r="B39" s="234" t="s">
        <v>757</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1" max="1" width="9.109375" style="241"/>
    <col min="2" max="2" width="12.88671875" style="231" customWidth="1"/>
    <col min="3" max="6" width="45.88671875" style="231" customWidth="1"/>
    <col min="7" max="8" width="21.88671875" style="231" customWidth="1"/>
    <col min="9" max="16384" width="9.109375" style="241"/>
  </cols>
  <sheetData>
    <row r="1" spans="1:8">
      <c r="A1" s="221"/>
      <c r="B1" s="215" t="s">
        <v>584</v>
      </c>
      <c r="C1" s="249"/>
      <c r="D1" s="250"/>
      <c r="E1" s="250"/>
      <c r="F1" s="250"/>
      <c r="G1" s="225"/>
      <c r="H1" s="225"/>
    </row>
    <row r="2" spans="1:8">
      <c r="A2" s="247" t="s">
        <v>269</v>
      </c>
      <c r="B2" s="231" t="s">
        <v>27</v>
      </c>
      <c r="C2" s="247" t="s">
        <v>152</v>
      </c>
      <c r="D2" s="247"/>
      <c r="E2" s="247"/>
      <c r="F2" s="247"/>
      <c r="G2" s="225"/>
      <c r="H2" s="225"/>
    </row>
    <row r="3" spans="1:8">
      <c r="A3" s="247" t="s">
        <v>262</v>
      </c>
      <c r="B3" s="899" t="s">
        <v>318</v>
      </c>
      <c r="C3" s="899" t="s">
        <v>585</v>
      </c>
      <c r="D3" s="899" t="s">
        <v>586</v>
      </c>
      <c r="E3" s="899" t="s">
        <v>587</v>
      </c>
      <c r="F3" s="899" t="s">
        <v>588</v>
      </c>
      <c r="G3" s="243"/>
      <c r="H3" s="243"/>
    </row>
    <row r="4" spans="1:8" ht="26.4">
      <c r="A4" s="231"/>
      <c r="B4" s="908" t="s">
        <v>276</v>
      </c>
      <c r="C4" s="900" t="s">
        <v>492</v>
      </c>
      <c r="D4" s="900" t="s">
        <v>589</v>
      </c>
      <c r="E4" s="900" t="s">
        <v>557</v>
      </c>
      <c r="F4" s="900" t="s">
        <v>590</v>
      </c>
      <c r="G4" s="244"/>
    </row>
    <row r="5" spans="1:8" ht="39.6">
      <c r="A5" s="231"/>
      <c r="B5" s="908" t="s">
        <v>286</v>
      </c>
      <c r="C5" s="902" t="s">
        <v>561</v>
      </c>
      <c r="D5" s="902" t="s">
        <v>591</v>
      </c>
      <c r="E5" s="902" t="s">
        <v>592</v>
      </c>
      <c r="F5" s="902" t="s">
        <v>593</v>
      </c>
      <c r="G5" s="243"/>
      <c r="H5" s="243"/>
    </row>
    <row r="6" spans="1:8" ht="26.4">
      <c r="A6" s="231"/>
      <c r="B6" s="917">
        <v>1</v>
      </c>
      <c r="C6" s="895" t="s">
        <v>499</v>
      </c>
      <c r="D6" s="895" t="s">
        <v>871</v>
      </c>
      <c r="E6" s="895"/>
      <c r="F6" s="895" t="s">
        <v>544</v>
      </c>
      <c r="G6" s="245">
        <v>1</v>
      </c>
    </row>
    <row r="7" spans="1:8">
      <c r="A7" s="231"/>
      <c r="B7" s="917">
        <v>2</v>
      </c>
      <c r="C7" s="895"/>
      <c r="D7" s="895"/>
      <c r="E7" s="895"/>
      <c r="F7" s="895" t="s">
        <v>545</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9.6">
      <c r="A11" s="231"/>
      <c r="B11" s="917">
        <v>6</v>
      </c>
      <c r="C11" s="906"/>
      <c r="D11" s="895" t="s">
        <v>967</v>
      </c>
      <c r="E11" s="895"/>
      <c r="F11" s="895" t="s">
        <v>594</v>
      </c>
      <c r="G11" s="245">
        <v>6</v>
      </c>
      <c r="H11" s="243"/>
    </row>
    <row r="12" spans="1:8" ht="26.4">
      <c r="A12" s="231"/>
      <c r="B12" s="917">
        <v>7</v>
      </c>
      <c r="C12" s="895" t="s">
        <v>892</v>
      </c>
      <c r="D12" s="905"/>
      <c r="E12" s="905"/>
      <c r="F12" s="905"/>
      <c r="G12" s="245">
        <v>7</v>
      </c>
    </row>
    <row r="13" spans="1:8">
      <c r="A13" s="231"/>
      <c r="B13" s="917">
        <v>8</v>
      </c>
      <c r="C13" s="895"/>
      <c r="D13" s="895"/>
      <c r="E13" s="895" t="s">
        <v>562</v>
      </c>
      <c r="F13" s="895"/>
      <c r="G13" s="245">
        <v>8</v>
      </c>
      <c r="H13" s="243"/>
    </row>
    <row r="14" spans="1:8">
      <c r="A14" s="231"/>
      <c r="B14" s="917">
        <v>9</v>
      </c>
      <c r="C14" s="895"/>
      <c r="D14" s="895"/>
      <c r="E14" s="895"/>
      <c r="F14" s="895"/>
      <c r="G14" s="245">
        <v>9</v>
      </c>
    </row>
    <row r="15" spans="1:8" ht="26.4">
      <c r="A15" s="231"/>
      <c r="B15" s="917">
        <v>10</v>
      </c>
      <c r="C15" s="895" t="s">
        <v>595</v>
      </c>
      <c r="D15" s="895" t="s">
        <v>968</v>
      </c>
      <c r="E15" s="895" t="s">
        <v>563</v>
      </c>
      <c r="F15" s="895" t="s">
        <v>549</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343</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820</v>
      </c>
      <c r="C33" s="225"/>
      <c r="D33" s="225"/>
      <c r="E33" s="225"/>
      <c r="F33" s="225"/>
      <c r="G33" s="225"/>
      <c r="H33" s="225"/>
    </row>
    <row r="34" spans="2:8">
      <c r="B34" s="234" t="s">
        <v>152</v>
      </c>
      <c r="C34" s="225"/>
      <c r="D34" s="225"/>
      <c r="E34" s="225"/>
      <c r="F34" s="225"/>
      <c r="G34" s="225"/>
      <c r="H34" s="225"/>
    </row>
    <row r="35" spans="2:8">
      <c r="B35" s="234" t="s">
        <v>561</v>
      </c>
      <c r="C35" s="225"/>
      <c r="D35" s="225"/>
      <c r="E35" s="225"/>
      <c r="F35" s="225"/>
      <c r="G35" s="225"/>
      <c r="H35" s="225"/>
    </row>
    <row r="36" spans="2:8">
      <c r="B36" s="234" t="s">
        <v>591</v>
      </c>
      <c r="C36" s="225"/>
      <c r="D36" s="225"/>
      <c r="E36" s="225"/>
      <c r="F36" s="225"/>
      <c r="G36" s="225"/>
      <c r="H36" s="225"/>
    </row>
    <row r="37" spans="2:8">
      <c r="B37" s="234" t="s">
        <v>592</v>
      </c>
      <c r="C37" s="225"/>
      <c r="D37" s="225"/>
      <c r="E37" s="225"/>
      <c r="F37" s="225"/>
      <c r="G37" s="225"/>
      <c r="H37" s="225"/>
    </row>
    <row r="38" spans="2:8">
      <c r="B38" s="234" t="s">
        <v>593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09375" defaultRowHeight="13.2"/>
  <cols>
    <col min="1" max="1" width="9.109375" style="241"/>
    <col min="2" max="2" width="12.88671875" style="231" customWidth="1"/>
    <col min="3" max="3" width="78.5546875" style="247" bestFit="1" customWidth="1"/>
    <col min="4" max="7" width="32.44140625" style="247" customWidth="1"/>
    <col min="8" max="8" width="3.88671875" style="231" bestFit="1" customWidth="1"/>
    <col min="9" max="16384" width="9.109375" style="241"/>
  </cols>
  <sheetData>
    <row r="1" spans="1:8">
      <c r="A1" s="221"/>
      <c r="B1" s="215" t="s">
        <v>599</v>
      </c>
      <c r="C1" s="249"/>
      <c r="D1" s="250"/>
      <c r="E1" s="256" t="s">
        <v>317</v>
      </c>
      <c r="F1" s="250"/>
      <c r="H1" s="225"/>
    </row>
    <row r="2" spans="1:8">
      <c r="A2" s="221"/>
      <c r="B2" s="239"/>
      <c r="C2" s="239"/>
      <c r="D2" s="239"/>
      <c r="E2" s="239"/>
      <c r="F2" s="295" t="s">
        <v>317</v>
      </c>
      <c r="H2" s="225"/>
    </row>
    <row r="3" spans="1:8">
      <c r="A3" s="221"/>
      <c r="B3" s="899" t="s">
        <v>318</v>
      </c>
      <c r="C3" s="899" t="s">
        <v>616</v>
      </c>
      <c r="D3" s="899" t="s">
        <v>617</v>
      </c>
      <c r="E3" s="899" t="s">
        <v>618</v>
      </c>
      <c r="F3" s="899" t="s">
        <v>621</v>
      </c>
      <c r="G3" s="899" t="s">
        <v>620</v>
      </c>
      <c r="H3" s="243"/>
    </row>
    <row r="4" spans="1:8" ht="26.4">
      <c r="A4" s="221"/>
      <c r="B4" s="908" t="s">
        <v>276</v>
      </c>
      <c r="C4" s="900" t="s">
        <v>600</v>
      </c>
      <c r="D4" s="900" t="s">
        <v>601</v>
      </c>
      <c r="E4" s="900" t="s">
        <v>602</v>
      </c>
      <c r="F4" s="900" t="s">
        <v>603</v>
      </c>
      <c r="G4" s="253" t="s">
        <v>492</v>
      </c>
    </row>
    <row r="5" spans="1:8" ht="52.8">
      <c r="A5" s="221"/>
      <c r="B5" s="908" t="s">
        <v>286</v>
      </c>
      <c r="C5" s="902" t="s">
        <v>604</v>
      </c>
      <c r="D5" s="902" t="s">
        <v>605</v>
      </c>
      <c r="E5" s="902" t="s">
        <v>760</v>
      </c>
      <c r="F5" s="902" t="s">
        <v>873</v>
      </c>
      <c r="G5" s="905" t="s">
        <v>561</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499</v>
      </c>
      <c r="H8" s="254">
        <v>3</v>
      </c>
    </row>
    <row r="9" spans="1:8">
      <c r="A9" s="221"/>
      <c r="B9" s="918">
        <v>4</v>
      </c>
      <c r="C9" s="895"/>
      <c r="D9" s="895"/>
      <c r="E9" s="895"/>
      <c r="F9" s="895"/>
      <c r="G9" s="905"/>
      <c r="H9" s="254">
        <v>4</v>
      </c>
    </row>
    <row r="10" spans="1:8" ht="39.6">
      <c r="A10" s="221"/>
      <c r="B10" s="918">
        <v>5</v>
      </c>
      <c r="C10" s="895"/>
      <c r="D10" s="905"/>
      <c r="F10" s="905"/>
      <c r="G10" s="905" t="s">
        <v>908</v>
      </c>
      <c r="H10" s="254">
        <v>5</v>
      </c>
    </row>
    <row r="11" spans="1:8" ht="26.4">
      <c r="A11" s="221"/>
      <c r="B11" s="918">
        <v>6</v>
      </c>
      <c r="C11" s="906" t="s">
        <v>988</v>
      </c>
      <c r="D11" s="895"/>
      <c r="E11" s="895" t="s">
        <v>606</v>
      </c>
      <c r="F11" s="895"/>
      <c r="G11" s="905"/>
      <c r="H11" s="254">
        <v>6</v>
      </c>
    </row>
    <row r="12" spans="1:8" ht="39.6">
      <c r="A12" s="221"/>
      <c r="B12" s="918">
        <v>7</v>
      </c>
      <c r="C12" s="895"/>
      <c r="D12" s="905"/>
      <c r="F12" s="905" t="s">
        <v>609</v>
      </c>
      <c r="G12" s="905" t="s">
        <v>610</v>
      </c>
      <c r="H12" s="254">
        <v>7</v>
      </c>
    </row>
    <row r="13" spans="1:8" ht="39.6">
      <c r="A13" s="221"/>
      <c r="B13" s="918">
        <v>8</v>
      </c>
      <c r="C13" s="895" t="s">
        <v>989</v>
      </c>
      <c r="D13" s="895" t="s">
        <v>607</v>
      </c>
      <c r="E13" s="905" t="s">
        <v>761</v>
      </c>
      <c r="F13" s="895"/>
      <c r="G13" s="905"/>
      <c r="H13" s="254">
        <v>8</v>
      </c>
    </row>
    <row r="14" spans="1:8" ht="52.8">
      <c r="A14" s="221"/>
      <c r="B14" s="918">
        <v>9</v>
      </c>
      <c r="C14" s="895"/>
      <c r="D14" s="895"/>
      <c r="E14" s="905" t="s">
        <v>608</v>
      </c>
      <c r="F14" s="895" t="s">
        <v>611</v>
      </c>
      <c r="G14" s="905" t="s">
        <v>612</v>
      </c>
      <c r="H14" s="254">
        <v>9</v>
      </c>
    </row>
    <row r="15" spans="1:8" ht="39.6">
      <c r="A15" s="221"/>
      <c r="B15" s="918">
        <v>9</v>
      </c>
      <c r="C15" s="895"/>
      <c r="D15" s="895"/>
      <c r="E15" s="895"/>
      <c r="F15" s="895"/>
      <c r="G15" s="919" t="s">
        <v>718</v>
      </c>
      <c r="H15" s="254">
        <v>9</v>
      </c>
    </row>
    <row r="16" spans="1:8" ht="39.6">
      <c r="B16" s="255">
        <v>10</v>
      </c>
      <c r="C16" s="919" t="s">
        <v>990</v>
      </c>
      <c r="D16" s="905" t="s">
        <v>613</v>
      </c>
      <c r="E16" s="905" t="s">
        <v>614</v>
      </c>
      <c r="F16" s="905" t="s">
        <v>893</v>
      </c>
      <c r="G16" s="905" t="s">
        <v>615</v>
      </c>
      <c r="H16" s="255">
        <v>10</v>
      </c>
    </row>
    <row r="17" spans="2:14" ht="26.4">
      <c r="B17" s="255">
        <v>10</v>
      </c>
      <c r="C17" s="905" t="s">
        <v>874</v>
      </c>
      <c r="D17" s="907" t="s">
        <v>762</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343</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820</v>
      </c>
      <c r="H33" s="225"/>
    </row>
    <row r="34" spans="2:8">
      <c r="B34" s="234">
        <f>C2</f>
        <v>0</v>
      </c>
      <c r="H34" s="225"/>
    </row>
    <row r="35" spans="2:8">
      <c r="B35" s="234" t="s">
        <v>604</v>
      </c>
      <c r="H35" s="225"/>
    </row>
    <row r="36" spans="2:8">
      <c r="B36" s="234" t="s">
        <v>605</v>
      </c>
      <c r="H36" s="225"/>
    </row>
    <row r="37" spans="2:8">
      <c r="B37" s="234" t="s">
        <v>760</v>
      </c>
      <c r="H37" s="225"/>
    </row>
    <row r="38" spans="2:8">
      <c r="B38" s="234" t="s">
        <v>873</v>
      </c>
      <c r="H38" s="225"/>
    </row>
    <row r="39" spans="2:8">
      <c r="B39" s="234" t="s">
        <v>561</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A1:M1002"/>
  <sheetViews>
    <sheetView zoomScaleNormal="100" workbookViewId="0">
      <selection activeCell="E18" sqref="E18"/>
    </sheetView>
  </sheetViews>
  <sheetFormatPr defaultColWidth="9.109375" defaultRowHeight="13.2"/>
  <cols>
    <col min="1" max="1" width="9.109375" style="241"/>
    <col min="2" max="2" width="12.88671875" style="231" customWidth="1"/>
    <col min="3" max="6" width="32.44140625" style="247" customWidth="1"/>
    <col min="7" max="7" width="2.88671875" style="231" bestFit="1" customWidth="1"/>
    <col min="8" max="16384" width="9.109375" style="241"/>
  </cols>
  <sheetData>
    <row r="1" spans="1:7">
      <c r="A1" s="221"/>
      <c r="B1" s="215" t="s">
        <v>626</v>
      </c>
      <c r="C1" s="249"/>
      <c r="D1" s="250"/>
      <c r="E1" s="256" t="s">
        <v>317</v>
      </c>
      <c r="F1" s="250"/>
      <c r="G1" s="225"/>
    </row>
    <row r="2" spans="1:7">
      <c r="A2" s="221"/>
      <c r="B2" s="239" t="s">
        <v>27</v>
      </c>
      <c r="C2" s="234" t="s">
        <v>877</v>
      </c>
      <c r="D2" s="239"/>
      <c r="E2" s="239"/>
      <c r="F2" s="239"/>
      <c r="G2" s="225"/>
    </row>
    <row r="3" spans="1:7">
      <c r="A3" s="221"/>
      <c r="B3" s="899" t="s">
        <v>318</v>
      </c>
      <c r="C3" s="899" t="s">
        <v>627</v>
      </c>
      <c r="D3" s="899" t="s">
        <v>628</v>
      </c>
      <c r="E3" s="899" t="s">
        <v>629</v>
      </c>
      <c r="F3" s="899" t="s">
        <v>630</v>
      </c>
      <c r="G3" s="243"/>
    </row>
    <row r="4" spans="1:7" ht="26.4">
      <c r="A4" s="221"/>
      <c r="B4" s="908" t="s">
        <v>276</v>
      </c>
      <c r="C4" s="900" t="s">
        <v>631</v>
      </c>
      <c r="D4" s="900" t="s">
        <v>492</v>
      </c>
      <c r="E4" s="900" t="s">
        <v>632</v>
      </c>
      <c r="F4" s="900" t="s">
        <v>515</v>
      </c>
    </row>
    <row r="5" spans="1:7" ht="52.8">
      <c r="A5" s="221"/>
      <c r="B5" s="908" t="s">
        <v>286</v>
      </c>
      <c r="C5" s="902" t="s">
        <v>633</v>
      </c>
      <c r="D5" s="902" t="s">
        <v>625</v>
      </c>
      <c r="E5" s="902" t="s">
        <v>875</v>
      </c>
      <c r="F5" s="902" t="s">
        <v>517</v>
      </c>
      <c r="G5" s="243"/>
    </row>
    <row r="6" spans="1:7" ht="39.6">
      <c r="A6" s="221"/>
      <c r="B6" s="918">
        <v>1</v>
      </c>
      <c r="C6" s="895" t="s">
        <v>634</v>
      </c>
      <c r="D6" s="895" t="s">
        <v>499</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9.6">
      <c r="A10" s="221"/>
      <c r="B10" s="918">
        <v>5</v>
      </c>
      <c r="C10" s="895"/>
      <c r="D10" s="895" t="s">
        <v>635</v>
      </c>
      <c r="E10" s="905"/>
      <c r="F10" s="905"/>
      <c r="G10" s="254">
        <v>5</v>
      </c>
    </row>
    <row r="11" spans="1:7" ht="26.4">
      <c r="A11" s="221"/>
      <c r="B11" s="918">
        <v>5</v>
      </c>
      <c r="C11" s="906"/>
      <c r="D11" s="919" t="s">
        <v>636</v>
      </c>
      <c r="E11" s="905"/>
      <c r="F11" s="895"/>
      <c r="G11" s="254">
        <v>5</v>
      </c>
    </row>
    <row r="12" spans="1:7">
      <c r="A12" s="221"/>
      <c r="B12" s="918">
        <v>6</v>
      </c>
      <c r="C12" s="895"/>
      <c r="D12" s="905"/>
      <c r="E12" s="905"/>
      <c r="F12" s="905"/>
      <c r="G12" s="254">
        <v>6</v>
      </c>
    </row>
    <row r="13" spans="1:7" ht="39.6">
      <c r="A13" s="221"/>
      <c r="B13" s="918">
        <v>7</v>
      </c>
      <c r="C13" s="895"/>
      <c r="D13" s="895"/>
      <c r="E13" s="905" t="s">
        <v>637</v>
      </c>
      <c r="F13" s="895"/>
      <c r="G13" s="254">
        <v>7</v>
      </c>
    </row>
    <row r="14" spans="1:7">
      <c r="A14" s="221"/>
      <c r="B14" s="918">
        <v>8</v>
      </c>
      <c r="C14" s="895"/>
      <c r="D14" s="895"/>
      <c r="E14" s="895"/>
      <c r="F14" s="895"/>
      <c r="G14" s="254">
        <v>8</v>
      </c>
    </row>
    <row r="15" spans="1:7">
      <c r="A15" s="221"/>
      <c r="B15" s="918">
        <v>9</v>
      </c>
      <c r="C15" s="895"/>
      <c r="D15" s="895"/>
      <c r="E15" s="895"/>
      <c r="F15" s="895" t="s">
        <v>269</v>
      </c>
      <c r="G15" s="254">
        <v>9</v>
      </c>
    </row>
    <row r="16" spans="1:7" ht="39.6">
      <c r="B16" s="255">
        <v>10</v>
      </c>
      <c r="C16" s="905" t="s">
        <v>638</v>
      </c>
      <c r="D16" s="905" t="s">
        <v>639</v>
      </c>
      <c r="E16" s="905" t="s">
        <v>269</v>
      </c>
      <c r="F16" s="905" t="s">
        <v>262</v>
      </c>
      <c r="G16" s="255">
        <v>10</v>
      </c>
    </row>
    <row r="17" spans="2:13" ht="39.6">
      <c r="B17" s="255">
        <v>10</v>
      </c>
      <c r="C17" s="905"/>
      <c r="D17" s="919" t="s">
        <v>640</v>
      </c>
      <c r="E17" s="919" t="s">
        <v>641</v>
      </c>
      <c r="F17" s="905"/>
      <c r="G17" s="255">
        <v>10</v>
      </c>
    </row>
    <row r="19" spans="2:13">
      <c r="B19" s="222"/>
      <c r="G19" s="225"/>
    </row>
    <row r="20" spans="2:13">
      <c r="B20" s="222"/>
      <c r="G20" s="225"/>
    </row>
    <row r="21" spans="2:13">
      <c r="B21" s="222"/>
      <c r="G21" s="225"/>
    </row>
    <row r="22" spans="2:13">
      <c r="B22" s="222"/>
      <c r="G22" s="225"/>
    </row>
    <row r="23" spans="2:13">
      <c r="B23" s="233" t="s">
        <v>343</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820</v>
      </c>
      <c r="G33" s="225"/>
    </row>
    <row r="34" spans="2:7">
      <c r="B34" s="234" t="s">
        <v>877</v>
      </c>
      <c r="G34" s="225"/>
    </row>
    <row r="35" spans="2:7">
      <c r="B35" s="234" t="s">
        <v>633</v>
      </c>
      <c r="G35" s="225"/>
    </row>
    <row r="36" spans="2:7">
      <c r="B36" s="234" t="s">
        <v>625</v>
      </c>
      <c r="G36" s="225"/>
    </row>
    <row r="37" spans="2:7">
      <c r="B37" s="234" t="s">
        <v>875</v>
      </c>
      <c r="G37" s="225"/>
    </row>
    <row r="38" spans="2:7">
      <c r="B38" s="234" t="s">
        <v>517</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A1:M1002"/>
  <sheetViews>
    <sheetView topLeftCell="A38" zoomScale="115" zoomScaleNormal="115" workbookViewId="0">
      <selection activeCell="B38" sqref="B38"/>
    </sheetView>
  </sheetViews>
  <sheetFormatPr defaultColWidth="9.109375" defaultRowHeight="13.2"/>
  <cols>
    <col min="1" max="1" width="9.109375" style="241"/>
    <col min="2" max="2" width="12.88671875" style="231" customWidth="1"/>
    <col min="3" max="3" width="31.44140625" style="247" customWidth="1"/>
    <col min="4" max="5" width="77.88671875" style="247" customWidth="1"/>
    <col min="6" max="6" width="28.109375" style="247" customWidth="1"/>
    <col min="7" max="7" width="2.88671875" style="231" bestFit="1" customWidth="1"/>
    <col min="8" max="16384" width="9.109375" style="241"/>
  </cols>
  <sheetData>
    <row r="1" spans="1:7">
      <c r="A1" s="221"/>
      <c r="B1" s="215" t="s">
        <v>650</v>
      </c>
      <c r="C1" s="249"/>
      <c r="D1" s="256" t="s">
        <v>317</v>
      </c>
      <c r="E1" s="250"/>
      <c r="F1" s="258" t="s">
        <v>295</v>
      </c>
      <c r="G1" s="225"/>
    </row>
    <row r="2" spans="1:7">
      <c r="A2" s="221"/>
      <c r="B2" s="239"/>
      <c r="C2" s="239"/>
      <c r="D2" s="239"/>
      <c r="E2" s="239"/>
      <c r="F2" s="239"/>
      <c r="G2" s="225"/>
    </row>
    <row r="3" spans="1:7">
      <c r="A3" s="221"/>
      <c r="B3" s="591" t="s">
        <v>318</v>
      </c>
      <c r="C3" s="591" t="s">
        <v>646</v>
      </c>
      <c r="D3" s="591" t="s">
        <v>647</v>
      </c>
      <c r="E3" s="591" t="s">
        <v>648</v>
      </c>
      <c r="F3" s="591" t="s">
        <v>649</v>
      </c>
      <c r="G3" s="243"/>
    </row>
    <row r="4" spans="1:7" ht="26.4">
      <c r="A4" s="221"/>
      <c r="B4" s="589" t="s">
        <v>276</v>
      </c>
      <c r="C4" s="590" t="s">
        <v>492</v>
      </c>
      <c r="D4" s="590" t="s">
        <v>1107</v>
      </c>
      <c r="E4" s="590" t="s">
        <v>1108</v>
      </c>
      <c r="F4" s="590" t="s">
        <v>515</v>
      </c>
    </row>
    <row r="5" spans="1:7" ht="211.2">
      <c r="A5" s="221"/>
      <c r="B5" s="589" t="s">
        <v>286</v>
      </c>
      <c r="C5" s="248" t="s">
        <v>625</v>
      </c>
      <c r="D5" s="248" t="s">
        <v>1238</v>
      </c>
      <c r="E5" s="248" t="s">
        <v>1239</v>
      </c>
      <c r="F5" s="248" t="s">
        <v>517</v>
      </c>
      <c r="G5" s="243"/>
    </row>
    <row r="6" spans="1:7">
      <c r="A6" s="221"/>
      <c r="B6" s="600">
        <v>1</v>
      </c>
      <c r="C6" s="235" t="s">
        <v>499</v>
      </c>
      <c r="D6" s="235"/>
      <c r="E6" s="235"/>
      <c r="F6" s="235"/>
      <c r="G6" s="254">
        <v>1</v>
      </c>
    </row>
    <row r="7" spans="1:7">
      <c r="A7" s="221"/>
      <c r="B7" s="600">
        <v>2</v>
      </c>
      <c r="C7" s="235"/>
      <c r="D7" s="235"/>
      <c r="E7" s="235"/>
      <c r="F7" s="235"/>
      <c r="G7" s="254">
        <v>2</v>
      </c>
    </row>
    <row r="8" spans="1:7">
      <c r="A8" s="221"/>
      <c r="B8" s="600">
        <v>3</v>
      </c>
      <c r="C8" s="246"/>
      <c r="D8" s="235" t="s">
        <v>1105</v>
      </c>
      <c r="E8" s="235"/>
      <c r="F8" s="235"/>
      <c r="G8" s="254">
        <v>3</v>
      </c>
    </row>
    <row r="9" spans="1:7" ht="26.4">
      <c r="A9" s="221"/>
      <c r="B9" s="600">
        <v>4</v>
      </c>
      <c r="C9" s="235" t="s">
        <v>651</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1102</v>
      </c>
      <c r="F13" s="235"/>
      <c r="G13" s="254">
        <v>8</v>
      </c>
    </row>
    <row r="14" spans="1:7" ht="26.4">
      <c r="A14" s="221"/>
      <c r="B14" s="600">
        <v>9</v>
      </c>
      <c r="C14" s="235"/>
      <c r="D14" s="235"/>
      <c r="E14" s="235" t="s">
        <v>1104</v>
      </c>
      <c r="F14" s="235" t="s">
        <v>269</v>
      </c>
      <c r="G14" s="254">
        <v>9</v>
      </c>
    </row>
    <row r="15" spans="1:7" ht="52.8">
      <c r="A15" s="221"/>
      <c r="B15" s="600">
        <v>10</v>
      </c>
      <c r="C15" s="235" t="s">
        <v>878</v>
      </c>
      <c r="D15" s="235" t="s">
        <v>1106</v>
      </c>
      <c r="E15" s="235" t="s">
        <v>1103</v>
      </c>
      <c r="F15" s="235" t="s">
        <v>262</v>
      </c>
      <c r="G15" s="254">
        <v>10</v>
      </c>
    </row>
    <row r="16" spans="1:7" ht="39.6">
      <c r="B16" s="601">
        <v>10</v>
      </c>
      <c r="C16" s="257" t="s">
        <v>879</v>
      </c>
      <c r="D16" s="238"/>
      <c r="E16" s="238"/>
      <c r="F16" s="238"/>
      <c r="G16" s="255">
        <v>10</v>
      </c>
    </row>
    <row r="17" spans="2:13" ht="39.6">
      <c r="B17" s="601">
        <v>10</v>
      </c>
      <c r="C17" s="257" t="s">
        <v>652</v>
      </c>
      <c r="D17" s="238"/>
      <c r="E17" s="238"/>
      <c r="F17" s="238"/>
      <c r="G17" s="255">
        <v>10</v>
      </c>
    </row>
    <row r="18" spans="2:13" ht="39.6">
      <c r="B18" s="602" t="str">
        <f>'Interactive Data Grading'!D446</f>
        <v/>
      </c>
      <c r="C18" s="603" t="s">
        <v>658</v>
      </c>
      <c r="D18" s="602" t="s">
        <v>653</v>
      </c>
      <c r="E18" s="240"/>
      <c r="F18" s="240"/>
      <c r="G18" s="260" t="str">
        <f>'Interactive Data Grading'!D446</f>
        <v/>
      </c>
    </row>
    <row r="19" spans="2:13" ht="26.4">
      <c r="E19" s="259" t="s">
        <v>654</v>
      </c>
      <c r="F19" s="259"/>
    </row>
    <row r="20" spans="2:13">
      <c r="B20" s="222"/>
      <c r="G20" s="225"/>
    </row>
    <row r="21" spans="2:13">
      <c r="B21" s="222"/>
      <c r="G21" s="225"/>
    </row>
    <row r="22" spans="2:13">
      <c r="B22" s="222"/>
      <c r="G22" s="225"/>
    </row>
    <row r="23" spans="2:13">
      <c r="B23" s="233" t="s">
        <v>343</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820</v>
      </c>
      <c r="G33" s="225"/>
    </row>
    <row r="34" spans="2:7">
      <c r="B34" s="234"/>
      <c r="G34" s="225"/>
    </row>
    <row r="35" spans="2:7">
      <c r="B35" s="234" t="s">
        <v>625</v>
      </c>
      <c r="G35" s="225"/>
    </row>
    <row r="36" spans="2:7" ht="409.6">
      <c r="B36" s="878" t="s">
        <v>1240</v>
      </c>
      <c r="G36" s="225"/>
    </row>
    <row r="37" spans="2:7" ht="409.6">
      <c r="B37" s="878" t="s">
        <v>1241</v>
      </c>
      <c r="G37" s="225"/>
    </row>
    <row r="38" spans="2:7">
      <c r="B38" s="234" t="s">
        <v>517</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647</v>
      </c>
      <c r="E56" s="946" t="s">
        <v>648</v>
      </c>
      <c r="G56" s="225"/>
    </row>
    <row r="57" spans="2:7">
      <c r="B57" s="222"/>
      <c r="D57" s="900" t="s">
        <v>1107</v>
      </c>
      <c r="E57" s="900" t="s">
        <v>1108</v>
      </c>
      <c r="G57" s="225"/>
    </row>
    <row r="58" spans="2:7" ht="198">
      <c r="B58" s="222"/>
      <c r="D58" s="902" t="s">
        <v>1110</v>
      </c>
      <c r="E58" s="902" t="s">
        <v>1109</v>
      </c>
      <c r="G58" s="225"/>
    </row>
    <row r="59" spans="2:7" ht="26.4">
      <c r="B59" s="222"/>
      <c r="D59" s="947" t="s">
        <v>1105</v>
      </c>
      <c r="E59" s="948" t="s">
        <v>1102</v>
      </c>
      <c r="G59" s="225"/>
    </row>
    <row r="60" spans="2:7" ht="26.4">
      <c r="B60" s="222"/>
      <c r="D60" s="947" t="s">
        <v>1106</v>
      </c>
      <c r="E60" s="947" t="s">
        <v>1104</v>
      </c>
      <c r="G60" s="225"/>
    </row>
    <row r="61" spans="2:7" ht="34.35" customHeight="1">
      <c r="B61" s="222"/>
      <c r="D61" s="592"/>
      <c r="E61" s="949" t="s">
        <v>1103</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09375" defaultRowHeight="13.2"/>
  <cols>
    <col min="1" max="1" width="9.109375" style="213"/>
    <col min="2" max="2" width="11.88671875" style="213" customWidth="1"/>
    <col min="3" max="6" width="40.44140625" style="213" customWidth="1"/>
    <col min="7" max="9" width="22.88671875" style="213" customWidth="1"/>
    <col min="10" max="16384" width="9.109375" style="213"/>
  </cols>
  <sheetData>
    <row r="1" spans="2:7" ht="26.4">
      <c r="B1" s="215" t="s">
        <v>329</v>
      </c>
      <c r="F1" s="216" t="s">
        <v>317</v>
      </c>
    </row>
    <row r="2" spans="2:7">
      <c r="B2" s="265" t="s">
        <v>27</v>
      </c>
      <c r="C2" s="265" t="s">
        <v>275</v>
      </c>
      <c r="D2" s="265"/>
      <c r="E2" s="265"/>
      <c r="F2" s="265"/>
    </row>
    <row r="3" spans="2:7">
      <c r="B3" s="265" t="s">
        <v>318</v>
      </c>
      <c r="C3" s="885" t="s">
        <v>339</v>
      </c>
      <c r="D3" s="885" t="s">
        <v>340</v>
      </c>
      <c r="E3" s="885" t="s">
        <v>341</v>
      </c>
      <c r="F3" s="885" t="s">
        <v>342</v>
      </c>
    </row>
    <row r="4" spans="2:7" ht="26.4">
      <c r="B4" s="265" t="s">
        <v>276</v>
      </c>
      <c r="C4" s="265" t="s">
        <v>330</v>
      </c>
      <c r="D4" s="265" t="s">
        <v>331</v>
      </c>
      <c r="E4" s="265" t="s">
        <v>332</v>
      </c>
      <c r="F4" s="265" t="s">
        <v>333</v>
      </c>
    </row>
    <row r="5" spans="2:7" ht="52.8">
      <c r="B5" s="265" t="s">
        <v>286</v>
      </c>
      <c r="C5" s="265" t="s">
        <v>334</v>
      </c>
      <c r="D5" s="265" t="s">
        <v>335</v>
      </c>
      <c r="E5" s="265" t="s">
        <v>1190</v>
      </c>
      <c r="F5" s="885" t="s">
        <v>1189</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269</v>
      </c>
      <c r="D9" s="265"/>
      <c r="E9" s="265"/>
      <c r="F9" s="885" t="s">
        <v>1185</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269</v>
      </c>
      <c r="E13" s="265"/>
      <c r="F13" s="265"/>
      <c r="G13" s="218">
        <v>8</v>
      </c>
    </row>
    <row r="14" spans="2:7">
      <c r="B14" s="265">
        <v>8</v>
      </c>
      <c r="C14" s="265"/>
      <c r="D14" s="886" t="s">
        <v>336</v>
      </c>
      <c r="E14" s="265"/>
      <c r="F14" s="265"/>
      <c r="G14" s="218">
        <v>8</v>
      </c>
    </row>
    <row r="15" spans="2:7">
      <c r="B15" s="265">
        <v>9</v>
      </c>
      <c r="C15" s="265"/>
      <c r="D15" s="265"/>
      <c r="E15" s="265" t="s">
        <v>269</v>
      </c>
      <c r="F15" s="265"/>
      <c r="G15" s="218">
        <v>9</v>
      </c>
    </row>
    <row r="16" spans="2:7">
      <c r="B16" s="265">
        <v>10</v>
      </c>
      <c r="C16" s="265" t="s">
        <v>262</v>
      </c>
      <c r="D16" s="265" t="s">
        <v>262</v>
      </c>
      <c r="E16" s="265" t="s">
        <v>262</v>
      </c>
      <c r="F16" s="885" t="s">
        <v>337</v>
      </c>
      <c r="G16" s="218">
        <v>10</v>
      </c>
    </row>
    <row r="17" spans="2:7" ht="26.4">
      <c r="B17" s="265">
        <v>10</v>
      </c>
      <c r="C17" s="886" t="s">
        <v>821</v>
      </c>
      <c r="D17" s="886" t="s">
        <v>821</v>
      </c>
      <c r="E17" s="886" t="s">
        <v>821</v>
      </c>
      <c r="F17" s="886" t="s">
        <v>338</v>
      </c>
      <c r="G17" s="218">
        <v>10</v>
      </c>
    </row>
    <row r="18" spans="2:7" ht="26.4">
      <c r="B18" s="265">
        <v>10</v>
      </c>
      <c r="C18" s="886"/>
      <c r="D18" s="886"/>
      <c r="E18" s="886"/>
      <c r="F18" s="886" t="s">
        <v>882</v>
      </c>
      <c r="G18" s="218">
        <v>10</v>
      </c>
    </row>
    <row r="23" spans="2:7">
      <c r="B23" s="204" t="s">
        <v>345</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822</v>
      </c>
    </row>
    <row r="34" spans="2:2">
      <c r="B34" s="217" t="s">
        <v>982</v>
      </c>
    </row>
    <row r="35" spans="2:2">
      <c r="B35" s="217" t="s">
        <v>335</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2" sqref="AB22:AL22"/>
    </sheetView>
  </sheetViews>
  <sheetFormatPr defaultColWidth="0" defaultRowHeight="13.2"/>
  <cols>
    <col min="1" max="1" width="1.5546875" style="111" customWidth="1"/>
    <col min="2" max="53" width="3.44140625" style="111" customWidth="1"/>
    <col min="54" max="54" width="4.109375" style="111" customWidth="1"/>
    <col min="55" max="55" width="1.44140625" style="111" customWidth="1"/>
    <col min="56" max="56" width="9.109375" style="111" customWidth="1"/>
    <col min="57" max="57" width="10" style="111" customWidth="1"/>
    <col min="58" max="62" width="8.88671875" style="111" customWidth="1"/>
    <col min="63" max="63" width="11.44140625" style="111" bestFit="1" customWidth="1"/>
    <col min="64" max="292" width="8.88671875" style="111" customWidth="1"/>
    <col min="293" max="16384" width="3.109375" style="111" hidden="1"/>
  </cols>
  <sheetData>
    <row r="1" spans="1:55" s="54" customFormat="1" ht="8.25" customHeight="1" thickBot="1">
      <c r="A1" s="758" t="s">
        <v>1272</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28" t="s">
        <v>1193</v>
      </c>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30"/>
      <c r="AJ2" s="1130"/>
      <c r="AK2" s="1130"/>
      <c r="AL2" s="1130"/>
      <c r="AM2" s="1130"/>
      <c r="AN2" s="1130"/>
      <c r="AO2" s="1130"/>
      <c r="AP2" s="1130"/>
      <c r="AQ2" s="1130"/>
      <c r="AR2" s="1130"/>
      <c r="AS2" s="1130"/>
      <c r="AT2" s="1130"/>
      <c r="AU2" s="1130"/>
      <c r="AV2" s="1130"/>
      <c r="AW2" s="1130"/>
      <c r="AX2" s="1130"/>
      <c r="AY2" s="1130"/>
      <c r="AZ2" s="1130"/>
      <c r="BA2" s="1130"/>
      <c r="BB2" s="1131"/>
      <c r="BC2" s="114"/>
    </row>
    <row r="3" spans="1:55" s="54" customFormat="1" ht="12.9" customHeight="1">
      <c r="A3" s="113"/>
      <c r="B3" s="1142" t="s">
        <v>1244</v>
      </c>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3"/>
      <c r="AE3" s="1143"/>
      <c r="AF3" s="1143"/>
      <c r="AG3" s="1143"/>
      <c r="AH3" s="1143"/>
      <c r="AI3" s="1143"/>
      <c r="AJ3" s="1143"/>
      <c r="AK3" s="1143"/>
      <c r="AL3" s="1143"/>
      <c r="AM3" s="1143"/>
      <c r="AN3" s="1143"/>
      <c r="AO3" s="1143"/>
      <c r="AP3" s="1143"/>
      <c r="AQ3" s="1143"/>
      <c r="AR3" s="1143"/>
      <c r="AS3" s="1143"/>
      <c r="AT3" s="1143"/>
      <c r="AU3" s="1143"/>
      <c r="AV3" s="1143"/>
      <c r="AW3" s="1143"/>
      <c r="AX3" s="1143"/>
      <c r="AY3" s="1143"/>
      <c r="AZ3" s="1143"/>
      <c r="BA3" s="1143"/>
      <c r="BB3" s="1144"/>
      <c r="BC3" s="113"/>
    </row>
    <row r="4" spans="1:55" s="54" customFormat="1" ht="12.9" customHeight="1">
      <c r="A4" s="113"/>
      <c r="B4" s="1142"/>
      <c r="C4" s="1143"/>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c r="AC4" s="1143"/>
      <c r="AD4" s="1143"/>
      <c r="AE4" s="1143"/>
      <c r="AF4" s="1143"/>
      <c r="AG4" s="1143"/>
      <c r="AH4" s="1143"/>
      <c r="AI4" s="1143"/>
      <c r="AJ4" s="1143"/>
      <c r="AK4" s="1143"/>
      <c r="AL4" s="1143"/>
      <c r="AM4" s="1143"/>
      <c r="AN4" s="1143"/>
      <c r="AO4" s="1143"/>
      <c r="AP4" s="1143"/>
      <c r="AQ4" s="1143"/>
      <c r="AR4" s="1143"/>
      <c r="AS4" s="1143"/>
      <c r="AT4" s="1143"/>
      <c r="AU4" s="1143"/>
      <c r="AV4" s="1143"/>
      <c r="AW4" s="1143"/>
      <c r="AX4" s="1143"/>
      <c r="AY4" s="1143"/>
      <c r="AZ4" s="1143"/>
      <c r="BA4" s="1143"/>
      <c r="BB4" s="1144"/>
      <c r="BC4" s="113"/>
    </row>
    <row r="5" spans="1:55" s="54" customFormat="1" ht="12.9" customHeight="1">
      <c r="A5" s="113"/>
      <c r="B5" s="1142"/>
      <c r="C5" s="1143"/>
      <c r="D5" s="1143"/>
      <c r="E5" s="1143"/>
      <c r="F5" s="1143"/>
      <c r="G5" s="1143"/>
      <c r="H5" s="1143"/>
      <c r="I5" s="1143"/>
      <c r="J5" s="1143"/>
      <c r="K5" s="1143"/>
      <c r="L5" s="1143"/>
      <c r="M5" s="1143"/>
      <c r="N5" s="1143"/>
      <c r="O5" s="1143"/>
      <c r="P5" s="1143"/>
      <c r="Q5" s="1143"/>
      <c r="R5" s="1143"/>
      <c r="S5" s="1143"/>
      <c r="T5" s="1143"/>
      <c r="U5" s="1143"/>
      <c r="V5" s="1143"/>
      <c r="W5" s="1143"/>
      <c r="X5" s="1143"/>
      <c r="Y5" s="1143"/>
      <c r="Z5" s="1143"/>
      <c r="AA5" s="1143"/>
      <c r="AB5" s="1143"/>
      <c r="AC5" s="1143"/>
      <c r="AD5" s="1143"/>
      <c r="AE5" s="1143"/>
      <c r="AF5" s="1143"/>
      <c r="AG5" s="1143"/>
      <c r="AH5" s="1143"/>
      <c r="AI5" s="1143"/>
      <c r="AJ5" s="1143"/>
      <c r="AK5" s="1143"/>
      <c r="AL5" s="1143"/>
      <c r="AM5" s="1143"/>
      <c r="AN5" s="1143"/>
      <c r="AO5" s="1143"/>
      <c r="AP5" s="1143"/>
      <c r="AQ5" s="1143"/>
      <c r="AR5" s="1143"/>
      <c r="AS5" s="1143"/>
      <c r="AT5" s="1143"/>
      <c r="AU5" s="1143"/>
      <c r="AV5" s="1143"/>
      <c r="AW5" s="1143"/>
      <c r="AX5" s="1143"/>
      <c r="AY5" s="1143"/>
      <c r="AZ5" s="1143"/>
      <c r="BA5" s="1143"/>
      <c r="BB5" s="1144"/>
      <c r="BC5" s="113"/>
    </row>
    <row r="6" spans="1:55" s="54" customFormat="1" ht="12.9" customHeight="1">
      <c r="A6" s="113"/>
      <c r="B6" s="1142"/>
      <c r="C6" s="1143"/>
      <c r="D6" s="1143"/>
      <c r="E6" s="1143"/>
      <c r="F6" s="1143"/>
      <c r="G6" s="1143"/>
      <c r="H6" s="1143"/>
      <c r="I6" s="1143"/>
      <c r="J6" s="1143"/>
      <c r="K6" s="1143"/>
      <c r="L6" s="1143"/>
      <c r="M6" s="1143"/>
      <c r="N6" s="1143"/>
      <c r="O6" s="1143"/>
      <c r="P6" s="1143"/>
      <c r="Q6" s="1143"/>
      <c r="R6" s="1143"/>
      <c r="S6" s="1143"/>
      <c r="T6" s="1143"/>
      <c r="U6" s="1143"/>
      <c r="V6" s="1143"/>
      <c r="W6" s="1143"/>
      <c r="X6" s="1143"/>
      <c r="Y6" s="1143"/>
      <c r="Z6" s="1143"/>
      <c r="AA6" s="1143"/>
      <c r="AB6" s="1143"/>
      <c r="AC6" s="1143"/>
      <c r="AD6" s="1143"/>
      <c r="AE6" s="1143"/>
      <c r="AF6" s="1143"/>
      <c r="AG6" s="1143"/>
      <c r="AH6" s="1143"/>
      <c r="AI6" s="1143"/>
      <c r="AJ6" s="1143"/>
      <c r="AK6" s="1143"/>
      <c r="AL6" s="1143"/>
      <c r="AM6" s="1143"/>
      <c r="AN6" s="1143"/>
      <c r="AO6" s="1143"/>
      <c r="AP6" s="1143"/>
      <c r="AQ6" s="1143"/>
      <c r="AR6" s="1143"/>
      <c r="AS6" s="1143"/>
      <c r="AT6" s="1143"/>
      <c r="AU6" s="1143"/>
      <c r="AV6" s="1143"/>
      <c r="AW6" s="1143"/>
      <c r="AX6" s="1143"/>
      <c r="AY6" s="1143"/>
      <c r="AZ6" s="1143"/>
      <c r="BA6" s="1143"/>
      <c r="BB6" s="1144"/>
      <c r="BC6" s="113"/>
    </row>
    <row r="7" spans="1:55" s="54" customFormat="1" ht="12.9" customHeight="1">
      <c r="A7" s="113"/>
      <c r="B7" s="733"/>
      <c r="C7" s="1139" t="s">
        <v>1215</v>
      </c>
      <c r="D7" s="1139"/>
      <c r="E7" s="1139"/>
      <c r="F7" s="1139"/>
      <c r="G7" s="1139"/>
      <c r="H7" s="1139"/>
      <c r="I7" s="1139"/>
      <c r="J7" s="1139"/>
      <c r="K7" s="1139"/>
      <c r="L7" s="1139"/>
      <c r="M7" s="1139"/>
      <c r="N7" s="1139"/>
      <c r="O7" s="1139"/>
      <c r="P7" s="1139"/>
      <c r="Q7" s="1139"/>
      <c r="R7" s="1139"/>
      <c r="S7" s="1139"/>
      <c r="T7" s="1139"/>
      <c r="U7" s="1132" t="s">
        <v>1017</v>
      </c>
      <c r="V7" s="1132"/>
      <c r="W7" s="1132"/>
      <c r="X7" s="1132"/>
      <c r="Y7" s="1132"/>
      <c r="Z7" s="1132"/>
      <c r="AA7" s="1132"/>
      <c r="AB7" s="1132"/>
      <c r="AC7" s="1132"/>
      <c r="AD7" s="1132"/>
      <c r="AE7" s="1132"/>
      <c r="AF7" s="1132"/>
      <c r="AG7" s="1132"/>
      <c r="AH7" s="1132"/>
      <c r="AI7" s="1132"/>
      <c r="AJ7" s="1132"/>
      <c r="AK7" s="1132"/>
      <c r="AL7" s="1132"/>
      <c r="AM7" s="1132"/>
      <c r="AN7" s="277"/>
      <c r="AO7" s="1132" t="s">
        <v>931</v>
      </c>
      <c r="AP7" s="1132"/>
      <c r="AQ7" s="1132"/>
      <c r="AR7" s="1132"/>
      <c r="AS7" s="1132"/>
      <c r="AT7" s="1132"/>
      <c r="AU7" s="1132"/>
      <c r="AV7" s="1132"/>
      <c r="AW7" s="1140" t="s">
        <v>1016</v>
      </c>
      <c r="AX7" s="1140"/>
      <c r="AY7" s="1140"/>
      <c r="AZ7" s="1140"/>
      <c r="BA7" s="1140"/>
      <c r="BB7" s="1141"/>
      <c r="BC7" s="113"/>
    </row>
    <row r="8" spans="1:55" s="54" customFormat="1" ht="17.100000000000001" customHeight="1">
      <c r="A8" s="113"/>
      <c r="B8" s="733"/>
      <c r="C8" s="1139"/>
      <c r="D8" s="1139"/>
      <c r="E8" s="1139"/>
      <c r="F8" s="1139"/>
      <c r="G8" s="1139"/>
      <c r="H8" s="1139"/>
      <c r="I8" s="1139"/>
      <c r="J8" s="1139"/>
      <c r="K8" s="1139"/>
      <c r="L8" s="1139"/>
      <c r="M8" s="1139"/>
      <c r="N8" s="1139"/>
      <c r="O8" s="1139"/>
      <c r="P8" s="1139"/>
      <c r="Q8" s="1139"/>
      <c r="R8" s="1139"/>
      <c r="S8" s="1139"/>
      <c r="T8" s="1139"/>
      <c r="U8" s="1132"/>
      <c r="V8" s="1132"/>
      <c r="W8" s="1132"/>
      <c r="X8" s="1132"/>
      <c r="Y8" s="1132"/>
      <c r="Z8" s="1132"/>
      <c r="AA8" s="1132"/>
      <c r="AB8" s="1132"/>
      <c r="AC8" s="1132"/>
      <c r="AD8" s="1132"/>
      <c r="AE8" s="1132"/>
      <c r="AF8" s="1132"/>
      <c r="AG8" s="1132"/>
      <c r="AH8" s="1132"/>
      <c r="AI8" s="1132"/>
      <c r="AJ8" s="1132"/>
      <c r="AK8" s="1132"/>
      <c r="AL8" s="1132"/>
      <c r="AM8" s="1132"/>
      <c r="AN8" s="277"/>
      <c r="AO8" s="1132"/>
      <c r="AP8" s="1132"/>
      <c r="AQ8" s="1132"/>
      <c r="AR8" s="1132"/>
      <c r="AS8" s="1132"/>
      <c r="AT8" s="1132"/>
      <c r="AU8" s="1132"/>
      <c r="AV8" s="1132"/>
      <c r="AW8" s="1140"/>
      <c r="AX8" s="1140"/>
      <c r="AY8" s="1140"/>
      <c r="AZ8" s="1140"/>
      <c r="BA8" s="1140"/>
      <c r="BB8" s="1141"/>
      <c r="BC8" s="113"/>
    </row>
    <row r="9" spans="1:55" s="54" customFormat="1" ht="12.9" customHeight="1">
      <c r="A9" s="113"/>
      <c r="B9" s="1145" t="s">
        <v>938</v>
      </c>
      <c r="C9" s="1146"/>
      <c r="D9" s="1146"/>
      <c r="E9" s="1146"/>
      <c r="F9" s="1146"/>
      <c r="G9" s="1127" t="s">
        <v>939</v>
      </c>
      <c r="H9" s="1127"/>
      <c r="I9" s="1127"/>
      <c r="J9" s="1127"/>
      <c r="K9" s="1127"/>
      <c r="L9" s="1127"/>
      <c r="M9" s="1127"/>
      <c r="N9" s="1127"/>
      <c r="O9" s="1127"/>
      <c r="P9" s="1127"/>
      <c r="Q9" s="1127"/>
      <c r="R9" s="1127"/>
      <c r="S9" s="1127"/>
      <c r="T9" s="1127"/>
      <c r="U9" s="691"/>
      <c r="V9" s="691"/>
      <c r="W9" s="691"/>
      <c r="X9" s="691"/>
      <c r="Y9" s="691"/>
      <c r="Z9" s="691"/>
      <c r="AA9" s="692" t="s">
        <v>773</v>
      </c>
      <c r="AB9" s="1133"/>
      <c r="AC9" s="1134"/>
      <c r="AD9" s="1134"/>
      <c r="AE9" s="1134"/>
      <c r="AF9" s="1134"/>
      <c r="AG9" s="1134"/>
      <c r="AH9" s="1134"/>
      <c r="AI9" s="1134"/>
      <c r="AJ9" s="1134"/>
      <c r="AK9" s="1134"/>
      <c r="AL9" s="1135"/>
      <c r="AM9" s="277"/>
      <c r="AN9" s="277"/>
      <c r="AO9"/>
      <c r="AP9" s="693" t="s">
        <v>909</v>
      </c>
      <c r="AQ9" s="694" t="s">
        <v>274</v>
      </c>
      <c r="AR9" s="695"/>
      <c r="AS9" s="277"/>
      <c r="AT9" s="277"/>
      <c r="AU9" s="277"/>
      <c r="AV9"/>
      <c r="AW9"/>
      <c r="AX9"/>
      <c r="AY9"/>
      <c r="AZ9"/>
      <c r="BA9"/>
      <c r="BB9" s="690"/>
      <c r="BC9" s="113"/>
    </row>
    <row r="10" spans="1:55" s="54" customFormat="1" ht="12.9" customHeight="1">
      <c r="A10" s="113"/>
      <c r="B10" s="1145"/>
      <c r="C10" s="1146"/>
      <c r="D10" s="1146"/>
      <c r="E10" s="1146"/>
      <c r="F10" s="1146"/>
      <c r="G10" s="1127"/>
      <c r="H10" s="1127"/>
      <c r="I10" s="1127"/>
      <c r="J10" s="1127"/>
      <c r="K10" s="1127"/>
      <c r="L10" s="1127"/>
      <c r="M10" s="1127"/>
      <c r="N10" s="1127"/>
      <c r="O10" s="1127"/>
      <c r="P10" s="1127"/>
      <c r="Q10" s="1127"/>
      <c r="R10" s="1127"/>
      <c r="S10" s="1127"/>
      <c r="T10" s="1127"/>
      <c r="U10" s="691"/>
      <c r="V10" s="691"/>
      <c r="W10" s="691"/>
      <c r="X10" s="691"/>
      <c r="Y10" s="691"/>
      <c r="Z10" s="691"/>
      <c r="AA10" s="692" t="s">
        <v>145</v>
      </c>
      <c r="AB10" s="1133"/>
      <c r="AC10" s="1134"/>
      <c r="AD10" s="1134"/>
      <c r="AE10" s="1134"/>
      <c r="AF10" s="1134"/>
      <c r="AG10" s="1134"/>
      <c r="AH10" s="1134"/>
      <c r="AI10" s="1134"/>
      <c r="AJ10" s="1134"/>
      <c r="AK10" s="1134"/>
      <c r="AL10" s="1135"/>
      <c r="AM10" s="277"/>
      <c r="AN10" s="277"/>
      <c r="AO10"/>
      <c r="AP10" s="693" t="s">
        <v>923</v>
      </c>
      <c r="AQ10" s="694" t="s">
        <v>933</v>
      </c>
      <c r="AR10" s="277"/>
      <c r="AS10" s="277"/>
      <c r="AT10" s="277"/>
      <c r="AU10" s="277"/>
      <c r="AV10"/>
      <c r="AW10"/>
      <c r="AX10"/>
      <c r="AY10"/>
      <c r="AZ10"/>
      <c r="BA10"/>
      <c r="BB10" s="690"/>
      <c r="BC10" s="113"/>
    </row>
    <row r="11" spans="1:55" s="54" customFormat="1" ht="12.9" customHeight="1">
      <c r="A11" s="113"/>
      <c r="B11" s="1145"/>
      <c r="C11" s="1146"/>
      <c r="D11" s="1146"/>
      <c r="E11" s="1146"/>
      <c r="F11" s="1146"/>
      <c r="G11" s="1127"/>
      <c r="H11" s="1127"/>
      <c r="I11" s="1127"/>
      <c r="J11" s="1127"/>
      <c r="K11" s="1127"/>
      <c r="L11" s="1127"/>
      <c r="M11" s="1127"/>
      <c r="N11" s="1127"/>
      <c r="O11" s="1127"/>
      <c r="P11" s="1127"/>
      <c r="Q11" s="1127"/>
      <c r="R11" s="1127"/>
      <c r="S11" s="1127"/>
      <c r="T11" s="1127"/>
      <c r="U11" s="691"/>
      <c r="V11" s="691"/>
      <c r="W11" s="691"/>
      <c r="X11" s="691"/>
      <c r="Y11" s="691"/>
      <c r="Z11" s="691"/>
      <c r="AA11" s="692" t="s">
        <v>1000</v>
      </c>
      <c r="AB11" s="1136"/>
      <c r="AC11" s="1137"/>
      <c r="AD11" s="1137"/>
      <c r="AE11" s="1137"/>
      <c r="AF11" s="1137"/>
      <c r="AG11" s="1137"/>
      <c r="AH11" s="1137"/>
      <c r="AI11" s="1137"/>
      <c r="AJ11" s="1137"/>
      <c r="AK11" s="1137"/>
      <c r="AL11" s="1138"/>
      <c r="AM11" s="277"/>
      <c r="AN11" s="277"/>
      <c r="AO11"/>
      <c r="AP11" s="693" t="s">
        <v>910</v>
      </c>
      <c r="AQ11" s="694" t="s">
        <v>16</v>
      </c>
      <c r="AR11" s="277"/>
      <c r="AS11" s="277"/>
      <c r="AT11" s="277"/>
      <c r="AU11" s="277"/>
      <c r="AV11"/>
      <c r="AW11"/>
      <c r="AX11"/>
      <c r="AY11"/>
      <c r="AZ11"/>
      <c r="BA11"/>
      <c r="BB11" s="690"/>
      <c r="BC11" s="113"/>
    </row>
    <row r="12" spans="1:55" s="54" customFormat="1" ht="12.9" customHeight="1">
      <c r="A12" s="113"/>
      <c r="B12" s="1145" t="s">
        <v>669</v>
      </c>
      <c r="C12" s="1146"/>
      <c r="D12" s="1146"/>
      <c r="E12" s="1146"/>
      <c r="F12" s="1146"/>
      <c r="G12" s="1127" t="s">
        <v>941</v>
      </c>
      <c r="H12" s="1127"/>
      <c r="I12" s="1127"/>
      <c r="J12" s="1127"/>
      <c r="K12" s="1127"/>
      <c r="L12" s="1127"/>
      <c r="M12" s="1127"/>
      <c r="N12" s="1127"/>
      <c r="O12" s="1127"/>
      <c r="P12" s="1127"/>
      <c r="Q12" s="1127"/>
      <c r="R12" s="1127"/>
      <c r="S12" s="1127"/>
      <c r="T12" s="1127"/>
      <c r="U12" s="691"/>
      <c r="V12" s="691"/>
      <c r="W12" s="691"/>
      <c r="X12" s="691"/>
      <c r="Y12" s="691"/>
      <c r="Z12" s="691"/>
      <c r="AA12" s="692" t="s">
        <v>258</v>
      </c>
      <c r="AB12" s="1149"/>
      <c r="AC12" s="1147"/>
      <c r="AD12" s="1147"/>
      <c r="AE12" s="1147"/>
      <c r="AF12" s="1147"/>
      <c r="AG12" s="1147"/>
      <c r="AH12" s="1150"/>
      <c r="AI12" s="1147"/>
      <c r="AJ12" s="1147"/>
      <c r="AK12" s="1147"/>
      <c r="AL12" s="1148"/>
      <c r="AM12" s="277"/>
      <c r="AN12" s="277"/>
      <c r="AO12"/>
      <c r="AP12" s="693" t="s">
        <v>924</v>
      </c>
      <c r="AQ12" s="694" t="s">
        <v>934</v>
      </c>
      <c r="AR12" s="277"/>
      <c r="AS12" s="277"/>
      <c r="AT12"/>
      <c r="AU12"/>
      <c r="AV12"/>
      <c r="AW12"/>
      <c r="AX12"/>
      <c r="AY12"/>
      <c r="AZ12"/>
      <c r="BA12"/>
      <c r="BB12" s="690"/>
      <c r="BC12" s="113"/>
    </row>
    <row r="13" spans="1:55" s="54" customFormat="1" ht="12.9" customHeight="1">
      <c r="A13" s="113"/>
      <c r="B13" s="1145"/>
      <c r="C13" s="1146"/>
      <c r="D13" s="1146"/>
      <c r="E13" s="1146"/>
      <c r="F13" s="1146"/>
      <c r="G13" s="1127"/>
      <c r="H13" s="1127"/>
      <c r="I13" s="1127"/>
      <c r="J13" s="1127"/>
      <c r="K13" s="1127"/>
      <c r="L13" s="1127"/>
      <c r="M13" s="1127"/>
      <c r="N13" s="1127"/>
      <c r="O13" s="1127"/>
      <c r="P13" s="1127"/>
      <c r="Q13" s="1127"/>
      <c r="R13" s="1127"/>
      <c r="S13" s="1127"/>
      <c r="T13" s="1127"/>
      <c r="U13" s="691"/>
      <c r="V13" s="691"/>
      <c r="W13" s="691"/>
      <c r="X13" s="691"/>
      <c r="Y13" s="691"/>
      <c r="Z13" s="691"/>
      <c r="AA13" s="692" t="s">
        <v>146</v>
      </c>
      <c r="AB13" s="1133"/>
      <c r="AC13" s="1134"/>
      <c r="AD13" s="1134"/>
      <c r="AE13" s="1134"/>
      <c r="AF13" s="1134"/>
      <c r="AG13" s="1134"/>
      <c r="AH13" s="1134"/>
      <c r="AI13" s="1134"/>
      <c r="AJ13" s="1134"/>
      <c r="AK13" s="1134"/>
      <c r="AL13" s="1135"/>
      <c r="AM13" s="277"/>
      <c r="AN13" s="277"/>
      <c r="AO13"/>
      <c r="AP13" s="693" t="s">
        <v>911</v>
      </c>
      <c r="AQ13" s="694" t="s">
        <v>17</v>
      </c>
      <c r="AR13" s="277"/>
      <c r="AS13" s="277"/>
      <c r="AT13"/>
      <c r="AU13"/>
      <c r="AV13"/>
      <c r="AW13"/>
      <c r="AX13"/>
      <c r="AY13"/>
      <c r="AZ13" s="277"/>
      <c r="BA13" s="277"/>
      <c r="BB13" s="688"/>
      <c r="BC13" s="113"/>
    </row>
    <row r="14" spans="1:55" s="54" customFormat="1" ht="12.9" customHeight="1">
      <c r="A14" s="113"/>
      <c r="B14" s="1145"/>
      <c r="C14" s="1146"/>
      <c r="D14" s="1146"/>
      <c r="E14" s="1146"/>
      <c r="F14" s="1146"/>
      <c r="G14" s="1127"/>
      <c r="H14" s="1127"/>
      <c r="I14" s="1127"/>
      <c r="J14" s="1127"/>
      <c r="K14" s="1127"/>
      <c r="L14" s="1127"/>
      <c r="M14" s="1127"/>
      <c r="N14" s="1127"/>
      <c r="O14" s="1127"/>
      <c r="P14" s="1127"/>
      <c r="Q14" s="1127"/>
      <c r="R14" s="1127"/>
      <c r="S14" s="1127"/>
      <c r="T14" s="1127"/>
      <c r="U14" s="691"/>
      <c r="V14" s="691"/>
      <c r="W14" s="691"/>
      <c r="X14" s="691"/>
      <c r="Y14" s="691"/>
      <c r="Z14" s="691"/>
      <c r="AA14" s="692" t="s">
        <v>143</v>
      </c>
      <c r="AB14" s="1161"/>
      <c r="AC14" s="1162"/>
      <c r="AD14" s="1162"/>
      <c r="AE14" s="1162"/>
      <c r="AF14" s="1162"/>
      <c r="AG14" s="1162"/>
      <c r="AH14" s="1162"/>
      <c r="AI14" s="1162"/>
      <c r="AJ14" s="1162"/>
      <c r="AK14" s="1162"/>
      <c r="AL14" s="1163"/>
      <c r="AM14" s="277"/>
      <c r="AN14" s="277"/>
      <c r="AO14"/>
      <c r="AP14" s="693" t="s">
        <v>925</v>
      </c>
      <c r="AQ14" s="694" t="s">
        <v>935</v>
      </c>
      <c r="AR14" s="277"/>
      <c r="AS14" s="277"/>
      <c r="AT14"/>
      <c r="AU14"/>
      <c r="AV14"/>
      <c r="AW14"/>
      <c r="AX14"/>
      <c r="AY14"/>
      <c r="AZ14" s="277"/>
      <c r="BA14" s="277"/>
      <c r="BB14" s="688"/>
      <c r="BC14" s="113"/>
    </row>
    <row r="15" spans="1:55" s="54" customFormat="1" ht="12.9" customHeight="1">
      <c r="A15" s="113"/>
      <c r="B15" s="1125" t="s">
        <v>675</v>
      </c>
      <c r="C15" s="1126"/>
      <c r="D15" s="1126"/>
      <c r="E15" s="1126"/>
      <c r="F15" s="1126"/>
      <c r="G15" s="1127" t="s">
        <v>942</v>
      </c>
      <c r="H15" s="1127"/>
      <c r="I15" s="1127"/>
      <c r="J15" s="1127"/>
      <c r="K15" s="1127"/>
      <c r="L15" s="1127"/>
      <c r="M15" s="1127"/>
      <c r="N15" s="1127"/>
      <c r="O15" s="1127"/>
      <c r="P15" s="1127"/>
      <c r="Q15" s="1127"/>
      <c r="R15" s="1127"/>
      <c r="S15" s="1127"/>
      <c r="T15" s="1127"/>
      <c r="U15" s="691"/>
      <c r="V15" s="691"/>
      <c r="W15" s="691"/>
      <c r="X15" s="691"/>
      <c r="Y15" s="691"/>
      <c r="Z15" s="691"/>
      <c r="AA15" s="706" t="s">
        <v>955</v>
      </c>
      <c r="AB15" s="1151"/>
      <c r="AC15" s="1151"/>
      <c r="AD15" s="1151"/>
      <c r="AE15" s="1151"/>
      <c r="AF15" s="1151"/>
      <c r="AG15" s="1151"/>
      <c r="AH15" s="1151"/>
      <c r="AI15" s="1151"/>
      <c r="AJ15" s="1151"/>
      <c r="AK15" s="1151"/>
      <c r="AL15" s="1151"/>
      <c r="AM15" s="277"/>
      <c r="AN15" s="277"/>
      <c r="AO15"/>
      <c r="AP15" s="693" t="s">
        <v>912</v>
      </c>
      <c r="AQ15" s="694" t="s">
        <v>522</v>
      </c>
      <c r="AR15" s="277"/>
      <c r="AS15" s="277"/>
      <c r="AT15"/>
      <c r="AU15"/>
      <c r="AV15"/>
      <c r="AW15"/>
      <c r="AX15"/>
      <c r="AY15"/>
      <c r="AZ15" s="277"/>
      <c r="BA15" s="277"/>
      <c r="BB15" s="688"/>
      <c r="BC15" s="113"/>
    </row>
    <row r="16" spans="1:55" s="54" customFormat="1" ht="12.9" customHeight="1">
      <c r="A16" s="113"/>
      <c r="B16" s="1125"/>
      <c r="C16" s="1126"/>
      <c r="D16" s="1126"/>
      <c r="E16" s="1126"/>
      <c r="F16" s="1126"/>
      <c r="G16" s="1127"/>
      <c r="H16" s="1127"/>
      <c r="I16" s="1127"/>
      <c r="J16" s="1127"/>
      <c r="K16" s="1127"/>
      <c r="L16" s="1127"/>
      <c r="M16" s="1127"/>
      <c r="N16" s="1127"/>
      <c r="O16" s="1127"/>
      <c r="P16" s="1127"/>
      <c r="Q16" s="1127"/>
      <c r="R16" s="1127"/>
      <c r="S16" s="1127"/>
      <c r="T16" s="1127"/>
      <c r="U16" s="691"/>
      <c r="V16" s="691"/>
      <c r="W16" s="691"/>
      <c r="X16" s="691"/>
      <c r="Y16" s="691"/>
      <c r="Z16" s="691"/>
      <c r="AA16" s="692" t="s">
        <v>144</v>
      </c>
      <c r="AB16" s="1152"/>
      <c r="AC16" s="1153"/>
      <c r="AD16" s="1153"/>
      <c r="AE16" s="1153"/>
      <c r="AF16" s="1153"/>
      <c r="AG16" s="1153"/>
      <c r="AH16" s="1153"/>
      <c r="AI16" s="1153"/>
      <c r="AJ16" s="1153"/>
      <c r="AK16" s="1153"/>
      <c r="AL16" s="1154"/>
      <c r="AM16" s="277"/>
      <c r="AN16" s="277"/>
      <c r="AO16"/>
      <c r="AP16" s="696" t="s">
        <v>913</v>
      </c>
      <c r="AQ16" s="694" t="s">
        <v>427</v>
      </c>
      <c r="AR16" s="277"/>
      <c r="AS16" s="277"/>
      <c r="AT16"/>
      <c r="AU16"/>
      <c r="AV16"/>
      <c r="AW16"/>
      <c r="AX16"/>
      <c r="AY16" s="277"/>
      <c r="AZ16" s="277"/>
      <c r="BA16" s="277"/>
      <c r="BB16" s="688"/>
      <c r="BC16" s="113"/>
    </row>
    <row r="17" spans="1:55" s="54" customFormat="1" ht="12.9" customHeight="1">
      <c r="A17" s="113"/>
      <c r="B17" s="1125"/>
      <c r="C17" s="1126"/>
      <c r="D17" s="1126"/>
      <c r="E17" s="1126"/>
      <c r="F17" s="1126"/>
      <c r="G17" s="1127"/>
      <c r="H17" s="1127"/>
      <c r="I17" s="1127"/>
      <c r="J17" s="1127"/>
      <c r="K17" s="1127"/>
      <c r="L17" s="1127"/>
      <c r="M17" s="1127"/>
      <c r="N17" s="1127"/>
      <c r="O17" s="1127"/>
      <c r="P17" s="1127"/>
      <c r="Q17" s="1127"/>
      <c r="R17" s="1127"/>
      <c r="S17" s="1127"/>
      <c r="T17" s="1127"/>
      <c r="U17" s="691"/>
      <c r="V17" s="691"/>
      <c r="W17" s="691"/>
      <c r="X17" s="691"/>
      <c r="Y17" s="691"/>
      <c r="Z17" s="691"/>
      <c r="AA17" s="692" t="s">
        <v>236</v>
      </c>
      <c r="AB17" s="1158"/>
      <c r="AC17" s="1159"/>
      <c r="AD17" s="1159"/>
      <c r="AE17" s="1159"/>
      <c r="AF17" s="1159"/>
      <c r="AG17" s="1159"/>
      <c r="AH17" s="1159"/>
      <c r="AI17" s="1159"/>
      <c r="AJ17" s="1159"/>
      <c r="AK17" s="1159"/>
      <c r="AL17" s="1160"/>
      <c r="AM17" s="277"/>
      <c r="AN17" s="277"/>
      <c r="AO17"/>
      <c r="AP17" s="696" t="s">
        <v>921</v>
      </c>
      <c r="AQ17" s="694" t="s">
        <v>448</v>
      </c>
      <c r="AR17" s="277"/>
      <c r="AS17" s="277"/>
      <c r="AT17"/>
      <c r="AU17"/>
      <c r="AV17"/>
      <c r="AW17"/>
      <c r="AX17"/>
      <c r="AY17" s="277"/>
      <c r="AZ17" s="277"/>
      <c r="BA17" s="277"/>
      <c r="BB17" s="688"/>
      <c r="BC17" s="113"/>
    </row>
    <row r="18" spans="1:55" s="54" customFormat="1" ht="12.9" customHeight="1">
      <c r="A18" s="113"/>
      <c r="B18" s="1125" t="s">
        <v>1085</v>
      </c>
      <c r="C18" s="1126"/>
      <c r="D18" s="1126"/>
      <c r="E18" s="1126"/>
      <c r="F18" s="1126"/>
      <c r="G18" s="1127" t="s">
        <v>1088</v>
      </c>
      <c r="H18" s="1127"/>
      <c r="I18" s="1127"/>
      <c r="J18" s="1127"/>
      <c r="K18" s="1127"/>
      <c r="L18" s="1127"/>
      <c r="M18" s="1127"/>
      <c r="N18" s="1127"/>
      <c r="O18" s="1127"/>
      <c r="P18" s="1127"/>
      <c r="Q18" s="1127"/>
      <c r="R18" s="1127"/>
      <c r="S18" s="1127"/>
      <c r="T18" s="1127"/>
      <c r="U18" s="691"/>
      <c r="V18" s="691"/>
      <c r="W18" s="691"/>
      <c r="X18" s="691"/>
      <c r="Y18" s="691"/>
      <c r="Z18" s="691"/>
      <c r="AA18" s="692" t="s">
        <v>715</v>
      </c>
      <c r="AB18" s="1133"/>
      <c r="AC18" s="1134"/>
      <c r="AD18" s="1134"/>
      <c r="AE18" s="1134"/>
      <c r="AF18" s="1134"/>
      <c r="AG18" s="1134"/>
      <c r="AH18" s="1134"/>
      <c r="AI18" s="1134"/>
      <c r="AJ18" s="1134"/>
      <c r="AK18" s="1134"/>
      <c r="AL18" s="1135"/>
      <c r="AM18" s="277"/>
      <c r="AN18" s="277"/>
      <c r="AO18"/>
      <c r="AP18" s="693" t="s">
        <v>922</v>
      </c>
      <c r="AQ18" s="694" t="s">
        <v>466</v>
      </c>
      <c r="AR18" s="277"/>
      <c r="AS18" s="277"/>
      <c r="AT18"/>
      <c r="AU18"/>
      <c r="AV18"/>
      <c r="AW18"/>
      <c r="AX18"/>
      <c r="AY18" s="277"/>
      <c r="AZ18" s="277"/>
      <c r="BA18" s="277"/>
      <c r="BB18" s="688"/>
      <c r="BC18" s="113"/>
    </row>
    <row r="19" spans="1:55" s="54" customFormat="1" ht="12.9" customHeight="1">
      <c r="A19" s="113"/>
      <c r="B19" s="1125"/>
      <c r="C19" s="1126"/>
      <c r="D19" s="1126"/>
      <c r="E19" s="1126"/>
      <c r="F19" s="1126"/>
      <c r="G19" s="1127"/>
      <c r="H19" s="1127"/>
      <c r="I19" s="1127"/>
      <c r="J19" s="1127"/>
      <c r="K19" s="1127"/>
      <c r="L19" s="1127"/>
      <c r="M19" s="1127"/>
      <c r="N19" s="1127"/>
      <c r="O19" s="1127"/>
      <c r="P19" s="1127"/>
      <c r="Q19" s="1127"/>
      <c r="R19" s="1127"/>
      <c r="S19" s="1127"/>
      <c r="T19" s="1127"/>
      <c r="U19" s="691"/>
      <c r="V19" s="691"/>
      <c r="W19" s="691"/>
      <c r="X19" s="691"/>
      <c r="Y19" s="691"/>
      <c r="Z19" s="691"/>
      <c r="AA19" s="692" t="s">
        <v>929</v>
      </c>
      <c r="AB19" s="1133"/>
      <c r="AC19" s="1134"/>
      <c r="AD19" s="1134"/>
      <c r="AE19" s="1134"/>
      <c r="AF19" s="1135"/>
      <c r="AG19" s="697" t="s">
        <v>930</v>
      </c>
      <c r="AH19" s="691"/>
      <c r="AI19" s="691"/>
      <c r="AJ19" s="698"/>
      <c r="AK19" s="698"/>
      <c r="AL19" s="698"/>
      <c r="AM19" s="277"/>
      <c r="AN19" s="277"/>
      <c r="AO19"/>
      <c r="AP19" s="693" t="s">
        <v>918</v>
      </c>
      <c r="AQ19" s="694" t="s">
        <v>68</v>
      </c>
      <c r="AR19" s="277"/>
      <c r="AS19" s="277"/>
      <c r="AT19"/>
      <c r="AU19"/>
      <c r="AV19"/>
      <c r="AW19" s="692"/>
      <c r="AX19"/>
      <c r="AY19" s="277"/>
      <c r="AZ19" s="277"/>
      <c r="BA19" s="277"/>
      <c r="BB19" s="688"/>
      <c r="BC19" s="113"/>
    </row>
    <row r="20" spans="1:55" s="54" customFormat="1" ht="12.9" customHeight="1">
      <c r="A20" s="113"/>
      <c r="B20" s="1125"/>
      <c r="C20" s="1126"/>
      <c r="D20" s="1126"/>
      <c r="E20" s="1126"/>
      <c r="F20" s="1126"/>
      <c r="G20" s="1127"/>
      <c r="H20" s="1127"/>
      <c r="I20" s="1127"/>
      <c r="J20" s="1127"/>
      <c r="K20" s="1127"/>
      <c r="L20" s="1127"/>
      <c r="M20" s="1127"/>
      <c r="N20" s="1127"/>
      <c r="O20" s="1127"/>
      <c r="P20" s="1127"/>
      <c r="Q20" s="1127"/>
      <c r="R20" s="1127"/>
      <c r="S20" s="1127"/>
      <c r="T20" s="1127"/>
      <c r="U20" s="691"/>
      <c r="V20" s="691"/>
      <c r="W20" s="691"/>
      <c r="X20" s="691"/>
      <c r="Y20" s="691"/>
      <c r="Z20" s="691"/>
      <c r="AA20" s="692" t="s">
        <v>1014</v>
      </c>
      <c r="AB20" s="1158"/>
      <c r="AC20" s="1159"/>
      <c r="AD20" s="1159"/>
      <c r="AE20" s="1159"/>
      <c r="AF20" s="1159"/>
      <c r="AG20" s="1159"/>
      <c r="AH20" s="1159"/>
      <c r="AI20" s="1159"/>
      <c r="AJ20" s="1159"/>
      <c r="AK20" s="1159"/>
      <c r="AL20" s="1160"/>
      <c r="AM20" s="277"/>
      <c r="AN20" s="277"/>
      <c r="AO20"/>
      <c r="AP20" s="693" t="s">
        <v>919</v>
      </c>
      <c r="AQ20" s="694" t="s">
        <v>8</v>
      </c>
      <c r="AR20" s="277"/>
      <c r="AS20" s="277"/>
      <c r="AT20"/>
      <c r="AU20"/>
      <c r="AV20"/>
      <c r="AW20" s="692"/>
      <c r="AX20"/>
      <c r="AY20" s="277"/>
      <c r="AZ20" s="277"/>
      <c r="BA20" s="277"/>
      <c r="BB20" s="688"/>
      <c r="BC20" s="113"/>
    </row>
    <row r="21" spans="1:55" s="54" customFormat="1" ht="12.9" customHeight="1">
      <c r="A21" s="113"/>
      <c r="B21" s="1125" t="s">
        <v>944</v>
      </c>
      <c r="C21" s="1126"/>
      <c r="D21" s="1126"/>
      <c r="E21" s="1126"/>
      <c r="F21" s="1126"/>
      <c r="G21" s="1127" t="s">
        <v>976</v>
      </c>
      <c r="H21" s="1127"/>
      <c r="I21" s="1127"/>
      <c r="J21" s="1127"/>
      <c r="K21" s="1127"/>
      <c r="L21" s="1127"/>
      <c r="M21" s="1127"/>
      <c r="N21" s="1127"/>
      <c r="O21" s="1127"/>
      <c r="P21" s="1127"/>
      <c r="Q21" s="1127"/>
      <c r="R21" s="1127"/>
      <c r="S21" s="1127"/>
      <c r="T21" s="1127"/>
      <c r="U21" s="691"/>
      <c r="V21" s="691"/>
      <c r="W21" s="691"/>
      <c r="X21" s="691"/>
      <c r="Y21" s="691"/>
      <c r="Z21" s="691"/>
      <c r="AA21" s="692" t="s">
        <v>1015</v>
      </c>
      <c r="AB21" s="1164"/>
      <c r="AC21" s="1165"/>
      <c r="AD21" s="1165"/>
      <c r="AE21" s="1165"/>
      <c r="AF21" s="1165"/>
      <c r="AG21" s="1165"/>
      <c r="AH21" s="1165"/>
      <c r="AI21" s="1165"/>
      <c r="AJ21" s="1165"/>
      <c r="AK21" s="1165"/>
      <c r="AL21" s="1166"/>
      <c r="AM21" s="277"/>
      <c r="AN21" s="277"/>
      <c r="AO21"/>
      <c r="AP21" s="693" t="s">
        <v>920</v>
      </c>
      <c r="AQ21" s="694" t="s">
        <v>7</v>
      </c>
      <c r="AR21" s="277"/>
      <c r="AS21" s="277"/>
      <c r="AT21"/>
      <c r="AU21"/>
      <c r="AV21"/>
      <c r="AW21" s="692"/>
      <c r="AX21"/>
      <c r="AY21" s="277"/>
      <c r="AZ21" s="277"/>
      <c r="BA21" s="277"/>
      <c r="BB21" s="688"/>
      <c r="BC21" s="113"/>
    </row>
    <row r="22" spans="1:55" s="54" customFormat="1" ht="12.9" customHeight="1">
      <c r="A22" s="113"/>
      <c r="B22" s="1125"/>
      <c r="C22" s="1126"/>
      <c r="D22" s="1126"/>
      <c r="E22" s="1126"/>
      <c r="F22" s="1126"/>
      <c r="G22" s="1127"/>
      <c r="H22" s="1127"/>
      <c r="I22" s="1127"/>
      <c r="J22" s="1127"/>
      <c r="K22" s="1127"/>
      <c r="L22" s="1127"/>
      <c r="M22" s="1127"/>
      <c r="N22" s="1127"/>
      <c r="O22" s="1127"/>
      <c r="P22" s="1127"/>
      <c r="Q22" s="1127"/>
      <c r="R22" s="1127"/>
      <c r="S22" s="1127"/>
      <c r="T22" s="1127"/>
      <c r="U22" s="691"/>
      <c r="V22" s="691"/>
      <c r="W22" s="691"/>
      <c r="X22" s="691"/>
      <c r="Y22" s="691"/>
      <c r="Z22" s="691"/>
      <c r="AA22" s="692" t="s">
        <v>240</v>
      </c>
      <c r="AB22" s="1155"/>
      <c r="AC22" s="1156"/>
      <c r="AD22" s="1156"/>
      <c r="AE22" s="1156"/>
      <c r="AF22" s="1156"/>
      <c r="AG22" s="1156"/>
      <c r="AH22" s="1156"/>
      <c r="AI22" s="1156"/>
      <c r="AJ22" s="1156"/>
      <c r="AK22" s="1156"/>
      <c r="AL22" s="1157"/>
      <c r="AM22" s="277"/>
      <c r="AN22" s="277"/>
      <c r="AO22"/>
      <c r="AP22" s="693" t="s">
        <v>570</v>
      </c>
      <c r="AQ22" s="694" t="s">
        <v>54</v>
      </c>
      <c r="AR22" s="277"/>
      <c r="AS22" s="277"/>
      <c r="AT22"/>
      <c r="AU22"/>
      <c r="AV22"/>
      <c r="AW22" s="692"/>
      <c r="AX22"/>
      <c r="AY22" s="277"/>
      <c r="AZ22" s="277"/>
      <c r="BA22" s="277"/>
      <c r="BB22" s="688"/>
      <c r="BC22" s="113"/>
    </row>
    <row r="23" spans="1:55" s="54" customFormat="1" ht="12.9" customHeight="1">
      <c r="A23" s="113"/>
      <c r="B23" s="1125"/>
      <c r="C23" s="1126"/>
      <c r="D23" s="1126"/>
      <c r="E23" s="1126"/>
      <c r="F23" s="1126"/>
      <c r="G23" s="1127"/>
      <c r="H23" s="1127"/>
      <c r="I23" s="1127"/>
      <c r="J23" s="1127"/>
      <c r="K23" s="1127"/>
      <c r="L23" s="1127"/>
      <c r="M23" s="1127"/>
      <c r="N23" s="1127"/>
      <c r="O23" s="1127"/>
      <c r="P23" s="1127"/>
      <c r="Q23" s="1127"/>
      <c r="R23" s="1127"/>
      <c r="S23" s="1127"/>
      <c r="T23" s="1127"/>
      <c r="U23" s="691"/>
      <c r="AA23" s="692" t="s">
        <v>1012</v>
      </c>
      <c r="AB23" s="1093"/>
      <c r="AC23" s="1094"/>
      <c r="AD23" s="1094"/>
      <c r="AE23" s="1094"/>
      <c r="AF23" s="1095"/>
      <c r="AG23" s="1096"/>
      <c r="AH23" s="1096"/>
      <c r="AI23" s="1096"/>
      <c r="AJ23" s="1096"/>
      <c r="AK23" s="1096"/>
      <c r="AL23" s="1096"/>
      <c r="AM23" s="277"/>
      <c r="AN23" s="277"/>
      <c r="AO23"/>
      <c r="AP23" s="693" t="s">
        <v>583</v>
      </c>
      <c r="AQ23" s="694" t="s">
        <v>673</v>
      </c>
      <c r="AR23" s="277"/>
      <c r="AS23" s="277"/>
      <c r="AT23" s="277"/>
      <c r="AU23" s="277"/>
      <c r="AV23" s="277"/>
      <c r="AW23" s="277"/>
      <c r="AX23" s="277"/>
      <c r="AY23" s="277"/>
      <c r="AZ23" s="277"/>
      <c r="BA23" s="277"/>
      <c r="BB23" s="688"/>
      <c r="BC23" s="113"/>
    </row>
    <row r="24" spans="1:55" s="54" customFormat="1" ht="12.9" customHeight="1">
      <c r="A24" s="113"/>
      <c r="B24" s="1125" t="s">
        <v>946</v>
      </c>
      <c r="C24" s="1126"/>
      <c r="D24" s="1126"/>
      <c r="E24" s="1126"/>
      <c r="F24" s="1126"/>
      <c r="G24" s="1127" t="s">
        <v>947</v>
      </c>
      <c r="H24" s="1127"/>
      <c r="I24" s="1127"/>
      <c r="J24" s="1127"/>
      <c r="K24" s="1127"/>
      <c r="L24" s="1127"/>
      <c r="M24" s="1127"/>
      <c r="N24" s="1127"/>
      <c r="O24" s="1127"/>
      <c r="P24" s="1127"/>
      <c r="Q24" s="1127"/>
      <c r="R24" s="1127"/>
      <c r="S24" s="1127"/>
      <c r="T24" s="1127"/>
      <c r="U24" s="691"/>
      <c r="AA24" s="692" t="s">
        <v>1004</v>
      </c>
      <c r="AB24" s="1097"/>
      <c r="AC24" s="1098"/>
      <c r="AD24" s="1098"/>
      <c r="AE24" s="1098"/>
      <c r="AF24" s="1099"/>
      <c r="AG24" s="1100"/>
      <c r="AH24" s="1101"/>
      <c r="AI24" s="1101"/>
      <c r="AJ24" s="1101"/>
      <c r="AK24" s="1101"/>
      <c r="AL24" s="1101"/>
      <c r="AM24" s="277"/>
      <c r="AN24" s="277"/>
      <c r="AO24"/>
      <c r="AP24" s="693" t="s">
        <v>598</v>
      </c>
      <c r="AQ24" s="694" t="s">
        <v>672</v>
      </c>
      <c r="AR24" s="277"/>
      <c r="AS24" s="277"/>
      <c r="AT24" s="277"/>
      <c r="AU24" s="277"/>
      <c r="AV24" s="277"/>
      <c r="AW24" s="277"/>
      <c r="AX24" s="277"/>
      <c r="AY24" s="277"/>
      <c r="AZ24" s="277"/>
      <c r="BA24" s="277"/>
      <c r="BB24" s="688"/>
      <c r="BC24" s="113"/>
    </row>
    <row r="25" spans="1:55" s="54" customFormat="1" ht="12.9" customHeight="1">
      <c r="A25" s="113"/>
      <c r="B25" s="1125"/>
      <c r="C25" s="1126"/>
      <c r="D25" s="1126"/>
      <c r="E25" s="1126"/>
      <c r="F25" s="1126"/>
      <c r="G25" s="1127"/>
      <c r="H25" s="1127"/>
      <c r="I25" s="1127"/>
      <c r="J25" s="1127"/>
      <c r="K25" s="1127"/>
      <c r="L25" s="1127"/>
      <c r="M25" s="1127"/>
      <c r="N25" s="1127"/>
      <c r="O25" s="1127"/>
      <c r="P25" s="1127"/>
      <c r="Q25" s="1127"/>
      <c r="R25" s="1127"/>
      <c r="S25" s="1127"/>
      <c r="T25" s="1127"/>
      <c r="U25" s="691"/>
      <c r="V25" s="691"/>
      <c r="W25" s="691"/>
      <c r="X25" s="691"/>
      <c r="Y25" s="691"/>
      <c r="Z25" s="691"/>
      <c r="AA25" s="692" t="s">
        <v>1001</v>
      </c>
      <c r="AB25" s="1097"/>
      <c r="AC25" s="1098"/>
      <c r="AD25" s="1098"/>
      <c r="AE25" s="1098"/>
      <c r="AF25" s="1098"/>
      <c r="AG25" s="1098"/>
      <c r="AH25" s="1098"/>
      <c r="AI25" s="1098"/>
      <c r="AJ25" s="1098"/>
      <c r="AK25" s="1098"/>
      <c r="AL25" s="1107"/>
      <c r="AM25" s="277"/>
      <c r="AN25" s="277"/>
      <c r="AO25"/>
      <c r="AP25" s="693" t="s">
        <v>917</v>
      </c>
      <c r="AQ25" s="694" t="s">
        <v>599</v>
      </c>
      <c r="AR25" s="277"/>
      <c r="AS25" s="277"/>
      <c r="AT25" s="277"/>
      <c r="AU25" s="277"/>
      <c r="AV25" s="277"/>
      <c r="AW25" s="277"/>
      <c r="AX25" s="277"/>
      <c r="AY25" s="277"/>
      <c r="AZ25" s="277"/>
      <c r="BA25" s="277"/>
      <c r="BB25" s="688"/>
      <c r="BC25" s="113"/>
    </row>
    <row r="26" spans="1:55" s="54" customFormat="1" ht="12.9" customHeight="1">
      <c r="A26" s="113"/>
      <c r="B26" s="1125"/>
      <c r="C26" s="1126"/>
      <c r="D26" s="1126"/>
      <c r="E26" s="1126"/>
      <c r="F26" s="1126"/>
      <c r="G26" s="1127"/>
      <c r="H26" s="1127"/>
      <c r="I26" s="1127"/>
      <c r="J26" s="1127"/>
      <c r="K26" s="1127"/>
      <c r="L26" s="1127"/>
      <c r="M26" s="1127"/>
      <c r="N26" s="1127"/>
      <c r="O26" s="1127"/>
      <c r="P26" s="1127"/>
      <c r="Q26" s="1127"/>
      <c r="R26" s="1127"/>
      <c r="S26" s="1127"/>
      <c r="T26" s="1127"/>
      <c r="U26" s="691"/>
      <c r="V26" s="691"/>
      <c r="W26" s="691"/>
      <c r="X26" s="691"/>
      <c r="Y26" s="691"/>
      <c r="Z26" s="691"/>
      <c r="AA26" s="699" t="s">
        <v>998</v>
      </c>
      <c r="AB26" s="1097"/>
      <c r="AC26" s="1098"/>
      <c r="AD26" s="1098"/>
      <c r="AE26" s="1098"/>
      <c r="AF26" s="1098"/>
      <c r="AG26" s="1098"/>
      <c r="AH26" s="1098"/>
      <c r="AI26" s="1098"/>
      <c r="AJ26" s="1098"/>
      <c r="AK26" s="1098"/>
      <c r="AL26" s="1107"/>
      <c r="AM26" s="277"/>
      <c r="AN26" s="277"/>
      <c r="AO26"/>
      <c r="AP26" s="693" t="s">
        <v>914</v>
      </c>
      <c r="AQ26" s="694" t="s">
        <v>626</v>
      </c>
      <c r="AR26" s="277"/>
      <c r="AS26" s="277"/>
      <c r="AT26" s="277"/>
      <c r="AU26" s="277"/>
      <c r="AV26" s="277"/>
      <c r="AW26" s="277"/>
      <c r="AX26" s="277"/>
      <c r="AY26" s="277"/>
      <c r="AZ26" s="277"/>
      <c r="BA26" s="277"/>
      <c r="BB26" s="688"/>
      <c r="BC26" s="113"/>
    </row>
    <row r="27" spans="1:55" s="54" customFormat="1" ht="12.9" customHeight="1">
      <c r="A27" s="113"/>
      <c r="B27" s="1125" t="s">
        <v>785</v>
      </c>
      <c r="C27" s="1126"/>
      <c r="D27" s="1126"/>
      <c r="E27" s="1126"/>
      <c r="F27" s="1126"/>
      <c r="G27" s="1127" t="s">
        <v>994</v>
      </c>
      <c r="H27" s="1127"/>
      <c r="I27" s="1127"/>
      <c r="J27" s="1127"/>
      <c r="K27" s="1127"/>
      <c r="L27" s="1127"/>
      <c r="M27" s="1127"/>
      <c r="N27" s="1127"/>
      <c r="O27" s="1127"/>
      <c r="P27" s="1127"/>
      <c r="Q27" s="1127"/>
      <c r="R27" s="1127"/>
      <c r="S27" s="1127"/>
      <c r="T27" s="1127"/>
      <c r="U27" s="691"/>
      <c r="AA27" s="699" t="s">
        <v>999</v>
      </c>
      <c r="AB27" s="1097"/>
      <c r="AC27" s="1098"/>
      <c r="AD27" s="1098"/>
      <c r="AE27" s="1098"/>
      <c r="AF27" s="1098"/>
      <c r="AG27" s="1098"/>
      <c r="AH27" s="1098"/>
      <c r="AI27" s="1098"/>
      <c r="AJ27" s="1098"/>
      <c r="AK27" s="1098"/>
      <c r="AL27" s="1107"/>
      <c r="AM27" s="277"/>
      <c r="AN27" s="277"/>
      <c r="AO27"/>
      <c r="AP27" s="693" t="s">
        <v>915</v>
      </c>
      <c r="AQ27" s="694" t="s">
        <v>650</v>
      </c>
      <c r="AR27" s="277"/>
      <c r="AS27" s="277"/>
      <c r="AT27" s="277"/>
      <c r="AU27" s="277"/>
      <c r="AV27" s="277"/>
      <c r="AW27" s="277"/>
      <c r="AX27" s="277"/>
      <c r="AY27" s="277"/>
      <c r="AZ27" s="277"/>
      <c r="BA27" s="277"/>
      <c r="BB27" s="688"/>
      <c r="BC27" s="113"/>
    </row>
    <row r="28" spans="1:55" s="54" customFormat="1" ht="12.9" customHeight="1">
      <c r="A28" s="113"/>
      <c r="B28" s="1125"/>
      <c r="C28" s="1126"/>
      <c r="D28" s="1126"/>
      <c r="E28" s="1126"/>
      <c r="F28" s="1126"/>
      <c r="G28" s="1127"/>
      <c r="H28" s="1127"/>
      <c r="I28" s="1127"/>
      <c r="J28" s="1127"/>
      <c r="K28" s="1127"/>
      <c r="L28" s="1127"/>
      <c r="M28" s="1127"/>
      <c r="N28" s="1127"/>
      <c r="O28" s="1127"/>
      <c r="P28" s="1127"/>
      <c r="Q28" s="1127"/>
      <c r="R28" s="1127"/>
      <c r="S28" s="1127"/>
      <c r="T28" s="1127"/>
      <c r="U28" s="730"/>
      <c r="V28" s="691"/>
      <c r="W28" s="691"/>
      <c r="X28" s="691"/>
      <c r="Y28" s="691"/>
      <c r="Z28" s="691"/>
      <c r="AB28" s="689"/>
      <c r="AC28" s="689"/>
      <c r="AD28" s="689"/>
      <c r="AE28" s="689"/>
      <c r="AF28" s="689"/>
      <c r="AG28" s="689"/>
      <c r="AH28" s="692" t="s">
        <v>1002</v>
      </c>
      <c r="AI28" s="1109"/>
      <c r="AJ28" s="1110"/>
      <c r="AK28" s="1110"/>
      <c r="AL28" s="1111"/>
      <c r="AM28" s="726"/>
      <c r="AN28" s="726"/>
      <c r="AO28" s="726"/>
      <c r="AP28" s="726"/>
      <c r="AQ28" s="726"/>
      <c r="AR28" s="726"/>
      <c r="AS28" s="726"/>
      <c r="AT28" s="726"/>
      <c r="AU28" s="726"/>
      <c r="AV28" s="726"/>
      <c r="AW28" s="726"/>
      <c r="AX28" s="726"/>
      <c r="AY28" s="726"/>
      <c r="AZ28" s="726"/>
      <c r="BA28" s="726"/>
      <c r="BB28" s="688"/>
      <c r="BC28" s="113"/>
    </row>
    <row r="29" spans="1:55" s="54" customFormat="1" ht="12.9" customHeight="1">
      <c r="A29" s="113"/>
      <c r="B29" s="1125"/>
      <c r="C29" s="1126"/>
      <c r="D29" s="1126"/>
      <c r="E29" s="1126"/>
      <c r="F29" s="1126"/>
      <c r="G29" s="1127"/>
      <c r="H29" s="1127"/>
      <c r="I29" s="1127"/>
      <c r="J29" s="1127"/>
      <c r="K29" s="1127"/>
      <c r="L29" s="1127"/>
      <c r="M29" s="1127"/>
      <c r="N29" s="1127"/>
      <c r="O29" s="1127"/>
      <c r="P29" s="1127"/>
      <c r="Q29" s="1127"/>
      <c r="R29" s="1127"/>
      <c r="S29" s="1127"/>
      <c r="T29" s="1127"/>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 customHeight="1">
      <c r="A30" s="113"/>
      <c r="B30" s="1125" t="s">
        <v>948</v>
      </c>
      <c r="C30" s="1126"/>
      <c r="D30" s="1126"/>
      <c r="E30" s="1126"/>
      <c r="F30" s="1126"/>
      <c r="G30" s="1127" t="s">
        <v>949</v>
      </c>
      <c r="H30" s="1127"/>
      <c r="I30" s="1127"/>
      <c r="J30" s="1127"/>
      <c r="K30" s="1127"/>
      <c r="L30" s="1127"/>
      <c r="M30" s="1127"/>
      <c r="N30" s="1127"/>
      <c r="O30" s="1127"/>
      <c r="P30" s="1127"/>
      <c r="Q30" s="1127"/>
      <c r="R30" s="1127"/>
      <c r="S30" s="1127"/>
      <c r="T30" s="1127"/>
      <c r="U30" s="730"/>
      <c r="BB30" s="688"/>
      <c r="BC30" s="113"/>
    </row>
    <row r="31" spans="1:55" s="54" customFormat="1" ht="12.9" customHeight="1">
      <c r="A31" s="113"/>
      <c r="B31" s="1125"/>
      <c r="C31" s="1126"/>
      <c r="D31" s="1126"/>
      <c r="E31" s="1126"/>
      <c r="F31" s="1126"/>
      <c r="G31" s="1127"/>
      <c r="H31" s="1127"/>
      <c r="I31" s="1127"/>
      <c r="J31" s="1127"/>
      <c r="K31" s="1127"/>
      <c r="L31" s="1127"/>
      <c r="M31" s="1127"/>
      <c r="N31" s="1127"/>
      <c r="O31" s="1127"/>
      <c r="P31" s="1127"/>
      <c r="Q31" s="1127"/>
      <c r="R31" s="1127"/>
      <c r="S31" s="1127"/>
      <c r="T31" s="1127"/>
      <c r="U31" s="730"/>
      <c r="V31" s="730"/>
      <c r="Y31" s="734" t="s">
        <v>940</v>
      </c>
      <c r="Z31" s="730"/>
      <c r="AC31" s="745"/>
      <c r="AD31" s="752" t="s">
        <v>995</v>
      </c>
      <c r="AE31" s="746"/>
      <c r="AF31" s="747"/>
      <c r="AG31" s="748"/>
      <c r="AH31" s="749"/>
      <c r="AI31" s="750"/>
      <c r="AJ31" s="750"/>
      <c r="AK31" s="750"/>
      <c r="AL31" s="752" t="s">
        <v>996</v>
      </c>
      <c r="AM31" s="751"/>
      <c r="AN31" s="751"/>
      <c r="AO31" s="751"/>
      <c r="AP31" s="750"/>
      <c r="AQ31" s="750"/>
      <c r="AR31" s="750"/>
      <c r="AS31" s="750"/>
      <c r="AT31" s="745"/>
      <c r="AU31" s="744" t="s">
        <v>997</v>
      </c>
      <c r="AV31" s="760"/>
      <c r="AW31" s="761"/>
      <c r="AX31" s="762"/>
      <c r="AY31" s="726"/>
      <c r="AZ31" s="726"/>
      <c r="BA31" s="726"/>
      <c r="BB31" s="688"/>
      <c r="BC31" s="113"/>
    </row>
    <row r="32" spans="1:55" s="54" customFormat="1" ht="12.9" customHeight="1">
      <c r="A32" s="113"/>
      <c r="B32" s="1125"/>
      <c r="C32" s="1126"/>
      <c r="D32" s="1126"/>
      <c r="E32" s="1126"/>
      <c r="F32" s="1126"/>
      <c r="G32" s="1127"/>
      <c r="H32" s="1127"/>
      <c r="I32" s="1127"/>
      <c r="J32" s="1127"/>
      <c r="K32" s="1127"/>
      <c r="L32" s="1127"/>
      <c r="M32" s="1127"/>
      <c r="N32" s="1127"/>
      <c r="O32" s="1127"/>
      <c r="P32" s="1127"/>
      <c r="Q32" s="1127"/>
      <c r="R32" s="1127"/>
      <c r="S32" s="1127"/>
      <c r="T32" s="1127"/>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 customHeight="1">
      <c r="A33" s="113"/>
      <c r="B33" s="1125" t="s">
        <v>950</v>
      </c>
      <c r="C33" s="1126"/>
      <c r="D33" s="1126"/>
      <c r="E33" s="1126"/>
      <c r="F33" s="1126"/>
      <c r="G33" s="1127" t="s">
        <v>977</v>
      </c>
      <c r="H33" s="1127"/>
      <c r="I33" s="1127"/>
      <c r="J33" s="1127"/>
      <c r="K33" s="1127"/>
      <c r="L33" s="1127"/>
      <c r="M33" s="1127"/>
      <c r="N33" s="1127"/>
      <c r="O33" s="1127"/>
      <c r="P33" s="1127"/>
      <c r="Q33" s="1127"/>
      <c r="R33" s="1127"/>
      <c r="S33" s="1127"/>
      <c r="T33" s="1127"/>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 customHeight="1">
      <c r="A34" s="113"/>
      <c r="B34" s="1125"/>
      <c r="C34" s="1126"/>
      <c r="D34" s="1126"/>
      <c r="E34" s="1126"/>
      <c r="F34" s="1126"/>
      <c r="G34" s="1127"/>
      <c r="H34" s="1127"/>
      <c r="I34" s="1127"/>
      <c r="J34" s="1127"/>
      <c r="K34" s="1127"/>
      <c r="L34" s="1127"/>
      <c r="M34" s="1127"/>
      <c r="N34" s="1127"/>
      <c r="O34" s="1127"/>
      <c r="P34" s="1127"/>
      <c r="Q34" s="1127"/>
      <c r="R34" s="1127"/>
      <c r="S34" s="1127"/>
      <c r="T34" s="1127"/>
      <c r="U34" s="738"/>
      <c r="V34" s="730"/>
      <c r="X34" s="757"/>
      <c r="Y34" s="757"/>
      <c r="AA34" s="1062" t="s">
        <v>932</v>
      </c>
      <c r="AB34" s="1113" t="s">
        <v>669</v>
      </c>
      <c r="AC34" s="1113"/>
      <c r="AD34" s="1113"/>
      <c r="AE34" s="1113"/>
      <c r="AF34" s="717"/>
      <c r="AG34" s="717"/>
      <c r="AH34" s="717"/>
      <c r="AI34" s="717"/>
      <c r="AJ34" s="727"/>
      <c r="AK34" s="727"/>
      <c r="AM34" s="757"/>
      <c r="AN34" s="757"/>
      <c r="AO34" s="757"/>
      <c r="AR34" s="1062" t="s">
        <v>932</v>
      </c>
      <c r="AS34" s="1113" t="s">
        <v>675</v>
      </c>
      <c r="AT34" s="1113"/>
      <c r="AU34" s="1113"/>
      <c r="AV34" s="1113"/>
      <c r="AW34" s="1113"/>
      <c r="AX34" s="1113"/>
      <c r="AY34" s="1113"/>
      <c r="AZ34" s="1113"/>
      <c r="BA34" s="728"/>
      <c r="BB34" s="688"/>
      <c r="BC34" s="113"/>
    </row>
    <row r="35" spans="1:55" s="54" customFormat="1" ht="12.9" customHeight="1">
      <c r="A35" s="113"/>
      <c r="B35" s="1125"/>
      <c r="C35" s="1126"/>
      <c r="D35" s="1126"/>
      <c r="E35" s="1126"/>
      <c r="F35" s="1126"/>
      <c r="G35" s="1127"/>
      <c r="H35" s="1127"/>
      <c r="I35" s="1127"/>
      <c r="J35" s="1127"/>
      <c r="K35" s="1127"/>
      <c r="L35" s="1127"/>
      <c r="M35" s="1127"/>
      <c r="N35" s="1127"/>
      <c r="O35" s="1127"/>
      <c r="P35" s="1127"/>
      <c r="Q35" s="1127"/>
      <c r="R35" s="1127"/>
      <c r="S35" s="1127"/>
      <c r="T35" s="1127"/>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 customHeight="1">
      <c r="A36" s="113"/>
      <c r="B36" s="1125" t="s">
        <v>951</v>
      </c>
      <c r="C36" s="1126"/>
      <c r="D36" s="1126"/>
      <c r="E36" s="1126"/>
      <c r="F36" s="1126"/>
      <c r="G36" s="1127" t="s">
        <v>952</v>
      </c>
      <c r="H36" s="1127"/>
      <c r="I36" s="1127"/>
      <c r="J36" s="1127"/>
      <c r="K36" s="1127"/>
      <c r="L36" s="1127"/>
      <c r="M36" s="1127"/>
      <c r="N36" s="1127"/>
      <c r="O36" s="1127"/>
      <c r="P36" s="1127"/>
      <c r="Q36" s="1127"/>
      <c r="R36" s="1127"/>
      <c r="S36" s="1127"/>
      <c r="T36" s="1127"/>
      <c r="U36" s="738"/>
      <c r="V36" s="1114" t="s">
        <v>993</v>
      </c>
      <c r="W36" s="1114"/>
      <c r="X36" s="1114"/>
      <c r="Y36" s="1114"/>
      <c r="Z36" s="1114"/>
      <c r="AA36" s="1114"/>
      <c r="AB36" s="1114"/>
      <c r="AC36" s="1114"/>
      <c r="AD36" s="1114"/>
      <c r="AE36" s="1114"/>
      <c r="AF36" s="1114"/>
      <c r="AG36" s="753"/>
      <c r="AH36" s="1108" t="s">
        <v>1247</v>
      </c>
      <c r="AI36" s="1108"/>
      <c r="AJ36" s="1108"/>
      <c r="AK36" s="1108"/>
      <c r="AL36" s="1108"/>
      <c r="AM36" s="1108"/>
      <c r="AN36" s="1108"/>
      <c r="AO36" s="1108"/>
      <c r="AP36" s="1108"/>
      <c r="AQ36" s="1108"/>
      <c r="AR36" s="1108"/>
      <c r="AS36" s="1108"/>
      <c r="AT36" s="1108"/>
      <c r="AU36" s="1108"/>
      <c r="AV36" s="1108"/>
      <c r="AW36" s="1108"/>
      <c r="AX36" s="1108"/>
      <c r="AY36" s="1108"/>
      <c r="AZ36" s="1108"/>
      <c r="BA36" s="1108"/>
      <c r="BB36" s="688"/>
      <c r="BC36" s="113"/>
    </row>
    <row r="37" spans="1:55" s="54" customFormat="1" ht="12.9" customHeight="1">
      <c r="A37" s="113"/>
      <c r="B37" s="1125"/>
      <c r="C37" s="1126"/>
      <c r="D37" s="1126"/>
      <c r="E37" s="1126"/>
      <c r="F37" s="1126"/>
      <c r="G37" s="1127"/>
      <c r="H37" s="1127"/>
      <c r="I37" s="1127"/>
      <c r="J37" s="1127"/>
      <c r="K37" s="1127"/>
      <c r="L37" s="1127"/>
      <c r="M37" s="1127"/>
      <c r="N37" s="1127"/>
      <c r="O37" s="1127"/>
      <c r="P37" s="1127"/>
      <c r="Q37" s="1127"/>
      <c r="R37" s="1127"/>
      <c r="S37" s="1127"/>
      <c r="T37" s="1127"/>
      <c r="U37" s="738"/>
      <c r="V37" s="1114" t="s">
        <v>975</v>
      </c>
      <c r="W37" s="1114"/>
      <c r="X37" s="1114"/>
      <c r="Y37" s="1114"/>
      <c r="Z37" s="1114"/>
      <c r="AA37" s="1114"/>
      <c r="AB37" s="1114"/>
      <c r="AC37" s="1114"/>
      <c r="AD37" s="1114"/>
      <c r="AE37" s="1114"/>
      <c r="AF37" s="1114"/>
      <c r="AG37" s="753"/>
      <c r="AH37" s="1108"/>
      <c r="AI37" s="1108"/>
      <c r="AJ37" s="1108"/>
      <c r="AK37" s="1108"/>
      <c r="AL37" s="1108"/>
      <c r="AM37" s="1108"/>
      <c r="AN37" s="1108"/>
      <c r="AO37" s="1108"/>
      <c r="AP37" s="1108"/>
      <c r="AQ37" s="1108"/>
      <c r="AR37" s="1108"/>
      <c r="AS37" s="1108"/>
      <c r="AT37" s="1108"/>
      <c r="AU37" s="1108"/>
      <c r="AV37" s="1108"/>
      <c r="AW37" s="1108"/>
      <c r="AX37" s="1108"/>
      <c r="AY37" s="1108"/>
      <c r="AZ37" s="1108"/>
      <c r="BA37" s="1108"/>
      <c r="BB37" s="688"/>
      <c r="BC37" s="113"/>
    </row>
    <row r="38" spans="1:55" s="54" customFormat="1" ht="12.9" customHeight="1">
      <c r="A38" s="113"/>
      <c r="B38" s="1125"/>
      <c r="C38" s="1126"/>
      <c r="D38" s="1126"/>
      <c r="E38" s="1126"/>
      <c r="F38" s="1126"/>
      <c r="G38" s="1127"/>
      <c r="H38" s="1127"/>
      <c r="I38" s="1127"/>
      <c r="J38" s="1127"/>
      <c r="K38" s="1127"/>
      <c r="L38" s="1127"/>
      <c r="M38" s="1127"/>
      <c r="N38" s="1127"/>
      <c r="O38" s="1127"/>
      <c r="P38" s="1127"/>
      <c r="Q38" s="1127"/>
      <c r="R38" s="1127"/>
      <c r="S38" s="1127"/>
      <c r="T38" s="1127"/>
      <c r="U38" s="738"/>
      <c r="V38" s="737"/>
      <c r="W38" s="737"/>
      <c r="X38" s="1112" t="s">
        <v>1018</v>
      </c>
      <c r="Y38" s="1112"/>
      <c r="Z38" s="1112"/>
      <c r="AA38" s="1112"/>
      <c r="AB38" s="1112"/>
      <c r="AC38" s="1112"/>
      <c r="AD38" s="1112"/>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 customHeight="1">
      <c r="A39" s="113"/>
      <c r="B39" s="1125" t="s">
        <v>953</v>
      </c>
      <c r="C39" s="1126"/>
      <c r="D39" s="1126"/>
      <c r="E39" s="1126"/>
      <c r="F39" s="1126"/>
      <c r="G39" s="1127" t="s">
        <v>954</v>
      </c>
      <c r="H39" s="1127"/>
      <c r="I39" s="1127"/>
      <c r="J39" s="1127"/>
      <c r="K39" s="1127"/>
      <c r="L39" s="1127"/>
      <c r="M39" s="1127"/>
      <c r="N39" s="1127"/>
      <c r="O39" s="1127"/>
      <c r="P39" s="1127"/>
      <c r="Q39" s="1127"/>
      <c r="R39" s="1127"/>
      <c r="S39" s="1127"/>
      <c r="T39" s="1127"/>
      <c r="U39" s="738"/>
      <c r="V39" s="737"/>
      <c r="W39" s="1116">
        <v>0.01</v>
      </c>
      <c r="X39" s="1116"/>
      <c r="Y39" s="1116"/>
      <c r="Z39" s="1102" t="s">
        <v>789</v>
      </c>
      <c r="AA39" s="1103"/>
      <c r="AB39" s="1104"/>
      <c r="AC39" s="735" t="s">
        <v>880</v>
      </c>
      <c r="AD39" s="737"/>
      <c r="AE39" s="737"/>
      <c r="AF39" s="737"/>
      <c r="AG39" s="737"/>
      <c r="AH39" s="737"/>
      <c r="AI39" s="737"/>
      <c r="AJ39" s="737"/>
      <c r="AK39" s="737"/>
      <c r="AL39" s="736"/>
      <c r="AM39" s="727"/>
      <c r="AN39" s="739"/>
      <c r="AO39" s="1115"/>
      <c r="AP39" s="1115"/>
      <c r="AQ39" s="1115"/>
      <c r="AR39" s="1115"/>
      <c r="AS39" s="1115"/>
      <c r="AT39" s="1115"/>
      <c r="AU39" s="1115"/>
      <c r="AV39" s="1115"/>
      <c r="AW39" s="1115"/>
      <c r="AX39" s="737"/>
      <c r="AY39" s="737"/>
      <c r="AZ39" s="741"/>
      <c r="BA39" s="728"/>
      <c r="BB39" s="688"/>
      <c r="BC39" s="113"/>
    </row>
    <row r="40" spans="1:55" s="54" customFormat="1" ht="12.9" customHeight="1">
      <c r="A40" s="113"/>
      <c r="B40" s="1125"/>
      <c r="C40" s="1126"/>
      <c r="D40" s="1126"/>
      <c r="E40" s="1126"/>
      <c r="F40" s="1126"/>
      <c r="G40" s="1127"/>
      <c r="H40" s="1127"/>
      <c r="I40" s="1127"/>
      <c r="J40" s="1127"/>
      <c r="K40" s="1127"/>
      <c r="L40" s="1127"/>
      <c r="M40" s="1127"/>
      <c r="N40" s="1127"/>
      <c r="O40" s="1127"/>
      <c r="P40" s="1127"/>
      <c r="Q40" s="1127"/>
      <c r="R40" s="1127"/>
      <c r="S40" s="1127"/>
      <c r="T40" s="1127"/>
      <c r="U40" s="738"/>
      <c r="V40" s="737"/>
      <c r="W40" s="737"/>
      <c r="X40" s="737"/>
      <c r="Y40" s="737"/>
      <c r="Z40" s="1102" t="s">
        <v>790</v>
      </c>
      <c r="AA40" s="1103"/>
      <c r="AB40" s="1104"/>
      <c r="AC40" s="1105" t="s">
        <v>943</v>
      </c>
      <c r="AD40" s="1106"/>
      <c r="AE40" s="1106"/>
      <c r="AF40" s="737"/>
      <c r="AG40" s="737"/>
      <c r="AH40" s="737"/>
      <c r="AI40" s="737"/>
      <c r="AJ40" s="737"/>
      <c r="AK40" s="737"/>
      <c r="AL40" s="736"/>
      <c r="AM40" s="727"/>
      <c r="AN40" s="743"/>
      <c r="AO40" s="1115"/>
      <c r="AP40" s="1115"/>
      <c r="AQ40" s="1115"/>
      <c r="AR40" s="1115"/>
      <c r="AS40" s="1115"/>
      <c r="AT40" s="1115"/>
      <c r="AU40" s="1115"/>
      <c r="AV40" s="1115"/>
      <c r="AW40" s="1115"/>
      <c r="AX40" s="737"/>
      <c r="AY40" s="737"/>
      <c r="AZ40" s="741"/>
      <c r="BA40" s="728"/>
      <c r="BB40" s="688"/>
      <c r="BC40" s="113"/>
    </row>
    <row r="41" spans="1:55" s="54" customFormat="1" ht="12.9" customHeight="1">
      <c r="A41" s="113"/>
      <c r="B41" s="1125"/>
      <c r="C41" s="1126"/>
      <c r="D41" s="1126"/>
      <c r="E41" s="1126"/>
      <c r="F41" s="1126"/>
      <c r="G41" s="1127"/>
      <c r="H41" s="1127"/>
      <c r="I41" s="1127"/>
      <c r="J41" s="1127"/>
      <c r="K41" s="1127"/>
      <c r="L41" s="1127"/>
      <c r="M41" s="1127"/>
      <c r="N41" s="1127"/>
      <c r="O41" s="1127"/>
      <c r="P41" s="1127"/>
      <c r="Q41" s="1127"/>
      <c r="R41" s="1127"/>
      <c r="S41" s="1127"/>
      <c r="T41" s="1127"/>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 customHeight="1">
      <c r="A42" s="113"/>
      <c r="B42" s="700"/>
      <c r="U42" s="738"/>
      <c r="V42" s="1114" t="s">
        <v>992</v>
      </c>
      <c r="W42" s="1114"/>
      <c r="X42" s="1114"/>
      <c r="Y42" s="1114"/>
      <c r="Z42" s="1114"/>
      <c r="AA42" s="1114"/>
      <c r="AB42" s="1114"/>
      <c r="AC42" s="1114"/>
      <c r="AD42" s="1114"/>
      <c r="AE42" s="1114"/>
      <c r="AF42" s="1114"/>
      <c r="AG42" s="737"/>
      <c r="AH42" s="1115" t="s">
        <v>1246</v>
      </c>
      <c r="AI42" s="1115"/>
      <c r="AJ42" s="1115"/>
      <c r="AK42" s="1115"/>
      <c r="AL42" s="1115"/>
      <c r="AM42" s="1115"/>
      <c r="AN42" s="1115"/>
      <c r="AO42" s="1115"/>
      <c r="AP42" s="1115"/>
      <c r="AQ42" s="1115"/>
      <c r="AR42" s="1115"/>
      <c r="AS42" s="1115"/>
      <c r="AT42" s="1115"/>
      <c r="AU42" s="1115"/>
      <c r="AV42" s="1115"/>
      <c r="AW42" s="1115"/>
      <c r="BB42" s="688"/>
      <c r="BC42" s="113"/>
    </row>
    <row r="43" spans="1:55" s="54" customFormat="1" ht="12.9" customHeight="1">
      <c r="A43" s="113"/>
      <c r="B43" s="700"/>
      <c r="U43" s="738"/>
      <c r="V43" s="1114" t="s">
        <v>945</v>
      </c>
      <c r="W43" s="1114"/>
      <c r="X43" s="1114"/>
      <c r="Y43" s="1114"/>
      <c r="Z43" s="1114"/>
      <c r="AA43" s="1114"/>
      <c r="AB43" s="1114"/>
      <c r="AC43" s="1114"/>
      <c r="AD43" s="1114"/>
      <c r="AE43" s="1114"/>
      <c r="AF43" s="1114"/>
      <c r="AG43" s="753"/>
      <c r="AH43" s="1115"/>
      <c r="AI43" s="1115"/>
      <c r="AJ43" s="1115"/>
      <c r="AK43" s="1115"/>
      <c r="AL43" s="1115"/>
      <c r="AM43" s="1115"/>
      <c r="AN43" s="1115"/>
      <c r="AO43" s="1115"/>
      <c r="AP43" s="1115"/>
      <c r="AQ43" s="1115"/>
      <c r="AR43" s="1115"/>
      <c r="AS43" s="1115"/>
      <c r="AT43" s="1115"/>
      <c r="AU43" s="1115"/>
      <c r="AV43" s="1115"/>
      <c r="AW43" s="1115"/>
      <c r="AX43" s="1122"/>
      <c r="AY43" s="1123"/>
      <c r="AZ43" s="1124"/>
      <c r="BA43" s="728"/>
      <c r="BB43" s="688"/>
      <c r="BC43" s="113"/>
    </row>
    <row r="44" spans="1:55" s="54" customFormat="1" ht="12.9" customHeight="1">
      <c r="A44" s="113"/>
      <c r="B44" s="700"/>
      <c r="C44" s="920" t="s">
        <v>1080</v>
      </c>
      <c r="D44" s="731"/>
      <c r="E44" s="731"/>
      <c r="U44" s="738"/>
      <c r="V44" s="737"/>
      <c r="W44" s="737"/>
      <c r="X44" s="1112" t="s">
        <v>1018</v>
      </c>
      <c r="Y44" s="1112"/>
      <c r="Z44" s="1112"/>
      <c r="AA44" s="1112"/>
      <c r="AB44" s="1112"/>
      <c r="AC44" s="1112"/>
      <c r="AD44" s="1112"/>
      <c r="AE44" s="737"/>
      <c r="AF44" s="737"/>
      <c r="AG44" s="753"/>
      <c r="AH44" s="1115"/>
      <c r="AI44" s="1115"/>
      <c r="AJ44" s="1115"/>
      <c r="AK44" s="1115"/>
      <c r="AL44" s="1115"/>
      <c r="AM44" s="1115"/>
      <c r="AN44" s="1115"/>
      <c r="AO44" s="1115"/>
      <c r="AP44" s="1115"/>
      <c r="AQ44" s="1115"/>
      <c r="AR44" s="1115"/>
      <c r="AS44" s="1115"/>
      <c r="AT44" s="1115"/>
      <c r="AU44" s="1115"/>
      <c r="AV44" s="1115"/>
      <c r="AW44" s="1115"/>
      <c r="AX44" s="725"/>
      <c r="AY44" s="725"/>
      <c r="AZ44" s="725"/>
      <c r="BA44" s="728"/>
      <c r="BB44" s="688"/>
      <c r="BC44" s="113"/>
    </row>
    <row r="45" spans="1:55" s="54" customFormat="1" ht="12.9" customHeight="1">
      <c r="A45" s="113"/>
      <c r="B45" s="700"/>
      <c r="C45" s="921" t="s">
        <v>1081</v>
      </c>
      <c r="D45" s="731"/>
      <c r="E45" s="731"/>
      <c r="F45" s="731"/>
      <c r="G45" s="731"/>
      <c r="H45" s="731"/>
      <c r="I45" s="731"/>
      <c r="J45" s="731"/>
      <c r="K45" s="731"/>
      <c r="L45" s="731"/>
      <c r="M45" s="731"/>
      <c r="N45" s="731"/>
      <c r="O45" s="731"/>
      <c r="P45" s="731"/>
      <c r="Q45" s="731"/>
      <c r="R45" s="731"/>
      <c r="S45" s="731"/>
      <c r="T45" s="731"/>
      <c r="U45" s="731"/>
      <c r="V45" s="737"/>
      <c r="W45" s="1119">
        <v>2.5000000000000001E-3</v>
      </c>
      <c r="X45" s="1120"/>
      <c r="Y45" s="1121"/>
      <c r="Z45" s="1103" t="s">
        <v>788</v>
      </c>
      <c r="AA45" s="1103"/>
      <c r="AB45" s="1104"/>
      <c r="AC45" s="735" t="s">
        <v>880</v>
      </c>
      <c r="AD45" s="737"/>
      <c r="AE45" s="737"/>
      <c r="AF45" s="737"/>
      <c r="AG45" s="753"/>
      <c r="AH45" s="753"/>
      <c r="AI45" s="1118" t="s">
        <v>1245</v>
      </c>
      <c r="AJ45" s="1118"/>
      <c r="AK45" s="1118"/>
      <c r="AL45" s="1118"/>
      <c r="AM45" s="1118"/>
      <c r="AN45" s="1118"/>
      <c r="AO45" s="1118"/>
      <c r="AP45" s="1118"/>
      <c r="AQ45" s="1118"/>
      <c r="AR45" s="1118"/>
      <c r="AS45" s="1118"/>
      <c r="AT45" s="1118"/>
      <c r="AU45" s="1118"/>
      <c r="AV45" s="1118"/>
      <c r="AW45" s="1118"/>
      <c r="AX45" s="1078"/>
      <c r="AY45" s="728"/>
      <c r="AZ45" s="728"/>
      <c r="BA45" s="728"/>
      <c r="BB45" s="688"/>
      <c r="BC45" s="113"/>
    </row>
    <row r="46" spans="1:55" s="54" customFormat="1" ht="12.9" customHeight="1">
      <c r="A46" s="113"/>
      <c r="B46" s="700"/>
      <c r="C46" s="732" t="s">
        <v>1098</v>
      </c>
      <c r="D46" s="732"/>
      <c r="E46" s="732"/>
      <c r="F46" s="731"/>
      <c r="G46" s="731"/>
      <c r="H46" s="731"/>
      <c r="I46" s="731"/>
      <c r="J46" s="731"/>
      <c r="K46" s="731"/>
      <c r="L46" s="731"/>
      <c r="M46" s="731"/>
      <c r="N46" s="731"/>
      <c r="O46" s="731"/>
      <c r="P46" s="731"/>
      <c r="Q46" s="731"/>
      <c r="R46" s="731"/>
      <c r="S46" s="731"/>
      <c r="T46" s="731"/>
      <c r="U46" s="731"/>
      <c r="V46" s="737"/>
      <c r="W46" s="737"/>
      <c r="X46" s="737"/>
      <c r="Y46" s="737"/>
      <c r="Z46" s="1102" t="s">
        <v>837</v>
      </c>
      <c r="AA46" s="1103"/>
      <c r="AB46" s="1104"/>
      <c r="AC46" s="1105" t="s">
        <v>1019</v>
      </c>
      <c r="AD46" s="1106"/>
      <c r="AE46" s="1106"/>
      <c r="AF46" s="737"/>
      <c r="AG46" s="737"/>
      <c r="AH46" s="737"/>
      <c r="AI46" s="1118"/>
      <c r="AJ46" s="1118"/>
      <c r="AK46" s="1118"/>
      <c r="AL46" s="1118"/>
      <c r="AM46" s="1118"/>
      <c r="AN46" s="1118"/>
      <c r="AO46" s="1118"/>
      <c r="AP46" s="1118"/>
      <c r="AQ46" s="1118"/>
      <c r="AR46" s="1118"/>
      <c r="AS46" s="1118"/>
      <c r="AT46" s="1118"/>
      <c r="AU46" s="1118"/>
      <c r="AV46" s="1118"/>
      <c r="AW46" s="1118"/>
      <c r="AX46" s="1117">
        <v>7</v>
      </c>
      <c r="AY46" s="1117"/>
      <c r="AZ46" s="1117"/>
      <c r="BA46" s="728"/>
      <c r="BB46" s="688"/>
      <c r="BC46" s="113"/>
    </row>
    <row r="47" spans="1:55" s="54" customFormat="1" ht="12.9" customHeight="1">
      <c r="A47" s="113"/>
      <c r="B47" s="700"/>
      <c r="C47" s="922" t="s">
        <v>1082</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18"/>
      <c r="AJ47" s="1118"/>
      <c r="AK47" s="1118"/>
      <c r="AL47" s="1118"/>
      <c r="AM47" s="1118"/>
      <c r="AN47" s="1118"/>
      <c r="AO47" s="1118"/>
      <c r="AP47" s="1118"/>
      <c r="AQ47" s="1118"/>
      <c r="AR47" s="1118"/>
      <c r="AS47" s="1118"/>
      <c r="AT47" s="1118"/>
      <c r="AU47" s="1118"/>
      <c r="AV47" s="1118"/>
      <c r="AW47" s="1118"/>
      <c r="AX47" s="742"/>
      <c r="AY47" s="742"/>
      <c r="AZ47" s="742"/>
      <c r="BA47" s="728"/>
      <c r="BB47" s="688"/>
      <c r="BC47" s="113"/>
    </row>
    <row r="48" spans="1:55" s="54" customFormat="1" ht="12.9" customHeight="1">
      <c r="A48" s="113"/>
      <c r="B48" s="701"/>
      <c r="C48" s="922" t="s">
        <v>1258</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15" t="s">
        <v>1256</v>
      </c>
      <c r="AE48" s="1115"/>
      <c r="AF48" s="1115"/>
      <c r="AG48" s="1115"/>
      <c r="AH48" s="1115"/>
      <c r="AI48" s="1115"/>
      <c r="AJ48" s="1115"/>
      <c r="AK48" s="1115"/>
      <c r="AL48" s="1115"/>
      <c r="AM48" s="1115"/>
      <c r="AN48" s="1115"/>
      <c r="AO48" s="1115"/>
      <c r="AP48" s="1115"/>
      <c r="AQ48" s="1115"/>
      <c r="AR48" s="1115"/>
      <c r="AS48" s="1115"/>
      <c r="AT48" s="1115"/>
      <c r="AU48" s="1115"/>
      <c r="AV48" s="1115"/>
      <c r="AW48" s="1115"/>
      <c r="AX48" s="1114" t="s">
        <v>936</v>
      </c>
      <c r="AY48" s="1114"/>
      <c r="AZ48" s="1114"/>
      <c r="BA48" s="728"/>
      <c r="BB48" s="688"/>
      <c r="BC48" s="113"/>
    </row>
    <row r="49" spans="1:55" s="54" customFormat="1" ht="12.9" customHeight="1">
      <c r="A49" s="113"/>
      <c r="B49" s="701"/>
      <c r="C49" s="923" t="s">
        <v>1084</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15"/>
      <c r="AE49" s="1115"/>
      <c r="AF49" s="1115"/>
      <c r="AG49" s="1115"/>
      <c r="AH49" s="1115"/>
      <c r="AI49" s="1115"/>
      <c r="AJ49" s="1115"/>
      <c r="AK49" s="1115"/>
      <c r="AL49" s="1115"/>
      <c r="AM49" s="1115"/>
      <c r="AN49" s="1115"/>
      <c r="AO49" s="1115"/>
      <c r="AP49" s="1115"/>
      <c r="AQ49" s="1115"/>
      <c r="AR49" s="1115"/>
      <c r="AS49" s="1115"/>
      <c r="AT49" s="1115"/>
      <c r="AU49" s="1115"/>
      <c r="AV49" s="1115"/>
      <c r="AW49" s="1115"/>
      <c r="AX49" s="1114"/>
      <c r="AY49" s="1114"/>
      <c r="AZ49" s="1114"/>
      <c r="BA49" s="728"/>
      <c r="BB49" s="688"/>
      <c r="BC49" s="113"/>
    </row>
    <row r="50" spans="1:55" s="54" customFormat="1" ht="12.9" customHeight="1">
      <c r="A50" s="113"/>
      <c r="B50" s="701"/>
      <c r="C50" s="922" t="s">
        <v>1083</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15"/>
      <c r="AE50" s="1115"/>
      <c r="AF50" s="1115"/>
      <c r="AG50" s="1115"/>
      <c r="AH50" s="1115"/>
      <c r="AI50" s="1115"/>
      <c r="AJ50" s="1115"/>
      <c r="AK50" s="1115"/>
      <c r="AL50" s="1115"/>
      <c r="AM50" s="1115"/>
      <c r="AN50" s="1115"/>
      <c r="AO50" s="1115"/>
      <c r="AP50" s="1115"/>
      <c r="AQ50" s="1115"/>
      <c r="AR50" s="1115"/>
      <c r="AS50" s="1115"/>
      <c r="AT50" s="1115"/>
      <c r="AU50" s="1115"/>
      <c r="AV50" s="1115"/>
      <c r="AW50" s="1115"/>
      <c r="AX50" s="1114"/>
      <c r="AY50" s="1114"/>
      <c r="AZ50" s="1114"/>
      <c r="BA50" s="728"/>
      <c r="BB50" s="688"/>
      <c r="BC50" s="113"/>
    </row>
    <row r="51" spans="1:55" s="54" customFormat="1" ht="12.9" customHeight="1">
      <c r="A51" s="113"/>
      <c r="B51" s="701"/>
      <c r="C51" s="922" t="s">
        <v>1214</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15"/>
      <c r="AE51" s="1115"/>
      <c r="AF51" s="1115"/>
      <c r="AG51" s="1115"/>
      <c r="AH51" s="1115"/>
      <c r="AI51" s="1115"/>
      <c r="AJ51" s="1115"/>
      <c r="AK51" s="1115"/>
      <c r="AL51" s="1115"/>
      <c r="AM51" s="1115"/>
      <c r="AN51" s="1115"/>
      <c r="AO51" s="1115"/>
      <c r="AP51" s="1115"/>
      <c r="AQ51" s="1115"/>
      <c r="AR51" s="1115"/>
      <c r="AS51" s="1115"/>
      <c r="AT51" s="1115"/>
      <c r="AU51" s="1115"/>
      <c r="AV51" s="1115"/>
      <c r="AW51" s="1115"/>
      <c r="AX51" s="1114"/>
      <c r="AY51" s="1114"/>
      <c r="AZ51" s="1114"/>
      <c r="BA51" s="728"/>
      <c r="BB51" s="688"/>
      <c r="BC51" s="113"/>
    </row>
    <row r="52" spans="1:55" s="54" customFormat="1" ht="12.9"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15"/>
      <c r="AE52" s="1115"/>
      <c r="AF52" s="1115"/>
      <c r="AG52" s="1115"/>
      <c r="AH52" s="1115"/>
      <c r="AI52" s="1115"/>
      <c r="AJ52" s="1115"/>
      <c r="AK52" s="1115"/>
      <c r="AL52" s="1115"/>
      <c r="AM52" s="1115"/>
      <c r="AN52" s="1115"/>
      <c r="AO52" s="1115"/>
      <c r="AP52" s="1115"/>
      <c r="AQ52" s="1115"/>
      <c r="AR52" s="1115"/>
      <c r="AS52" s="1115"/>
      <c r="AT52" s="1115"/>
      <c r="AU52" s="1115"/>
      <c r="AV52" s="1115"/>
      <c r="AW52" s="1115"/>
      <c r="AX52" s="1114"/>
      <c r="AY52" s="1114"/>
      <c r="AZ52" s="1114"/>
      <c r="BA52" s="277"/>
      <c r="BB52" s="688"/>
      <c r="BC52" s="113"/>
    </row>
    <row r="53" spans="1:55" s="54" customFormat="1" ht="12.9" customHeight="1" thickBot="1">
      <c r="A53" s="113"/>
      <c r="B53" s="702"/>
      <c r="C53" s="703"/>
      <c r="D53" s="703"/>
      <c r="E53" s="703"/>
      <c r="F53" s="703"/>
      <c r="G53" s="703"/>
      <c r="H53" s="703"/>
      <c r="I53" s="703"/>
      <c r="J53" s="703"/>
      <c r="K53" s="703"/>
      <c r="L53" s="703"/>
      <c r="M53" s="703"/>
      <c r="N53" s="703"/>
      <c r="O53" s="703"/>
      <c r="P53" s="703"/>
      <c r="Q53" s="703"/>
      <c r="R53" s="703"/>
      <c r="S53" s="703"/>
      <c r="T53" s="754" t="s">
        <v>1003</v>
      </c>
      <c r="U53" s="704" t="s">
        <v>84</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8"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1005</v>
      </c>
      <c r="AD56" s="299" t="s">
        <v>1005</v>
      </c>
      <c r="AI56" s="54" t="s">
        <v>234</v>
      </c>
    </row>
    <row r="57" spans="1:55" hidden="1">
      <c r="V57" s="299" t="s">
        <v>1006</v>
      </c>
      <c r="AD57" s="299" t="s">
        <v>1008</v>
      </c>
      <c r="AI57" s="54" t="s">
        <v>170</v>
      </c>
    </row>
    <row r="58" spans="1:55" hidden="1">
      <c r="V58" s="299" t="s">
        <v>1007</v>
      </c>
      <c r="AD58" s="299" t="s">
        <v>1009</v>
      </c>
      <c r="AI58" s="54" t="s">
        <v>169</v>
      </c>
    </row>
    <row r="59" spans="1:55" hidden="1">
      <c r="V59" s="299" t="s">
        <v>1011</v>
      </c>
      <c r="AD59" s="299" t="s">
        <v>1010</v>
      </c>
      <c r="AI59" s="111" t="s">
        <v>220</v>
      </c>
    </row>
    <row r="60" spans="1:55" hidden="1">
      <c r="V60" s="299" t="s">
        <v>1013</v>
      </c>
      <c r="AD60" s="299" t="s">
        <v>1013</v>
      </c>
      <c r="AI60" s="111" t="s">
        <v>260</v>
      </c>
    </row>
    <row r="61" spans="1:55" hidden="1">
      <c r="AI61" s="54" t="s">
        <v>172</v>
      </c>
    </row>
    <row r="62" spans="1:55" hidden="1">
      <c r="AI62" s="54" t="s">
        <v>171</v>
      </c>
    </row>
    <row r="63" spans="1:55" hidden="1">
      <c r="AI63" s="111" t="s">
        <v>221</v>
      </c>
    </row>
    <row r="64" spans="1:55" hidden="1">
      <c r="AI64" s="54" t="s">
        <v>173</v>
      </c>
    </row>
    <row r="65" spans="35:35" hidden="1">
      <c r="AI65" s="54" t="s">
        <v>174</v>
      </c>
    </row>
    <row r="66" spans="35:35" hidden="1">
      <c r="AI66" s="111" t="s">
        <v>261</v>
      </c>
    </row>
    <row r="67" spans="35:35" hidden="1">
      <c r="AI67" s="54" t="s">
        <v>175</v>
      </c>
    </row>
    <row r="68" spans="35:35" hidden="1">
      <c r="AI68" s="54" t="s">
        <v>177</v>
      </c>
    </row>
    <row r="69" spans="35:35" hidden="1">
      <c r="AI69" s="54" t="s">
        <v>176</v>
      </c>
    </row>
    <row r="70" spans="35:35" hidden="1">
      <c r="AI70" s="54" t="s">
        <v>178</v>
      </c>
    </row>
    <row r="71" spans="35:35" hidden="1">
      <c r="AI71" s="54" t="s">
        <v>179</v>
      </c>
    </row>
    <row r="72" spans="35:35" hidden="1">
      <c r="AI72" s="111" t="s">
        <v>259</v>
      </c>
    </row>
    <row r="73" spans="35:35" hidden="1">
      <c r="AI73" s="54" t="s">
        <v>180</v>
      </c>
    </row>
    <row r="74" spans="35:35" hidden="1">
      <c r="AI74" s="54" t="s">
        <v>182</v>
      </c>
    </row>
    <row r="75" spans="35:35" hidden="1">
      <c r="AI75" s="54" t="s">
        <v>183</v>
      </c>
    </row>
    <row r="76" spans="35:35" hidden="1">
      <c r="AI76" s="54" t="s">
        <v>184</v>
      </c>
    </row>
    <row r="77" spans="35:35" hidden="1">
      <c r="AI77" s="111" t="s">
        <v>238</v>
      </c>
    </row>
    <row r="78" spans="35:35" hidden="1">
      <c r="AI78" s="54" t="s">
        <v>181</v>
      </c>
    </row>
    <row r="79" spans="35:35" hidden="1">
      <c r="AI79" s="54" t="s">
        <v>185</v>
      </c>
    </row>
    <row r="80" spans="35:35" hidden="1">
      <c r="AI80" s="54" t="s">
        <v>186</v>
      </c>
    </row>
    <row r="81" spans="35:35" hidden="1">
      <c r="AI81" s="111" t="s">
        <v>222</v>
      </c>
    </row>
    <row r="82" spans="35:35" hidden="1">
      <c r="AI82" s="54" t="s">
        <v>187</v>
      </c>
    </row>
    <row r="83" spans="35:35" hidden="1">
      <c r="AI83" s="54" t="s">
        <v>190</v>
      </c>
    </row>
    <row r="84" spans="35:35" hidden="1">
      <c r="AI84" s="111" t="s">
        <v>223</v>
      </c>
    </row>
    <row r="85" spans="35:35" hidden="1">
      <c r="AI85" s="54" t="s">
        <v>189</v>
      </c>
    </row>
    <row r="86" spans="35:35" hidden="1">
      <c r="AI86" s="54" t="s">
        <v>188</v>
      </c>
    </row>
    <row r="87" spans="35:35" hidden="1">
      <c r="AI87" s="54" t="s">
        <v>191</v>
      </c>
    </row>
    <row r="88" spans="35:35" hidden="1">
      <c r="AI88" s="54" t="s">
        <v>192</v>
      </c>
    </row>
    <row r="89" spans="35:35" hidden="1">
      <c r="AI89" s="54" t="s">
        <v>194</v>
      </c>
    </row>
    <row r="90" spans="35:35" hidden="1">
      <c r="AI90" s="54" t="s">
        <v>193</v>
      </c>
    </row>
    <row r="91" spans="35:35" hidden="1">
      <c r="AI91" s="54" t="s">
        <v>195</v>
      </c>
    </row>
    <row r="92" spans="35:35" hidden="1">
      <c r="AI92" s="54" t="s">
        <v>198</v>
      </c>
    </row>
    <row r="93" spans="35:35" hidden="1">
      <c r="AI93" s="54" t="s">
        <v>202</v>
      </c>
    </row>
    <row r="94" spans="35:35" hidden="1">
      <c r="AI94" s="111" t="s">
        <v>224</v>
      </c>
    </row>
    <row r="95" spans="35:35" hidden="1">
      <c r="AI95" s="54" t="s">
        <v>199</v>
      </c>
    </row>
    <row r="96" spans="35:35" hidden="1">
      <c r="AI96" s="54" t="s">
        <v>200</v>
      </c>
    </row>
    <row r="97" spans="35:35" hidden="1">
      <c r="AI97" s="54" t="s">
        <v>201</v>
      </c>
    </row>
    <row r="98" spans="35:35" hidden="1">
      <c r="AI98" s="54" t="s">
        <v>203</v>
      </c>
    </row>
    <row r="99" spans="35:35" hidden="1">
      <c r="AI99" s="111" t="s">
        <v>225</v>
      </c>
    </row>
    <row r="100" spans="35:35" hidden="1">
      <c r="AI100" s="54" t="s">
        <v>196</v>
      </c>
    </row>
    <row r="101" spans="35:35" hidden="1">
      <c r="AI101" s="54" t="s">
        <v>197</v>
      </c>
    </row>
    <row r="102" spans="35:35" hidden="1">
      <c r="AI102" s="111" t="s">
        <v>228</v>
      </c>
    </row>
    <row r="103" spans="35:35" hidden="1">
      <c r="AI103" s="111" t="s">
        <v>226</v>
      </c>
    </row>
    <row r="104" spans="35:35" hidden="1">
      <c r="AI104" s="111" t="s">
        <v>227</v>
      </c>
    </row>
    <row r="105" spans="35:35" hidden="1">
      <c r="AI105" s="54" t="s">
        <v>204</v>
      </c>
    </row>
    <row r="106" spans="35:35" hidden="1">
      <c r="AI106" s="54" t="s">
        <v>205</v>
      </c>
    </row>
    <row r="107" spans="35:35" hidden="1">
      <c r="AI107" s="111" t="s">
        <v>229</v>
      </c>
    </row>
    <row r="108" spans="35:35" hidden="1">
      <c r="AI108" s="54" t="s">
        <v>206</v>
      </c>
    </row>
    <row r="109" spans="35:35" hidden="1">
      <c r="AI109" s="54" t="s">
        <v>207</v>
      </c>
    </row>
    <row r="110" spans="35:35" hidden="1">
      <c r="AI110" s="111" t="s">
        <v>230</v>
      </c>
    </row>
    <row r="111" spans="35:35" hidden="1">
      <c r="AI111" s="299" t="s">
        <v>768</v>
      </c>
    </row>
    <row r="112" spans="35:35" hidden="1">
      <c r="AI112" s="111" t="s">
        <v>231</v>
      </c>
    </row>
    <row r="113" spans="35:35" hidden="1">
      <c r="AI113" s="54" t="s">
        <v>208</v>
      </c>
    </row>
    <row r="114" spans="35:35" hidden="1">
      <c r="AI114" s="111" t="s">
        <v>232</v>
      </c>
    </row>
    <row r="115" spans="35:35" hidden="1">
      <c r="AI115" s="54" t="s">
        <v>209</v>
      </c>
    </row>
    <row r="116" spans="35:35" hidden="1">
      <c r="AI116" s="54" t="s">
        <v>210</v>
      </c>
    </row>
    <row r="117" spans="35:35" hidden="1">
      <c r="AI117" s="54" t="s">
        <v>211</v>
      </c>
    </row>
    <row r="118" spans="35:35" hidden="1">
      <c r="AI118" s="54" t="s">
        <v>212</v>
      </c>
    </row>
    <row r="119" spans="35:35" hidden="1">
      <c r="AI119" s="197" t="s">
        <v>769</v>
      </c>
    </row>
    <row r="120" spans="35:35" hidden="1">
      <c r="AI120" s="54" t="s">
        <v>213</v>
      </c>
    </row>
    <row r="121" spans="35:35" hidden="1">
      <c r="AI121" s="54" t="s">
        <v>215</v>
      </c>
    </row>
    <row r="122" spans="35:35" hidden="1">
      <c r="AI122" s="54" t="s">
        <v>214</v>
      </c>
    </row>
    <row r="123" spans="35:35" hidden="1">
      <c r="AI123" s="54" t="s">
        <v>216</v>
      </c>
    </row>
    <row r="124" spans="35:35" hidden="1">
      <c r="AI124" s="111" t="s">
        <v>218</v>
      </c>
    </row>
    <row r="125" spans="35:35" hidden="1">
      <c r="AI125" s="54" t="s">
        <v>217</v>
      </c>
    </row>
    <row r="126" spans="35:35" hidden="1">
      <c r="AI126" s="111" t="s">
        <v>219</v>
      </c>
    </row>
    <row r="127" spans="35:35" hidden="1">
      <c r="AI127" s="111" t="s">
        <v>233</v>
      </c>
    </row>
    <row r="128" spans="35:35" hidden="1">
      <c r="AI128" s="299"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110" zoomScaleNormal="110" workbookViewId="0">
      <pane ySplit="9" topLeftCell="A10" activePane="bottomLeft" state="frozen"/>
      <selection pane="bottomLeft" activeCell="D77" sqref="D77"/>
    </sheetView>
  </sheetViews>
  <sheetFormatPr defaultColWidth="1.109375" defaultRowHeight="13.2" zeroHeight="1"/>
  <cols>
    <col min="1" max="1" width="1.109375" style="59" customWidth="1"/>
    <col min="2" max="2" width="8.109375" style="671" customWidth="1"/>
    <col min="3" max="3" width="46.109375" style="59" customWidth="1"/>
    <col min="4" max="4" width="3.109375" style="59" customWidth="1"/>
    <col min="5" max="5" width="3.109375" style="615" customWidth="1"/>
    <col min="6" max="6" width="3.5546875" style="60" customWidth="1"/>
    <col min="7" max="7" width="0.5546875" style="59" customWidth="1"/>
    <col min="8" max="8" width="16.109375" style="59" customWidth="1"/>
    <col min="9" max="9" width="0.5546875" style="59" customWidth="1"/>
    <col min="10" max="10" width="12.44140625" style="59" customWidth="1"/>
    <col min="11" max="12" width="3.109375" style="59" customWidth="1"/>
    <col min="13" max="13" width="3.5546875" style="59" customWidth="1"/>
    <col min="14" max="14" width="0.5546875" style="59" customWidth="1"/>
    <col min="15" max="15" width="7.109375" style="59" customWidth="1"/>
    <col min="16" max="16" width="9" style="59" customWidth="1"/>
    <col min="17" max="17" width="8" style="59" customWidth="1"/>
    <col min="18" max="18" width="5.5546875" style="59" customWidth="1"/>
    <col min="19" max="19" width="11.6640625" style="59" customWidth="1"/>
    <col min="20" max="20" width="15.5546875" style="59" customWidth="1"/>
    <col min="21" max="21" width="6.88671875" style="264" customWidth="1"/>
    <col min="22" max="22" width="1.44140625" style="59" customWidth="1"/>
    <col min="23" max="23" width="6.5546875" style="59" hidden="1" customWidth="1"/>
    <col min="24" max="24" width="11.5546875" style="59" hidden="1" customWidth="1"/>
    <col min="25" max="25" width="12.109375" style="59" hidden="1" customWidth="1"/>
    <col min="26" max="26" width="15.109375" style="59" hidden="1" customWidth="1"/>
    <col min="27" max="27" width="10.109375" style="59" hidden="1" customWidth="1"/>
    <col min="28" max="28" width="8.88671875" style="310" hidden="1" customWidth="1"/>
    <col min="29" max="29" width="10.88671875" style="310" hidden="1" customWidth="1"/>
    <col min="30" max="30" width="11.44140625" style="310" hidden="1" customWidth="1"/>
    <col min="31" max="31" width="10.44140625" style="310" hidden="1" customWidth="1"/>
    <col min="32" max="39" width="8.88671875" style="59" hidden="1" customWidth="1"/>
    <col min="40" max="260" width="8.88671875" style="59" customWidth="1"/>
    <col min="261" max="16384" width="1.10937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94" t="s">
        <v>1194</v>
      </c>
      <c r="C2" s="1195"/>
      <c r="D2" s="1195"/>
      <c r="E2" s="1195"/>
      <c r="F2" s="1195"/>
      <c r="G2" s="1195"/>
      <c r="H2" s="1195"/>
      <c r="I2" s="1195"/>
      <c r="J2" s="1195"/>
      <c r="K2" s="1195"/>
      <c r="L2" s="1195"/>
      <c r="M2" s="1195"/>
      <c r="N2" s="1195"/>
      <c r="O2" s="1195"/>
      <c r="P2" s="1195"/>
      <c r="Q2" s="1195"/>
      <c r="R2" s="1195"/>
      <c r="S2" s="1195"/>
      <c r="T2" s="1195"/>
      <c r="U2" s="1196"/>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66</v>
      </c>
      <c r="D4" s="1198" t="str">
        <f>IF(ISBLANK('Start Page'!AB9),"&lt;&lt; Please enter system details on the Start Page &gt;&gt;",'Start Page'!AB9&amp;IF(ISBLANK('Start Page'!AM28),"","  ("&amp;'Start Page'!AM28&amp;")"))</f>
        <v>&lt;&lt; Please enter system details on the Start Page &gt;&gt;</v>
      </c>
      <c r="E4" s="1199"/>
      <c r="F4" s="1199"/>
      <c r="G4" s="1199"/>
      <c r="H4" s="1200"/>
      <c r="I4" s="1200"/>
      <c r="J4" s="1200"/>
      <c r="K4" s="1200"/>
      <c r="L4" s="1200"/>
      <c r="M4" s="1200"/>
      <c r="N4" s="1200"/>
      <c r="O4" s="1200"/>
      <c r="P4" s="1201"/>
      <c r="Q4" s="59"/>
      <c r="R4" s="59"/>
      <c r="U4" s="322"/>
      <c r="V4" s="113"/>
      <c r="AB4" s="297"/>
      <c r="AC4" s="297"/>
      <c r="AD4" s="297"/>
      <c r="AE4" s="297"/>
    </row>
    <row r="5" spans="1:33" s="54" customFormat="1">
      <c r="A5" s="113"/>
      <c r="B5" s="665"/>
      <c r="C5" s="323" t="s">
        <v>716</v>
      </c>
      <c r="D5" s="1211" t="str">
        <f>IF(ISBLANK('Start Page'!AB18),"",'Start Page'!AB18)</f>
        <v/>
      </c>
      <c r="E5" s="1212"/>
      <c r="F5" s="1212"/>
      <c r="G5" s="1213"/>
      <c r="H5" s="1205" t="str">
        <f>IF(ISBLANK('Start Page'!AB20),"",TEXT('Start Page'!AB20,"mmm dd yyyy")&amp;" - "&amp;TEXT('Start Page'!AB21,"mmm dd yyyy"))</f>
        <v/>
      </c>
      <c r="I5" s="1206"/>
      <c r="J5" s="1207"/>
      <c r="K5" s="1209" t="str">
        <f>IF(ISBLANK('Start Page'!AB19),"",'Start Page'!AB19)</f>
        <v/>
      </c>
      <c r="L5" s="1206"/>
      <c r="M5" s="1206"/>
      <c r="N5" s="1206"/>
      <c r="O5" s="1206"/>
      <c r="P5" s="1210"/>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167" t="s">
        <v>1213</v>
      </c>
      <c r="R8" s="116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PLEASE CHOOSE REPORTING UNITS FROM THE START PAGE BEFORE ENTERING DATA</v>
      </c>
      <c r="I9" s="627"/>
      <c r="J9" s="627"/>
      <c r="K9" s="627"/>
      <c r="L9" s="627"/>
      <c r="M9" s="627"/>
      <c r="N9" s="627"/>
      <c r="O9" s="627"/>
      <c r="P9" s="627"/>
      <c r="Q9" s="627"/>
      <c r="R9" s="627"/>
      <c r="S9" s="627"/>
      <c r="T9" s="627"/>
      <c r="U9" s="1204"/>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204"/>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204"/>
      <c r="V11" s="113"/>
      <c r="AB11" s="297"/>
      <c r="AC11" s="297"/>
      <c r="AD11" s="297"/>
      <c r="AE11" s="297"/>
    </row>
    <row r="12" spans="1:33" s="54" customFormat="1" ht="15.6" customHeight="1" thickBot="1">
      <c r="A12" s="113"/>
      <c r="B12" s="326"/>
      <c r="C12" s="308"/>
      <c r="D12" s="308"/>
      <c r="E12" s="610"/>
      <c r="F12" s="308"/>
      <c r="G12" s="308"/>
      <c r="H12" s="308"/>
      <c r="I12" s="308"/>
      <c r="J12" s="325"/>
      <c r="K12" s="1208" t="s">
        <v>714</v>
      </c>
      <c r="L12" s="1208"/>
      <c r="M12" s="1208"/>
      <c r="N12" s="1208"/>
      <c r="O12" s="1208"/>
      <c r="P12" s="1208"/>
      <c r="Q12" s="1208"/>
      <c r="R12" s="1208"/>
      <c r="S12" s="1208"/>
      <c r="T12" s="1208"/>
      <c r="U12" s="1204"/>
      <c r="V12" s="113"/>
      <c r="Y12" s="103" t="s">
        <v>138</v>
      </c>
      <c r="AB12" s="634" t="s">
        <v>902</v>
      </c>
      <c r="AC12" s="297" t="s">
        <v>898</v>
      </c>
      <c r="AD12" s="634" t="s">
        <v>899</v>
      </c>
      <c r="AE12" s="634" t="s">
        <v>901</v>
      </c>
    </row>
    <row r="13" spans="1:33" s="54" customFormat="1">
      <c r="A13" s="113"/>
      <c r="B13" s="326"/>
      <c r="C13" s="320" t="s">
        <v>112</v>
      </c>
      <c r="D13" s="611"/>
      <c r="E13" s="611"/>
      <c r="F13" s="607"/>
      <c r="G13" s="607"/>
      <c r="H13" s="607"/>
      <c r="I13" s="607"/>
      <c r="J13" s="607"/>
      <c r="K13" s="984"/>
      <c r="L13" s="607"/>
      <c r="M13" s="607"/>
      <c r="N13" s="314"/>
      <c r="O13" s="332"/>
      <c r="P13" s="716" t="s">
        <v>1018</v>
      </c>
      <c r="Q13" s="332"/>
      <c r="R13" s="331"/>
      <c r="S13" s="585"/>
      <c r="T13" s="585"/>
      <c r="U13" s="1204"/>
      <c r="V13" s="113"/>
      <c r="W13" s="179" t="s">
        <v>140</v>
      </c>
      <c r="X13" s="180"/>
      <c r="Y13" s="181" t="s">
        <v>134</v>
      </c>
      <c r="Z13" s="182" t="s">
        <v>133</v>
      </c>
      <c r="AA13" s="197" t="s">
        <v>1202</v>
      </c>
      <c r="AB13" s="635" t="s">
        <v>903</v>
      </c>
      <c r="AC13" s="333" t="s">
        <v>897</v>
      </c>
      <c r="AD13" s="634" t="s">
        <v>900</v>
      </c>
      <c r="AE13" s="634" t="s">
        <v>900</v>
      </c>
      <c r="AG13" s="1047" t="s">
        <v>1203</v>
      </c>
    </row>
    <row r="14" spans="1:33" s="54" customFormat="1" ht="7.95"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909</v>
      </c>
      <c r="C15" s="1052" t="s">
        <v>482</v>
      </c>
      <c r="D15" s="983" t="s">
        <v>883</v>
      </c>
      <c r="E15" s="681" t="s">
        <v>884</v>
      </c>
      <c r="F15" s="587" t="str">
        <f>'Interactive Data Grading'!D20</f>
        <v/>
      </c>
      <c r="G15" s="336"/>
      <c r="H15" s="631"/>
      <c r="I15" s="337"/>
      <c r="J15" s="338" t="str">
        <f>IF('Start Page'!$AB$22="million gallons (US)","MG/Yr",IF('Start Page'!$AB$22="Megalitres (thousand cubic metres)","ML/Yr",IF('Start Page'!$AB$22="acre-feet","Acre-ft/Yr","")))</f>
        <v/>
      </c>
      <c r="K15" s="986" t="s">
        <v>883</v>
      </c>
      <c r="L15" s="714" t="s">
        <v>884</v>
      </c>
      <c r="M15" s="587" t="str">
        <f>'Interactive Data Grading'!D43</f>
        <v/>
      </c>
      <c r="N15" s="338"/>
      <c r="O15" s="582"/>
      <c r="P15" s="684" t="s">
        <v>789</v>
      </c>
      <c r="Q15" s="1172"/>
      <c r="R15" s="1202"/>
      <c r="S15" s="586" t="str">
        <f>IF('Start Page'!$AB$22="million gallons (US)","MG/Yr",IF('Start Page'!$AB$22="Megalitres (thousand cubic metres)","ML/Yr",IF('Start Page'!$AB$22="acre-feet","acre-ft/yr","")))</f>
        <v/>
      </c>
      <c r="T15" s="685" t="s">
        <v>1267</v>
      </c>
      <c r="U15" s="663" t="s">
        <v>923</v>
      </c>
      <c r="V15" s="113"/>
      <c r="W15" s="579">
        <f>IF(P15="percent",1,2)</f>
        <v>1</v>
      </c>
      <c r="X15" s="129">
        <f>IF(H15&gt;0,IF(W15=1,O15*H15,Q15),0)</f>
        <v>0</v>
      </c>
      <c r="Y15" s="130" t="e">
        <f>$Y$19/$Y$18*H15</f>
        <v>#DIV/0!</v>
      </c>
      <c r="Z15" s="186" t="e">
        <f>$Y$19/$Y$18*ABS(X15)</f>
        <v>#DIV/0!</v>
      </c>
      <c r="AA15" s="1046">
        <f>IF(W15=1,input_VOS-input_VOS/(1+O15*AB15),Q15*AB15)</f>
        <v>0</v>
      </c>
      <c r="AB15" s="636">
        <f>IF(OR(T15="",T15="Select….."),0,IF(T15="Under-registration",-1,1))</f>
        <v>0</v>
      </c>
      <c r="AC15" s="297" t="str">
        <f>IF(OR(H15&lt;=0,AND(H15&gt;0,OR(AND(W15=1,O15=0),AND(W15=2,Q15=0)))),"no","yes")</f>
        <v>no</v>
      </c>
      <c r="AD15" s="297" t="str">
        <f>IF(OR(T15="select…..",T15=""),"no","yes")</f>
        <v>no</v>
      </c>
      <c r="AE15" s="297" t="str">
        <f>IF(AND(AC15="yes",AD15="no"),"yes","no")</f>
        <v>no</v>
      </c>
      <c r="AF15" s="638">
        <f>IF(AE15="yes",1,0)</f>
        <v>0</v>
      </c>
      <c r="AG15" s="1046">
        <f>input_VOS-AA15</f>
        <v>0</v>
      </c>
    </row>
    <row r="16" spans="1:33" s="54" customFormat="1">
      <c r="A16" s="113"/>
      <c r="B16" s="666" t="s">
        <v>910</v>
      </c>
      <c r="C16" s="1052" t="s">
        <v>40</v>
      </c>
      <c r="D16" s="983" t="s">
        <v>883</v>
      </c>
      <c r="E16" s="681" t="s">
        <v>884</v>
      </c>
      <c r="F16" s="587" t="str">
        <f>'Interactive Data Grading'!D74</f>
        <v/>
      </c>
      <c r="G16" s="336"/>
      <c r="H16" s="630"/>
      <c r="I16" s="337"/>
      <c r="J16" s="338" t="str">
        <f>IF('Start Page'!$AB$22="million gallons (US)","MG/Yr",IF('Start Page'!$AB$22="Megalitres (thousand cubic metres)","ML/Yr",IF('Start Page'!$AB$22="acre-feet","Acre-ft/Yr","")))</f>
        <v/>
      </c>
      <c r="K16" s="986" t="s">
        <v>883</v>
      </c>
      <c r="L16" s="714" t="s">
        <v>884</v>
      </c>
      <c r="M16" s="587" t="str">
        <f>'Interactive Data Grading'!D96</f>
        <v/>
      </c>
      <c r="N16" s="338"/>
      <c r="O16" s="582"/>
      <c r="P16" s="684" t="s">
        <v>789</v>
      </c>
      <c r="Q16" s="1172"/>
      <c r="R16" s="1202"/>
      <c r="S16" s="586" t="str">
        <f>IF('Start Page'!$AB$22="million gallons (US)","MG/Yr",IF('Start Page'!$AB$22="Megalitres (thousand cubic metres)","ML/Yr",IF('Start Page'!$AB$22="acre-feet","acre-ft/yr","")))</f>
        <v/>
      </c>
      <c r="T16" s="685" t="s">
        <v>1267</v>
      </c>
      <c r="U16" s="663" t="s">
        <v>924</v>
      </c>
      <c r="V16" s="113"/>
      <c r="W16" s="579">
        <f t="shared" ref="W16:W17" si="0">IF(P16="percent",1,2)</f>
        <v>1</v>
      </c>
      <c r="X16" s="129">
        <f>IF(H16&gt;0,IF(W16=1,O16*H16,Q16),0)</f>
        <v>0</v>
      </c>
      <c r="Y16" s="130" t="e">
        <f>$Y$19/$Y$18*H16</f>
        <v>#DIV/0!</v>
      </c>
      <c r="Z16" s="186" t="e">
        <f>$Y$19/$Y$18*ABS(X16)</f>
        <v>#DIV/0!</v>
      </c>
      <c r="AA16" s="1046">
        <f>IF(W16=1,input_WI-input_WI/(1+O16*AB16),Q16*AB16)</f>
        <v>0</v>
      </c>
      <c r="AB16" s="636">
        <f t="shared" ref="AB16:AB17" si="1">IF(OR(T16="",T16="Select….."),0,IF(T16="Under-registration",-1,1))</f>
        <v>0</v>
      </c>
      <c r="AC16" s="297" t="str">
        <f t="shared" ref="AC16:AC17" si="2">IF(OR(H16&lt;=0,AND(H16&gt;0,OR(AND(W16=1,O16=0),AND(W16=2,Q16=0)))),"no","yes")</f>
        <v>no</v>
      </c>
      <c r="AD16" s="297" t="str">
        <f>IF(OR(T16="select…..",T16=""),"no","yes")</f>
        <v>no</v>
      </c>
      <c r="AE16" s="297" t="str">
        <f t="shared" ref="AE16:AE17" si="3">IF(AND(AC16="yes",AD16="no"),"yes","no")</f>
        <v>no</v>
      </c>
      <c r="AF16" s="638">
        <f t="shared" ref="AF16:AF17" si="4">IF(AE16="yes",1,0)</f>
        <v>0</v>
      </c>
      <c r="AG16" s="1046">
        <f>input_WI-AA16</f>
        <v>0</v>
      </c>
    </row>
    <row r="17" spans="1:33" s="54" customFormat="1" ht="13.35" customHeight="1">
      <c r="A17" s="113"/>
      <c r="B17" s="666" t="s">
        <v>911</v>
      </c>
      <c r="C17" s="1052" t="s">
        <v>41</v>
      </c>
      <c r="D17" s="983" t="s">
        <v>883</v>
      </c>
      <c r="E17" s="681" t="s">
        <v>884</v>
      </c>
      <c r="F17" s="587" t="str">
        <f>'Interactive Data Grading'!D127</f>
        <v/>
      </c>
      <c r="G17" s="336"/>
      <c r="H17" s="396"/>
      <c r="I17" s="337"/>
      <c r="J17" s="338" t="str">
        <f>IF('Start Page'!$AB$22="million gallons (US)","MG/Yr",IF('Start Page'!$AB$22="Megalitres (thousand cubic metres)","ML/Yr",IF('Start Page'!$AB$22="acre-feet","Acre-ft/Yr","")))</f>
        <v/>
      </c>
      <c r="K17" s="986" t="s">
        <v>883</v>
      </c>
      <c r="L17" s="714" t="s">
        <v>884</v>
      </c>
      <c r="M17" s="587" t="str">
        <f>'Interactive Data Grading'!D150</f>
        <v/>
      </c>
      <c r="N17" s="338"/>
      <c r="O17" s="582"/>
      <c r="P17" s="684" t="s">
        <v>789</v>
      </c>
      <c r="Q17" s="1172"/>
      <c r="R17" s="1202"/>
      <c r="S17" s="586" t="str">
        <f>IF('Start Page'!$AB$22="million gallons (US)","MG/Yr",IF('Start Page'!$AB$22="Megalitres (thousand cubic metres)","ML/Yr",IF('Start Page'!$AB$22="acre-feet","acre-ft/yr","")))</f>
        <v/>
      </c>
      <c r="T17" s="685" t="s">
        <v>1267</v>
      </c>
      <c r="U17" s="663" t="s">
        <v>925</v>
      </c>
      <c r="V17" s="113"/>
      <c r="W17" s="579">
        <f t="shared" si="0"/>
        <v>1</v>
      </c>
      <c r="X17" s="129">
        <f>IF(H17&gt;0,IF(W17=1,O17*H17,Q17),0)</f>
        <v>0</v>
      </c>
      <c r="Y17" s="130" t="e">
        <f>$Y$19/$Y$18*H17</f>
        <v>#DIV/0!</v>
      </c>
      <c r="Z17" s="186" t="e">
        <f>$Y$19/$Y$18*ABS(X17)</f>
        <v>#DIV/0!</v>
      </c>
      <c r="AA17" s="1046">
        <f>IF(W17=1,input_WE-input_WE/(1+O17*AB17),Q17*AB17)</f>
        <v>0</v>
      </c>
      <c r="AB17" s="636">
        <f t="shared" si="1"/>
        <v>0</v>
      </c>
      <c r="AC17" s="297" t="str">
        <f t="shared" si="2"/>
        <v>no</v>
      </c>
      <c r="AD17" s="297" t="str">
        <f>IF(OR(T17="select…..",T17=""),"no","yes")</f>
        <v>no</v>
      </c>
      <c r="AE17" s="297" t="str">
        <f t="shared" si="3"/>
        <v>no</v>
      </c>
      <c r="AF17" s="638">
        <f t="shared" si="4"/>
        <v>0</v>
      </c>
      <c r="AG17" s="1046">
        <f>input_WE-AA17</f>
        <v>0</v>
      </c>
    </row>
    <row r="18" spans="1:33" s="54" customFormat="1" ht="14.4" customHeight="1">
      <c r="A18" s="113"/>
      <c r="B18" s="665"/>
      <c r="G18" s="336"/>
      <c r="H18" s="593"/>
      <c r="I18" s="337"/>
      <c r="J18" s="331"/>
      <c r="K18" s="331"/>
      <c r="L18" s="331"/>
      <c r="M18" s="312"/>
      <c r="N18" s="331"/>
      <c r="O18" s="312"/>
      <c r="P18" s="333"/>
      <c r="Q18" s="59"/>
      <c r="R18" s="59"/>
      <c r="S18" s="59"/>
      <c r="T18" s="1171" t="s">
        <v>791</v>
      </c>
      <c r="U18" s="662"/>
      <c r="V18" s="113"/>
      <c r="W18" s="183"/>
      <c r="X18" s="131"/>
      <c r="Y18" s="130">
        <f>H15+H16+H17+IF(H15&gt;0,ABS(X15),0)+IF(H16&gt;0,ABS(X16),0)+IF(H17&gt;0,(ABS(X17)),)</f>
        <v>0</v>
      </c>
      <c r="Z18" s="187"/>
      <c r="AB18" s="297"/>
      <c r="AC18" s="297"/>
      <c r="AD18" s="297"/>
      <c r="AE18" s="297"/>
      <c r="AF18" s="638">
        <f>SUM(AF15:AF17)</f>
        <v>0</v>
      </c>
      <c r="AG18" s="54" t="s">
        <v>1201</v>
      </c>
    </row>
    <row r="19" spans="1:33" s="54" customFormat="1" ht="13.8" thickBot="1">
      <c r="A19" s="113"/>
      <c r="B19" s="665"/>
      <c r="C19" s="1175" t="s">
        <v>111</v>
      </c>
      <c r="D19" s="1175"/>
      <c r="E19" s="1175"/>
      <c r="F19" s="1175"/>
      <c r="G19" s="332"/>
      <c r="H19" s="1017">
        <f>IF(AF18&gt;0,"Select under/over",IF(H15&gt;0,IF(W15=1,H15/(1+O15*AB15),H15-Q15*AB15),0)+IF(H16&gt;0,IF(W16=1,H16/(1+O16*AB16),H16-Q16*AB16),0)-IF(H17&gt;0,IF(W17=1,H17/(1+O17*AB17),H17-Q17*AB17),0))</f>
        <v>0</v>
      </c>
      <c r="I19" s="341"/>
      <c r="J19" s="338" t="str">
        <f>IF('Start Page'!$AB$22="million gallons (US)","MG/Yr",IF('Start Page'!$AB$22="Megalitres (thousand cubic metres)","ML/Yr",IF('Start Page'!$AB$22="acre-feet","Acre-ft/Yr","")))</f>
        <v/>
      </c>
      <c r="K19" s="756" t="str">
        <f>IF(H19="Select under/over","----------------&gt;----------------&gt;----------------&gt;----------------&gt;----------------&gt;","")</f>
        <v/>
      </c>
      <c r="L19" s="338"/>
      <c r="M19" s="312"/>
      <c r="N19" s="338"/>
      <c r="O19" s="397"/>
      <c r="P19" s="332"/>
      <c r="Q19" s="331"/>
      <c r="R19" s="578"/>
      <c r="S19" s="342"/>
      <c r="T19" s="1171"/>
      <c r="U19" s="327"/>
      <c r="V19" s="113"/>
      <c r="W19" s="188"/>
      <c r="X19" s="189"/>
      <c r="Y19" s="189">
        <f>'M36 Refs'!AE121</f>
        <v>35</v>
      </c>
      <c r="Z19" s="190" t="s">
        <v>135</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171"/>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171"/>
      <c r="U21" s="322"/>
      <c r="V21" s="113"/>
      <c r="AB21" s="297"/>
      <c r="AC21" s="297"/>
      <c r="AD21" s="297"/>
      <c r="AE21" s="297"/>
    </row>
    <row r="22" spans="1:33" s="54" customFormat="1" ht="13.8" thickBot="1">
      <c r="A22" s="113"/>
      <c r="B22" s="665"/>
      <c r="C22" s="320" t="s">
        <v>113</v>
      </c>
      <c r="D22" s="609"/>
      <c r="E22" s="609"/>
      <c r="F22" s="343"/>
      <c r="G22" s="320"/>
      <c r="H22" s="320"/>
      <c r="I22" s="320"/>
      <c r="J22" s="320"/>
      <c r="K22" s="320"/>
      <c r="L22" s="320"/>
      <c r="M22" s="320"/>
      <c r="N22" s="320"/>
      <c r="O22" s="320"/>
      <c r="P22" s="320"/>
      <c r="Q22" s="320"/>
      <c r="R22" s="320"/>
      <c r="S22" s="320"/>
      <c r="T22" s="1171"/>
      <c r="U22" s="322"/>
      <c r="V22" s="113"/>
      <c r="AB22" s="297"/>
      <c r="AC22" s="297"/>
      <c r="AD22" s="297"/>
      <c r="AE22" s="297"/>
    </row>
    <row r="23" spans="1:33" s="54" customFormat="1">
      <c r="A23" s="113"/>
      <c r="B23" s="666" t="s">
        <v>912</v>
      </c>
      <c r="C23" s="626" t="s">
        <v>483</v>
      </c>
      <c r="D23" s="983" t="s">
        <v>883</v>
      </c>
      <c r="E23" s="681" t="s">
        <v>884</v>
      </c>
      <c r="F23" s="587" t="str">
        <f>'Interactive Data Grading'!D177</f>
        <v/>
      </c>
      <c r="G23" s="336"/>
      <c r="H23" s="396"/>
      <c r="I23" s="337"/>
      <c r="J23" s="338" t="str">
        <f>IF('Start Page'!$AB$22="million gallons (US)","MG/Yr",IF('Start Page'!$AB$22="Megalitres (thousand cubic metres)","ML/Yr",IF('Start Page'!$AB$22="acre-feet","Acre-ft/Yr","")))</f>
        <v/>
      </c>
      <c r="K23" s="338"/>
      <c r="L23" s="338"/>
      <c r="M23" s="338"/>
      <c r="N23" s="338"/>
      <c r="O23" s="342"/>
      <c r="P23" s="59"/>
      <c r="Q23" s="59"/>
      <c r="R23" s="59"/>
      <c r="S23" s="59"/>
      <c r="T23" s="1171"/>
      <c r="U23" s="322"/>
      <c r="V23" s="113"/>
      <c r="W23" s="191"/>
      <c r="X23" s="180"/>
      <c r="Y23" s="192">
        <f>IFERROR($Y$26/$Y$25*H23,7)</f>
        <v>7</v>
      </c>
      <c r="Z23" s="193"/>
      <c r="AA23" s="304" t="s">
        <v>782</v>
      </c>
      <c r="AB23" s="637"/>
      <c r="AC23" s="297"/>
      <c r="AD23" s="297"/>
      <c r="AE23" s="297"/>
    </row>
    <row r="24" spans="1:33" s="54" customFormat="1">
      <c r="A24" s="113"/>
      <c r="B24" s="666" t="s">
        <v>913</v>
      </c>
      <c r="C24" s="626" t="s">
        <v>484</v>
      </c>
      <c r="D24" s="983" t="s">
        <v>883</v>
      </c>
      <c r="E24" s="681" t="s">
        <v>884</v>
      </c>
      <c r="F24" s="587" t="str">
        <f>'Interactive Data Grading'!D200</f>
        <v/>
      </c>
      <c r="G24" s="336"/>
      <c r="H24" s="396"/>
      <c r="I24" s="337"/>
      <c r="J24" s="338" t="str">
        <f>IF('Start Page'!$AB$22="million gallons (US)","MG/Yr",IF('Start Page'!$AB$22="Megalitres (thousand cubic metres)","ML/Yr",IF('Start Page'!$AB$22="acre-feet","Acre-ft/Yr","")))</f>
        <v/>
      </c>
      <c r="K24" s="338"/>
      <c r="L24" s="338"/>
      <c r="M24" s="338"/>
      <c r="N24" s="338"/>
      <c r="O24" s="342"/>
      <c r="P24" s="59"/>
      <c r="Q24" s="309"/>
      <c r="R24" s="309"/>
      <c r="S24" s="309"/>
      <c r="T24" s="309"/>
      <c r="U24" s="322"/>
      <c r="V24" s="113"/>
      <c r="W24" s="183"/>
      <c r="X24" s="58"/>
      <c r="Y24" s="130">
        <f>IFERROR($Y$26/$Y$25*H25,7)</f>
        <v>7</v>
      </c>
      <c r="Z24" s="185"/>
      <c r="AB24" s="297"/>
      <c r="AC24" s="297"/>
      <c r="AD24" s="297"/>
      <c r="AE24" s="297"/>
    </row>
    <row r="25" spans="1:33" s="54" customFormat="1" ht="13.35" customHeight="1">
      <c r="A25" s="113"/>
      <c r="B25" s="666" t="s">
        <v>921</v>
      </c>
      <c r="C25" s="626" t="s">
        <v>485</v>
      </c>
      <c r="D25" s="983" t="s">
        <v>883</v>
      </c>
      <c r="E25" s="681" t="s">
        <v>884</v>
      </c>
      <c r="F25" s="587" t="str">
        <f>'Interactive Data Grading'!D224</f>
        <v/>
      </c>
      <c r="G25" s="336"/>
      <c r="H25" s="597"/>
      <c r="I25" s="337"/>
      <c r="J25" s="338" t="str">
        <f>IF('Start Page'!$AB$22="million gallons (US)","MG/Yr",IF('Start Page'!$AB$22="Megalitres (thousand cubic metres)","ML/Yr",IF('Start Page'!$AB$22="acre-feet","Acre-ft/Yr","")))</f>
        <v/>
      </c>
      <c r="K25" s="338"/>
      <c r="L25" s="338"/>
      <c r="M25" s="338"/>
      <c r="N25" s="338"/>
      <c r="O25" s="332"/>
      <c r="P25" s="1087" t="s">
        <v>1018</v>
      </c>
      <c r="Q25" s="332"/>
      <c r="R25" s="59"/>
      <c r="S25" s="59"/>
      <c r="T25" s="59"/>
      <c r="U25" s="322"/>
      <c r="V25" s="113"/>
      <c r="W25" s="183"/>
      <c r="X25" s="58"/>
      <c r="Y25" s="194">
        <f>H23+H25</f>
        <v>0</v>
      </c>
      <c r="Z25" s="185"/>
      <c r="AB25" s="297"/>
      <c r="AC25" s="297"/>
      <c r="AD25" s="297"/>
      <c r="AE25" s="297"/>
      <c r="AF25" s="125" t="s">
        <v>150</v>
      </c>
      <c r="AG25" s="126"/>
    </row>
    <row r="26" spans="1:33" s="54" customFormat="1" ht="15" customHeight="1" thickBot="1">
      <c r="A26" s="113"/>
      <c r="B26" s="666" t="s">
        <v>922</v>
      </c>
      <c r="C26" s="626" t="s">
        <v>486</v>
      </c>
      <c r="D26" s="983" t="s">
        <v>883</v>
      </c>
      <c r="E26" s="681" t="s">
        <v>884</v>
      </c>
      <c r="F26" s="587">
        <f>'Interactive Data Grading'!D247</f>
        <v>3</v>
      </c>
      <c r="G26" s="336"/>
      <c r="H26" s="594">
        <f>IF(OR(W26=1,AND(W26=2,Q26=0)),O26*SUM(H23:H24),Q26)</f>
        <v>0</v>
      </c>
      <c r="I26" s="337"/>
      <c r="J26" s="338" t="str">
        <f>IF('Start Page'!$AB$22="million gallons (US)","MG/Yr",IF('Start Page'!$AB$22="Megalitres (thousand cubic metres)","ML/Yr",IF('Start Page'!$AB$22="acre-feet","Acre-ft/Yr","")))</f>
        <v/>
      </c>
      <c r="K26" s="338"/>
      <c r="L26" s="338"/>
      <c r="M26" s="338"/>
      <c r="N26" s="338"/>
      <c r="O26" s="588">
        <v>2.5000000000000001E-3</v>
      </c>
      <c r="P26" s="755" t="s">
        <v>788</v>
      </c>
      <c r="Q26" s="1172"/>
      <c r="R26" s="1172"/>
      <c r="S26" s="586" t="str">
        <f>IF('Start Page'!$AB$22="million gallons (US)","MG/Yr",IF('Start Page'!$AB$22="Megalitres (thousand cubic metres)","ML/Yr",IF('Start Page'!$AB$22="acre-feet","acre-ft/yr","")))</f>
        <v/>
      </c>
      <c r="T26" s="313"/>
      <c r="U26" s="322"/>
      <c r="V26" s="113"/>
      <c r="W26" s="580">
        <f>IF(P26="default",1,2)</f>
        <v>1</v>
      </c>
      <c r="X26" s="195"/>
      <c r="Y26" s="195">
        <f>8+6</f>
        <v>14</v>
      </c>
      <c r="Z26" s="196" t="s">
        <v>135</v>
      </c>
      <c r="AA26" s="54" t="s">
        <v>136</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169" t="s">
        <v>110</v>
      </c>
      <c r="D30" s="1169"/>
      <c r="E30" s="1169"/>
      <c r="F30" s="1169"/>
      <c r="G30" s="332"/>
      <c r="H30" s="1017">
        <f>SUM(H23:H26)</f>
        <v>0</v>
      </c>
      <c r="I30" s="341"/>
      <c r="J30" s="338" t="str">
        <f>IF('Start Page'!$AB$22="million gallons (US)","MG/Yr",IF('Start Page'!$AB$22="Megalitres (thousand cubic metres)","ML/Yr",IF('Start Page'!$AB$22="acre-feet","Acre-ft/Yr","")))</f>
        <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203" t="str">
        <f>IF(AND(H30&gt;=H19,(H30&lt;&gt;0)),"               Check input values; WATER SUPPLIED should be greater than AUTHORIZED CONSUMPTION","")</f>
        <v/>
      </c>
      <c r="D32" s="1203"/>
      <c r="E32" s="1203"/>
      <c r="F32" s="1203"/>
      <c r="G32" s="1203"/>
      <c r="H32" s="1203"/>
      <c r="I32" s="1203"/>
      <c r="J32" s="1203"/>
      <c r="K32" s="1203"/>
      <c r="L32" s="1203"/>
      <c r="M32" s="1203"/>
      <c r="N32" s="1203"/>
      <c r="O32" s="1203"/>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670</v>
      </c>
      <c r="D35" s="320"/>
      <c r="E35" s="609"/>
      <c r="F35" s="346"/>
      <c r="G35" s="320"/>
      <c r="H35" s="1017">
        <f>IFERROR(H19-H30,"")</f>
        <v>0</v>
      </c>
      <c r="I35" s="59"/>
      <c r="J35" s="338" t="str">
        <f>IF('Start Page'!$AB$22="million gallons (US)","MG/Yr",IF('Start Page'!$AB$22="Megalitres (thousand cubic metres)","ML/Yr",IF('Start Page'!$AB$22="acre-feet","Acre-ft/Yr","")))</f>
        <v/>
      </c>
      <c r="K35" s="338"/>
      <c r="L35" s="338"/>
      <c r="M35" s="338"/>
      <c r="N35" s="338"/>
      <c r="O35" s="59"/>
      <c r="P35" s="1197"/>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7"/>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1018</v>
      </c>
      <c r="Q38" s="337"/>
      <c r="R38" s="59"/>
      <c r="S38" s="59"/>
      <c r="T38" s="584"/>
      <c r="U38" s="322"/>
      <c r="V38" s="113"/>
      <c r="W38" s="581"/>
      <c r="X38" s="58"/>
      <c r="AB38" s="297"/>
      <c r="AC38" s="297"/>
      <c r="AD38" s="297"/>
      <c r="AE38" s="297"/>
      <c r="AF38" s="126"/>
      <c r="AG38" s="126"/>
    </row>
    <row r="39" spans="1:33" s="54" customFormat="1" ht="13.35" customHeight="1">
      <c r="A39" s="113"/>
      <c r="B39" s="666" t="s">
        <v>918</v>
      </c>
      <c r="C39" s="626" t="s">
        <v>235</v>
      </c>
      <c r="D39" s="983" t="s">
        <v>883</v>
      </c>
      <c r="E39" s="681" t="s">
        <v>884</v>
      </c>
      <c r="F39" s="587">
        <f>'Interactive Data Grading'!D271</f>
        <v>3</v>
      </c>
      <c r="G39" s="339"/>
      <c r="H39" s="595">
        <f>IF(OR(W39=1,AND(W39=2,Q39=0)),O39*SUM(H23:H24),Q39)</f>
        <v>0</v>
      </c>
      <c r="I39" s="351"/>
      <c r="J39" s="338" t="str">
        <f>IF('Start Page'!$AB$22="million gallons (US)","MG/Yr",IF('Start Page'!$AB$22="Megalitres (thousand cubic metres)","ML/Yr",IF('Start Page'!$AB$22="acre-feet","Acre-ft/Yr","")))</f>
        <v/>
      </c>
      <c r="K39" s="338"/>
      <c r="L39" s="338"/>
      <c r="M39" s="338"/>
      <c r="N39" s="338"/>
      <c r="O39" s="588">
        <v>2.5000000000000001E-3</v>
      </c>
      <c r="P39" s="686" t="s">
        <v>788</v>
      </c>
      <c r="Q39" s="1172"/>
      <c r="R39" s="1172"/>
      <c r="S39" s="586" t="str">
        <f>IF('Start Page'!$AB$22="million gallons (US)","MG/Yr",IF('Start Page'!$AB$22="Megalitres (thousand cubic metres)","ML/Yr",IF('Start Page'!$AB$22="acre-feet","acre-ft/yr","")))</f>
        <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919</v>
      </c>
      <c r="C41" s="626" t="s">
        <v>488</v>
      </c>
      <c r="D41" s="983" t="s">
        <v>883</v>
      </c>
      <c r="E41" s="681" t="s">
        <v>884</v>
      </c>
      <c r="F41" s="587" t="str">
        <f>'Interactive Data Grading'!D300</f>
        <v/>
      </c>
      <c r="G41" s="339"/>
      <c r="H41" s="709">
        <f>IF(OR(T41="Select…..",T41=""),"Select under/over",IF(W41=1,((H23+H25)/(1-(O41*X41)))-(H23+H25),Q41*X41))</f>
        <v>0</v>
      </c>
      <c r="I41" s="351"/>
      <c r="J41" s="338" t="str">
        <f>IF('Start Page'!$AB$22="million gallons (US)","MG/Yr",IF('Start Page'!$AB$22="Megalitres (thousand cubic metres)","ML/Yr",IF('Start Page'!$AB$22="acre-feet","Acre-ft/Yr","")))</f>
        <v/>
      </c>
      <c r="K41" s="338"/>
      <c r="L41" s="338"/>
      <c r="M41" s="338"/>
      <c r="N41" s="338"/>
      <c r="O41" s="628"/>
      <c r="P41" s="686" t="s">
        <v>789</v>
      </c>
      <c r="Q41" s="1172"/>
      <c r="R41" s="1172"/>
      <c r="S41" s="586" t="str">
        <f>IF('Start Page'!$AB$22="million gallons (US)","MG/Yr",IF('Start Page'!$AB$22="Megalitres (thousand cubic metres)","ML/Yr",IF('Start Page'!$AB$22="acre-feet","acre-ft/yr","")))</f>
        <v/>
      </c>
      <c r="T41" s="715" t="s">
        <v>1269</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920</v>
      </c>
      <c r="C43" s="626" t="s">
        <v>487</v>
      </c>
      <c r="D43" s="983" t="s">
        <v>883</v>
      </c>
      <c r="E43" s="681" t="s">
        <v>884</v>
      </c>
      <c r="F43" s="587">
        <f>'Interactive Data Grading'!D322</f>
        <v>3</v>
      </c>
      <c r="G43" s="339"/>
      <c r="H43" s="594">
        <f>IF(OR(W43=1,AND(W43=2,Q43=0)),O43*SUM(H23:H24),Q43)</f>
        <v>0</v>
      </c>
      <c r="I43" s="351"/>
      <c r="J43" s="338" t="str">
        <f>IF('Start Page'!$AB$22="million gallons (US)","MG/Yr",IF('Start Page'!$AB$22="Megalitres (thousand cubic metres)","ML/Yr",IF('Start Page'!$AB$22="acre-feet","Acre-ft/Yr","")))</f>
        <v/>
      </c>
      <c r="K43" s="338"/>
      <c r="L43" s="338"/>
      <c r="M43" s="338"/>
      <c r="N43" s="338"/>
      <c r="O43" s="588">
        <v>2.5000000000000001E-3</v>
      </c>
      <c r="P43" s="686" t="s">
        <v>788</v>
      </c>
      <c r="Q43" s="1172"/>
      <c r="R43" s="1172"/>
      <c r="S43" s="586" t="str">
        <f>IF('Start Page'!$AB$22="million gallons (US)","MG/Yr",IF('Start Page'!$AB$22="Megalitres (thousand cubic metres)","ML/Yr",IF('Start Page'!$AB$22="acre-feet","acre-ft/yr","")))</f>
        <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173"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173"/>
      <c r="U45" s="322"/>
      <c r="V45" s="113"/>
      <c r="W45" s="59"/>
      <c r="X45" s="58"/>
      <c r="AB45" s="297"/>
      <c r="AC45" s="297"/>
      <c r="AD45" s="297"/>
      <c r="AE45" s="297"/>
    </row>
    <row r="46" spans="1:33" s="54" customFormat="1" ht="14.1" customHeight="1">
      <c r="A46" s="113"/>
      <c r="B46" s="666"/>
      <c r="C46" s="1176" t="s">
        <v>42</v>
      </c>
      <c r="D46" s="1176"/>
      <c r="E46" s="1176"/>
      <c r="F46" s="1176"/>
      <c r="G46" s="270"/>
      <c r="H46" s="1017">
        <f t="array" ref="H46">SUM(IF(ISNUMBER(H39:H43),H39:H43))</f>
        <v>0</v>
      </c>
      <c r="I46" s="339"/>
      <c r="J46" s="338" t="str">
        <f>IF('Start Page'!$AB$22="million gallons (US)","MG/Yr",IF('Start Page'!$AB$22="Megalitres (thousand cubic metres)","ML/Yr",IF('Start Page'!$AB$22="acre-feet","Acre-ft/Yr","")))</f>
        <v/>
      </c>
      <c r="K46" s="338"/>
      <c r="L46" s="338"/>
      <c r="M46" s="338"/>
      <c r="N46" s="338"/>
      <c r="O46" s="59"/>
      <c r="P46" s="59"/>
      <c r="Q46" s="352"/>
      <c r="R46" s="352"/>
      <c r="T46" s="1173"/>
      <c r="U46" s="322"/>
      <c r="V46" s="113"/>
      <c r="X46" s="197" t="s">
        <v>301</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173"/>
      <c r="U47" s="322"/>
      <c r="V47" s="113"/>
      <c r="AB47" s="297"/>
      <c r="AC47" s="297"/>
      <c r="AD47" s="297"/>
      <c r="AE47" s="297"/>
    </row>
    <row r="48" spans="1:33" s="54" customFormat="1" ht="18" customHeight="1">
      <c r="A48" s="113"/>
      <c r="B48" s="666"/>
      <c r="C48" s="1174" t="str">
        <f>IF(AND(H46&gt;=H35,(H46&lt;&gt;0)),"Check input values; APPARENT LOSSES should be less than WATER LOSSES","")</f>
        <v/>
      </c>
      <c r="D48" s="1174"/>
      <c r="E48" s="1174"/>
      <c r="F48" s="1174"/>
      <c r="G48" s="1174"/>
      <c r="H48" s="1174"/>
      <c r="I48" s="1174"/>
      <c r="J48" s="1174"/>
      <c r="K48" s="1174"/>
      <c r="L48" s="1174"/>
      <c r="M48" s="1174"/>
      <c r="N48" s="1174"/>
      <c r="O48" s="1174"/>
      <c r="P48" s="59"/>
      <c r="Q48" s="352"/>
      <c r="R48" s="352"/>
      <c r="S48" s="583"/>
      <c r="T48" s="1173"/>
      <c r="U48" s="322"/>
      <c r="V48" s="113"/>
      <c r="X48" s="169" t="s">
        <v>272</v>
      </c>
      <c r="Y48" s="170" t="s">
        <v>273</v>
      </c>
      <c r="AA48" s="1170"/>
      <c r="AB48" s="1170"/>
      <c r="AC48" s="1170"/>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173"/>
      <c r="U49" s="322"/>
      <c r="V49" s="113"/>
      <c r="X49" s="171"/>
      <c r="Y49" s="172"/>
      <c r="AA49" s="1170"/>
      <c r="AB49" s="1170"/>
      <c r="AC49" s="1170"/>
      <c r="AD49" s="297"/>
      <c r="AE49" s="297"/>
    </row>
    <row r="50" spans="1:31" s="54" customFormat="1" ht="15" customHeight="1" thickBot="1">
      <c r="A50" s="113"/>
      <c r="B50" s="666"/>
      <c r="C50" s="336" t="s">
        <v>671</v>
      </c>
      <c r="D50" s="355"/>
      <c r="E50" s="616"/>
      <c r="F50" s="354"/>
      <c r="G50" s="355"/>
      <c r="H50" s="348"/>
      <c r="I50" s="59"/>
      <c r="J50" s="348"/>
      <c r="K50" s="348"/>
      <c r="L50" s="348"/>
      <c r="M50" s="357"/>
      <c r="N50" s="348"/>
      <c r="O50" s="59"/>
      <c r="P50" s="59"/>
      <c r="Q50" s="352"/>
      <c r="R50" s="352"/>
      <c r="S50" s="352"/>
      <c r="T50" s="1173"/>
      <c r="U50" s="322"/>
      <c r="V50" s="113"/>
      <c r="X50" s="173">
        <f>IFERROR(IF(W41=1,((H23)/(1-(O41*X41)))-(H23),Q41*H23/(H23+H25)),0)</f>
        <v>0</v>
      </c>
      <c r="Y50" s="174">
        <f>IFERROR(IF(W41=1,((H25)/(1-(O41*X41)))-(H25),Q41*H25/(H23+H25)),0)</f>
        <v>0</v>
      </c>
      <c r="Z50" s="1079">
        <f>SUM(X50:Y50)</f>
        <v>0</v>
      </c>
      <c r="AA50" s="1170"/>
      <c r="AB50" s="1170"/>
      <c r="AC50" s="1170"/>
      <c r="AD50" s="297"/>
      <c r="AE50" s="297"/>
    </row>
    <row r="51" spans="1:31" s="54" customFormat="1">
      <c r="A51" s="113"/>
      <c r="B51" s="666"/>
      <c r="C51" s="1176" t="s">
        <v>664</v>
      </c>
      <c r="D51" s="1176"/>
      <c r="E51" s="1176"/>
      <c r="F51" s="1176"/>
      <c r="G51" s="1018"/>
      <c r="H51" s="1017">
        <f>IFERROR(H35-H46,"")</f>
        <v>0</v>
      </c>
      <c r="I51" s="355"/>
      <c r="J51" s="338" t="str">
        <f>IF('Start Page'!$AB$22="million gallons (US)","MG/Yr",IF('Start Page'!$AB$22="Megalitres (thousand cubic metres)","ML/Yr",IF('Start Page'!$AB$22="acre-feet","Acre-ft/Yr","")))</f>
        <v/>
      </c>
      <c r="K51" s="338"/>
      <c r="L51" s="338"/>
      <c r="M51" s="358"/>
      <c r="N51" s="338"/>
      <c r="O51" s="59"/>
      <c r="P51" s="59"/>
      <c r="Q51" s="337"/>
      <c r="R51" s="59"/>
      <c r="S51" s="59"/>
      <c r="T51" s="59"/>
      <c r="U51" s="322"/>
      <c r="V51" s="113"/>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169" t="s">
        <v>109</v>
      </c>
      <c r="D53" s="1169"/>
      <c r="E53" s="1169"/>
      <c r="F53" s="1169"/>
      <c r="G53" s="687"/>
      <c r="H53" s="1017">
        <f>IFERROR(H46+H51,"")</f>
        <v>0</v>
      </c>
      <c r="I53" s="337"/>
      <c r="J53" s="338" t="str">
        <f>IF('Start Page'!$AB$22="million gallons (US)","MG/Yr",IF('Start Page'!$AB$22="Megalitres (thousand cubic metres)","ML/Yr",IF('Start Page'!$AB$22="acre-feet","Acre-ft/Yr","")))</f>
        <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169" t="s">
        <v>74</v>
      </c>
      <c r="D57" s="1169"/>
      <c r="E57" s="1169"/>
      <c r="F57" s="1169"/>
      <c r="G57" s="1018"/>
      <c r="H57" s="1017">
        <f>IFERROR(H35+H25+H26,"")</f>
        <v>0</v>
      </c>
      <c r="I57" s="355"/>
      <c r="J57" s="338" t="str">
        <f>IF('Start Page'!$AB$22="million gallons (US)","MG/Yr",IF('Start Page'!$AB$22="Megalitres (thousand cubic metres)","ML/Yr",IF('Start Page'!$AB$22="acre-feet","Acre-ft/Yr","")))</f>
        <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67</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570</v>
      </c>
      <c r="C61" s="626" t="s">
        <v>57</v>
      </c>
      <c r="D61" s="983" t="s">
        <v>883</v>
      </c>
      <c r="E61" s="681" t="s">
        <v>884</v>
      </c>
      <c r="F61" s="587" t="str">
        <f>'Interactive Data Grading'!D350</f>
        <v/>
      </c>
      <c r="G61" s="320"/>
      <c r="H61" s="398"/>
      <c r="I61" s="363"/>
      <c r="J61" s="364" t="str">
        <f>IF(ISBLANK('Start Page'!$AB$22),"",IF('Start Page'!$AB$22="Megalitres (thousand cubic metres)","kilometers","miles"))</f>
        <v/>
      </c>
      <c r="K61" s="364"/>
      <c r="L61" s="364"/>
      <c r="M61" s="364" t="s">
        <v>666</v>
      </c>
      <c r="N61" s="364"/>
      <c r="O61" s="59"/>
      <c r="P61" s="59"/>
      <c r="Q61" s="59"/>
      <c r="R61" s="59"/>
      <c r="S61" s="59"/>
      <c r="T61" s="59"/>
      <c r="U61" s="322"/>
      <c r="V61" s="113"/>
      <c r="AB61" s="297"/>
      <c r="AC61" s="297"/>
      <c r="AD61" s="297"/>
      <c r="AE61" s="297"/>
    </row>
    <row r="62" spans="1:31" s="54" customFormat="1">
      <c r="A62" s="113"/>
      <c r="B62" s="666" t="s">
        <v>583</v>
      </c>
      <c r="C62" s="626" t="s">
        <v>665</v>
      </c>
      <c r="D62" s="983" t="s">
        <v>883</v>
      </c>
      <c r="E62" s="681" t="s">
        <v>884</v>
      </c>
      <c r="F62" s="587" t="str">
        <f>'Interactive Data Grading'!D374</f>
        <v/>
      </c>
      <c r="G62" s="320"/>
      <c r="H62" s="598"/>
      <c r="I62" s="363"/>
      <c r="J62" s="364"/>
      <c r="K62" s="348"/>
      <c r="L62" s="348"/>
      <c r="M62" s="364" t="s">
        <v>904</v>
      </c>
      <c r="N62" s="348"/>
      <c r="O62" s="59"/>
      <c r="P62" s="59"/>
      <c r="Q62" s="59"/>
      <c r="R62" s="59"/>
      <c r="S62" s="59"/>
      <c r="T62" s="59"/>
      <c r="U62" s="322"/>
      <c r="V62" s="113"/>
      <c r="AB62" s="297"/>
      <c r="AC62" s="297"/>
      <c r="AD62" s="297"/>
      <c r="AE62" s="297"/>
    </row>
    <row r="63" spans="1:31" s="54" customFormat="1">
      <c r="A63" s="113"/>
      <c r="B63" s="666"/>
      <c r="C63" s="626" t="s">
        <v>167</v>
      </c>
      <c r="D63" s="320"/>
      <c r="E63" s="609"/>
      <c r="F63" s="343"/>
      <c r="G63" s="320"/>
      <c r="H63" s="596" t="str">
        <f>IF(ISERROR(H62/H61),"",H62/H61)</f>
        <v/>
      </c>
      <c r="I63" s="59"/>
      <c r="J63" s="364" t="str">
        <f>IF(ISBLANK('Start Page'!$AB$22),"",IF('Start Page'!$AB$22="Megalitres (thousand cubic metres)","conn./km","conn./mile")&amp; " main")</f>
        <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93" t="s">
        <v>771</v>
      </c>
      <c r="D65" s="1193"/>
      <c r="E65" s="1193"/>
      <c r="F65" s="1193"/>
      <c r="G65" s="343"/>
      <c r="H65" s="399" t="s">
        <v>1268</v>
      </c>
      <c r="I65" s="59"/>
      <c r="J65" s="364"/>
      <c r="K65" s="364"/>
      <c r="L65" s="364"/>
      <c r="M65" s="365"/>
      <c r="N65" s="364"/>
      <c r="O65" s="59"/>
      <c r="P65" s="59"/>
      <c r="Q65" s="59"/>
      <c r="R65" s="59"/>
      <c r="S65" s="59"/>
      <c r="T65" s="59"/>
      <c r="U65" s="322"/>
      <c r="V65" s="113"/>
      <c r="W65" s="69">
        <f>IF(H65="Yes",1,0)</f>
        <v>0</v>
      </c>
      <c r="X65" s="68" t="s">
        <v>130</v>
      </c>
      <c r="Y65" s="68"/>
      <c r="Z65" s="68"/>
      <c r="AB65" s="297"/>
      <c r="AC65" s="297"/>
      <c r="AD65" s="297"/>
      <c r="AE65" s="297"/>
    </row>
    <row r="66" spans="1:31" s="54" customFormat="1" ht="13.5" customHeight="1">
      <c r="A66" s="113"/>
      <c r="B66" s="666" t="s">
        <v>598</v>
      </c>
      <c r="C66" s="626" t="s">
        <v>667</v>
      </c>
      <c r="D66" s="983" t="s">
        <v>883</v>
      </c>
      <c r="E66" s="681" t="s">
        <v>884</v>
      </c>
      <c r="F66" s="587" t="str">
        <f>'Interactive Data Grading'!D398</f>
        <v/>
      </c>
      <c r="G66" s="320"/>
      <c r="H66" s="400"/>
      <c r="I66" s="320"/>
      <c r="J66" s="364" t="str">
        <f>IF(ISBLANK('Start Page'!$AB$22),"",IF('Start Page'!AB22="Megalitres (thousand cubic metres)","metres","ft"))</f>
        <v/>
      </c>
      <c r="K66" s="364"/>
      <c r="L66" s="364"/>
      <c r="M66" s="364" t="s">
        <v>668</v>
      </c>
      <c r="N66" s="364"/>
      <c r="O66" s="366"/>
      <c r="P66" s="366"/>
      <c r="Q66" s="366"/>
      <c r="R66" s="366"/>
      <c r="S66" s="366"/>
      <c r="T66" s="366"/>
      <c r="U66" s="322"/>
      <c r="V66" s="113"/>
      <c r="W66" s="69" t="str">
        <f>IF(H65="Yes",10,F66)</f>
        <v/>
      </c>
      <c r="X66" s="68" t="s">
        <v>131</v>
      </c>
      <c r="Y66" s="68"/>
      <c r="Z66" s="68"/>
      <c r="AB66" s="297"/>
      <c r="AC66" s="297"/>
      <c r="AD66" s="297"/>
      <c r="AE66" s="297"/>
    </row>
    <row r="67" spans="1:31" s="54" customFormat="1" ht="14.4" customHeight="1">
      <c r="A67" s="113"/>
      <c r="B67" s="666"/>
      <c r="C67" s="1177" t="str">
        <f>IF(H65="Yes","Average length of customer service line has been set to zero and a data grading of 10 has been applied","")</f>
        <v/>
      </c>
      <c r="D67" s="1177"/>
      <c r="E67" s="1177"/>
      <c r="F67" s="1177"/>
      <c r="G67" s="1177"/>
      <c r="H67" s="1177"/>
      <c r="I67" s="1177"/>
      <c r="J67" s="1177"/>
      <c r="K67" s="1177"/>
      <c r="L67" s="1177"/>
      <c r="M67" s="1177"/>
      <c r="N67" s="1177"/>
      <c r="O67" s="1177"/>
      <c r="P67" s="366"/>
      <c r="Q67" s="366"/>
      <c r="R67" s="366"/>
      <c r="S67" s="366"/>
      <c r="T67" s="366"/>
      <c r="U67" s="322"/>
      <c r="V67" s="113"/>
      <c r="W67" s="69">
        <f>IF(H65="Yes",0,H66)</f>
        <v>0</v>
      </c>
      <c r="X67" s="68" t="s">
        <v>132</v>
      </c>
      <c r="Y67" s="68"/>
      <c r="Z67" s="68"/>
      <c r="AB67" s="297"/>
      <c r="AC67" s="297"/>
      <c r="AD67" s="297"/>
      <c r="AE67" s="297"/>
    </row>
    <row r="68" spans="1:31" s="54" customFormat="1">
      <c r="A68" s="113"/>
      <c r="B68" s="666" t="s">
        <v>917</v>
      </c>
      <c r="C68" s="626" t="s">
        <v>489</v>
      </c>
      <c r="D68" s="983" t="s">
        <v>883</v>
      </c>
      <c r="E68" s="681" t="s">
        <v>884</v>
      </c>
      <c r="F68" s="587" t="str">
        <f>'Interactive Data Grading'!D422</f>
        <v/>
      </c>
      <c r="G68" s="320"/>
      <c r="H68" s="400"/>
      <c r="I68" s="367"/>
      <c r="J68" s="364" t="str">
        <f>IF(ISBLANK('Start Page'!$AB$22),"",IF('Start Page'!AB22="Megalitres (thousand cubic metres)","metres (head)","psi"))</f>
        <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624</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914</v>
      </c>
      <c r="C76" s="626" t="s">
        <v>926</v>
      </c>
      <c r="D76" s="983" t="s">
        <v>883</v>
      </c>
      <c r="E76" s="639" t="s">
        <v>884</v>
      </c>
      <c r="F76" s="587" t="str">
        <f>'Interactive Data Grading'!D446</f>
        <v/>
      </c>
      <c r="G76" s="59"/>
      <c r="H76" s="401"/>
      <c r="I76" s="59"/>
      <c r="J76" s="1183"/>
      <c r="K76" s="1184"/>
      <c r="L76" s="1184"/>
      <c r="M76" s="1185"/>
      <c r="N76" s="59"/>
      <c r="O76" s="1186" t="str">
        <f>IF(AND(NOT(ISBLANK(H76)),ISBLANK(J76)),"&lt;----Enter units","")</f>
        <v/>
      </c>
      <c r="P76" s="1186"/>
      <c r="Q76" s="1190" t="s">
        <v>905</v>
      </c>
      <c r="R76" s="1190"/>
      <c r="S76" s="1190"/>
      <c r="T76" s="59"/>
      <c r="U76" s="322"/>
      <c r="V76" s="113"/>
      <c r="X76" s="117"/>
      <c r="Y76" s="117"/>
      <c r="Z76" s="117"/>
      <c r="AB76" s="297"/>
      <c r="AC76" s="297"/>
      <c r="AD76" s="297"/>
      <c r="AE76" s="297"/>
    </row>
    <row r="77" spans="1:31" s="54" customFormat="1" ht="13.5" customHeight="1">
      <c r="A77" s="113"/>
      <c r="B77" s="666" t="s">
        <v>915</v>
      </c>
      <c r="C77" s="626" t="s">
        <v>927</v>
      </c>
      <c r="D77" s="983" t="s">
        <v>883</v>
      </c>
      <c r="E77" s="681" t="s">
        <v>884</v>
      </c>
      <c r="F77" s="587" t="str">
        <f>'Interactive Data Grading'!D469</f>
        <v/>
      </c>
      <c r="G77" s="59"/>
      <c r="H77" s="401"/>
      <c r="I77" s="59"/>
      <c r="J77" s="338" t="str">
        <f>"$/"&amp;IF('Start Page'!$AB$22="million gallons (US)","Million gallons",IF('Start Page'!$AB$22="Megalitres (thousand cubic metres)","Megalitre",IF('Start Page'!$AB$22="acre-feet","acre-ft","")))</f>
        <v>$/</v>
      </c>
      <c r="K77" s="1191" t="str">
        <f>IF(Z77=1,"&lt;&lt;&lt; Using CRUC as basis for VPC","")</f>
        <v/>
      </c>
      <c r="L77" s="1191"/>
      <c r="M77" s="1191"/>
      <c r="N77" s="1191"/>
      <c r="O77" s="1191"/>
      <c r="P77" s="1192"/>
      <c r="Q77" s="1187"/>
      <c r="R77" s="1188"/>
      <c r="S77" s="1189"/>
      <c r="T77" s="313" t="s">
        <v>916</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178" t="str">
        <f>IF(OR(ISBLANK(J76),ISBLANK(J77),ISBLANK(H77),ISBLANK('Start Page'!AB22)),"",IF(H76*INDEX(Sheet1!B2:D4,MATCH('Start Page'!AB22,Sheet1!A2:A4,0),MATCH(J76,Sheet1!B1:D1,0))/H77&gt;1,"","Retail costs are less than (or equal to) production costs; please review and correct if necessary"))</f>
        <v/>
      </c>
      <c r="D79" s="1178"/>
      <c r="E79" s="1178"/>
      <c r="F79" s="1178"/>
      <c r="G79" s="1178"/>
      <c r="H79" s="1178"/>
      <c r="I79" s="1178"/>
      <c r="J79" s="1178"/>
      <c r="K79" s="1178"/>
      <c r="L79" s="1178"/>
      <c r="M79" s="1178"/>
      <c r="N79" s="1178"/>
      <c r="O79" s="1178"/>
      <c r="P79" s="1178"/>
      <c r="Q79" s="1178"/>
      <c r="R79" s="59"/>
      <c r="S79" s="59"/>
      <c r="T79" s="59"/>
      <c r="U79" s="322"/>
      <c r="V79" s="113"/>
      <c r="W79" s="54" t="str">
        <f>IF(OR(ISBLANK(J76),ISBLANK(J77),ISBLANK(H77)),"",IF(H76*INDEX(Sheet1!B2:D4,MATCH('Start Page'!AB22,Sheet1!A2:A4,0),MATCH(J76,Sheet1!B1:D1,0))/H77&gt;1,0,1))</f>
        <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1199</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180"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Click 'g' for 7 parameter(s), then complete all visible data grading questions to enable the Data Validity Score to calculate</v>
      </c>
      <c r="D84" s="1181"/>
      <c r="E84" s="1181"/>
      <c r="F84" s="1181"/>
      <c r="G84" s="1181"/>
      <c r="H84" s="1181"/>
      <c r="I84" s="1181"/>
      <c r="J84" s="1181"/>
      <c r="K84" s="1181"/>
      <c r="L84" s="1181"/>
      <c r="M84" s="1181"/>
      <c r="N84" s="1181"/>
      <c r="O84" s="1181"/>
      <c r="P84" s="1181"/>
      <c r="Q84" s="1181"/>
      <c r="R84" s="1182"/>
      <c r="S84" s="989" t="s">
        <v>1158</v>
      </c>
      <c r="T84" s="379"/>
      <c r="U84" s="380"/>
      <c r="V84" s="121"/>
      <c r="W84" s="79">
        <f>'M36 Refs'!AN118</f>
        <v>7</v>
      </c>
      <c r="X84" s="71" t="str">
        <f>Dashboard!BR4</f>
        <v>N/A*</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179" t="str">
        <f>IF(ISERROR('M36 Refs'!AN118),"",IF('M36 Refs'!AN118&lt;=0,"A weighted scale for the components of supply, consumption and water loss is included in the calculation of the Water Audit Data Validity Score",""))</f>
        <v/>
      </c>
      <c r="D86" s="1179"/>
      <c r="E86" s="1179"/>
      <c r="F86" s="1179"/>
      <c r="G86" s="1179"/>
      <c r="H86" s="1179"/>
      <c r="I86" s="1179"/>
      <c r="J86" s="1179"/>
      <c r="K86" s="1179"/>
      <c r="L86" s="1179"/>
      <c r="M86" s="1179"/>
      <c r="N86" s="1179"/>
      <c r="O86" s="1179"/>
      <c r="P86" s="1179"/>
      <c r="Q86" s="1179"/>
      <c r="R86" s="1179"/>
      <c r="S86" s="381"/>
      <c r="T86" s="381"/>
      <c r="U86" s="380"/>
      <c r="V86" s="121"/>
      <c r="W86" s="79"/>
    </row>
    <row r="87" spans="1:31" s="65" customFormat="1" ht="21.75" customHeight="1">
      <c r="A87" s="122"/>
      <c r="B87" s="667"/>
      <c r="C87" s="722" t="s">
        <v>1162</v>
      </c>
      <c r="D87" s="1032"/>
      <c r="E87" s="1032"/>
      <c r="F87" s="1033"/>
      <c r="G87" s="1033"/>
      <c r="H87" s="1033"/>
      <c r="I87" s="1033"/>
      <c r="J87" s="1033"/>
      <c r="K87" s="1033"/>
      <c r="L87" s="722" t="s">
        <v>1166</v>
      </c>
      <c r="N87" s="1033"/>
      <c r="O87" s="304"/>
      <c r="P87" s="674"/>
      <c r="Q87" s="674"/>
      <c r="R87" s="674"/>
      <c r="S87" s="387"/>
      <c r="T87" s="387"/>
      <c r="U87" s="380"/>
      <c r="V87" s="122"/>
      <c r="AB87" s="71"/>
      <c r="AC87" s="71"/>
      <c r="AD87" s="71"/>
      <c r="AE87" s="71"/>
    </row>
    <row r="88" spans="1:31" s="65" customFormat="1" ht="19.5" customHeight="1">
      <c r="A88" s="122"/>
      <c r="B88" s="667"/>
      <c r="C88" s="1005" t="s">
        <v>707</v>
      </c>
      <c r="D88" s="1003"/>
      <c r="E88" s="1003"/>
      <c r="F88" s="1003"/>
      <c r="G88" s="1003"/>
      <c r="H88" s="1003"/>
      <c r="I88" s="1003"/>
      <c r="J88" s="1003"/>
      <c r="K88" s="1003"/>
      <c r="L88" s="1005" t="s">
        <v>1216</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c>
      <c r="D89" s="389"/>
      <c r="E89" s="622"/>
      <c r="F89" s="390"/>
      <c r="G89" s="389"/>
      <c r="H89" s="72"/>
      <c r="I89" s="72"/>
      <c r="J89" s="72"/>
      <c r="K89" s="72"/>
      <c r="L89" s="72"/>
      <c r="M89" s="72"/>
      <c r="N89" s="72"/>
      <c r="Q89" s="72"/>
      <c r="R89" s="1010" t="s">
        <v>1163</v>
      </c>
      <c r="S89" s="1008"/>
      <c r="T89" s="1011" t="str">
        <f>Dashboard!AD29</f>
        <v/>
      </c>
      <c r="U89" s="380"/>
      <c r="V89" s="122"/>
      <c r="AB89" s="71"/>
      <c r="AC89" s="71"/>
      <c r="AD89" s="71"/>
      <c r="AE89" s="71"/>
    </row>
    <row r="90" spans="1:31" s="65" customFormat="1" ht="15" customHeight="1">
      <c r="A90" s="122"/>
      <c r="B90" s="667"/>
      <c r="C90" s="599" t="str">
        <f ca="1">IFERROR(IF(ISERROR('M36 Refs'!AN118),"","     2: "&amp;VLOOKUP(2,'M36 Refs'!$AJ$98:$AK$117,2,FALSE)),"")</f>
        <v/>
      </c>
      <c r="D90" s="389"/>
      <c r="E90" s="622"/>
      <c r="F90" s="390"/>
      <c r="G90" s="389"/>
      <c r="H90" s="72"/>
      <c r="I90" s="72"/>
      <c r="J90" s="72"/>
      <c r="K90" s="72"/>
      <c r="L90" s="72"/>
      <c r="M90" s="72"/>
      <c r="N90" s="72"/>
      <c r="Q90" s="72"/>
      <c r="R90" s="1010" t="s">
        <v>1164</v>
      </c>
      <c r="S90" s="1008"/>
      <c r="T90" s="1012" t="str">
        <f>Dashboard!AN29</f>
        <v/>
      </c>
      <c r="U90" s="380"/>
      <c r="V90" s="122"/>
      <c r="AB90" s="71"/>
      <c r="AC90" s="71"/>
      <c r="AD90" s="71"/>
      <c r="AE90" s="71"/>
    </row>
    <row r="91" spans="1:31" s="65" customFormat="1" ht="15" customHeight="1">
      <c r="A91" s="122"/>
      <c r="B91" s="667"/>
      <c r="C91" s="599" t="str">
        <f ca="1">IFERROR(IF(ISERROR('M36 Refs'!AN118),"","     3: "&amp;VLOOKUP(3,'M36 Refs'!$AJ$98:$AK$117,2,FALSE)),"")</f>
        <v/>
      </c>
      <c r="D91" s="389"/>
      <c r="E91" s="622"/>
      <c r="F91" s="390"/>
      <c r="G91" s="389"/>
      <c r="H91" s="72"/>
      <c r="I91" s="72"/>
      <c r="J91" s="72"/>
      <c r="K91" s="72"/>
      <c r="L91" s="72"/>
      <c r="M91" s="72"/>
      <c r="N91" s="72"/>
      <c r="Q91" s="72"/>
      <c r="R91" s="1010" t="s">
        <v>1187</v>
      </c>
      <c r="S91" s="1008"/>
      <c r="T91" s="1013" t="str">
        <f>Dashboard!AX29</f>
        <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1188</v>
      </c>
      <c r="S92" s="1009"/>
      <c r="T92" s="1013" t="str">
        <f>Dashboard!AV41</f>
        <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1198</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3.8"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3.8"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3.8"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00" spans="1:31" hidden="1"/>
    <row r="101" spans="1:31" hidden="1"/>
    <row r="102" spans="1:31" hidden="1"/>
    <row r="103" spans="1:31" hidden="1"/>
    <row r="104" spans="1:31" hidden="1"/>
    <row r="105" spans="1:31" hidden="1"/>
    <row r="106" spans="1:31" hidden="1"/>
    <row r="107" spans="1:31" hidden="1"/>
    <row r="108" spans="1:31" hidden="1"/>
    <row r="109" spans="1:31" hidden="1"/>
    <row r="110" spans="1:31" hidden="1"/>
    <row r="111" spans="1:31" hidden="1"/>
    <row r="112" spans="1:31" hidden="1"/>
    <row r="113" hidden="1"/>
    <row r="114" hidden="1"/>
    <row r="115" hidden="1"/>
    <row r="116" hidden="1"/>
    <row r="117" hidden="1"/>
    <row r="118" hidden="1"/>
    <row r="119" hidden="1"/>
    <row r="120" hidden="1"/>
    <row r="121" hidden="1"/>
    <row r="122" hidden="1"/>
    <row r="123" hidden="1"/>
    <row r="124" hidden="1"/>
    <row r="125" hidden="1"/>
    <row r="126" hidden="1"/>
    <row r="127" hidden="1"/>
    <row r="128" ht="15" hidden="1" customHeight="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C5" sqref="C5:D5"/>
    </sheetView>
  </sheetViews>
  <sheetFormatPr defaultColWidth="8.88671875" defaultRowHeight="10.199999999999999" zeroHeight="1"/>
  <cols>
    <col min="1" max="1" width="0.6640625" style="268" customWidth="1"/>
    <col min="2" max="2" width="7.109375" style="268" customWidth="1"/>
    <col min="3" max="3" width="54.5546875" style="268" customWidth="1"/>
    <col min="4" max="4" width="75.109375" style="268" customWidth="1"/>
    <col min="5" max="5" width="12.109375" style="872" customWidth="1"/>
    <col min="6" max="6" width="1.88671875" style="268" hidden="1" customWidth="1"/>
    <col min="7" max="7" width="4.44140625" style="951" hidden="1" customWidth="1"/>
    <col min="8" max="8" width="10.44140625" style="951" hidden="1" customWidth="1"/>
    <col min="9" max="9" width="12.109375" style="952" hidden="1" customWidth="1"/>
    <col min="10" max="10" width="18.109375" style="951" hidden="1" customWidth="1"/>
    <col min="11" max="18" width="8.88671875" style="951" hidden="1" customWidth="1"/>
    <col min="19" max="19" width="4.5546875" style="268" hidden="1" customWidth="1"/>
    <col min="20" max="26" width="8.88671875" style="268" hidden="1" customWidth="1"/>
    <col min="27" max="16384" width="8.88671875" style="268"/>
  </cols>
  <sheetData>
    <row r="1" spans="1:20" ht="15" customHeight="1">
      <c r="A1" s="718"/>
      <c r="B1" s="1061" t="str">
        <f>IF(ISBLANK('Start Page'!AB9),"Enter info on Start Page",'Start Page'!AB9&amp;IF(ISBLANK('Start Page'!AM28),"","  ("&amp;'Start Page'!AM28&amp;")"))</f>
        <v>Enter info on Start Page</v>
      </c>
      <c r="C1" s="718"/>
      <c r="D1" s="719"/>
      <c r="E1" s="1042" t="s">
        <v>1159</v>
      </c>
    </row>
    <row r="2" spans="1:20" ht="30.6" customHeight="1">
      <c r="A2" s="562"/>
      <c r="B2" s="1041" t="str">
        <f>IF(ISBLANK('Start Page'!AB18),"",'Start Page'!AB18)</f>
        <v/>
      </c>
      <c r="C2" s="562"/>
      <c r="D2" s="562"/>
      <c r="E2" s="1220" t="s">
        <v>1234</v>
      </c>
    </row>
    <row r="3" spans="1:20" ht="38.25" customHeight="1">
      <c r="A3" s="562"/>
      <c r="B3" s="991"/>
      <c r="C3" s="562"/>
      <c r="D3" s="562"/>
      <c r="E3" s="1221"/>
    </row>
    <row r="4" spans="1:20" ht="1.35" customHeight="1"/>
    <row r="5" spans="1:20" s="563" customFormat="1" ht="16.350000000000001" customHeight="1">
      <c r="A5" s="1214" t="s">
        <v>1137</v>
      </c>
      <c r="B5" s="1215"/>
      <c r="C5" s="1216" t="s">
        <v>328</v>
      </c>
      <c r="D5" s="1216"/>
      <c r="E5" s="1042" t="s">
        <v>1138</v>
      </c>
      <c r="G5" s="953"/>
      <c r="H5" s="953"/>
      <c r="I5" s="954"/>
      <c r="J5" s="953"/>
      <c r="K5" s="953"/>
      <c r="L5" s="953"/>
      <c r="M5" s="953"/>
      <c r="N5" s="953"/>
      <c r="O5" s="953"/>
      <c r="P5" s="953"/>
      <c r="Q5" s="953"/>
      <c r="R5" s="953"/>
    </row>
    <row r="6" spans="1:20" ht="14.4" customHeight="1">
      <c r="A6" s="269"/>
      <c r="B6" s="269"/>
      <c r="C6" s="1217" t="str">
        <f>IF(OR(AND(D8="Yes",Worksheet!H15&gt;0),AND(D8="No",Worksheet!H15&lt;=0),LEN(D8)=0),"","Inconsistency between Worksheet VOS input and vos.0 response")</f>
        <v/>
      </c>
      <c r="D6" s="1217"/>
      <c r="E6" s="871"/>
      <c r="F6" s="402"/>
      <c r="H6" s="955"/>
      <c r="I6" s="955"/>
      <c r="P6" s="967" t="s">
        <v>657</v>
      </c>
      <c r="T6" s="268" t="s">
        <v>1262</v>
      </c>
    </row>
    <row r="7" spans="1:20" s="680" customFormat="1" ht="12">
      <c r="A7" s="676"/>
      <c r="B7" s="677" t="s">
        <v>316</v>
      </c>
      <c r="C7" s="678" t="s">
        <v>305</v>
      </c>
      <c r="D7" s="678" t="s">
        <v>663</v>
      </c>
      <c r="E7" s="870"/>
      <c r="F7" s="679"/>
      <c r="G7" s="956"/>
      <c r="H7" s="957" t="s">
        <v>303</v>
      </c>
      <c r="I7" s="957" t="s">
        <v>296</v>
      </c>
      <c r="J7" s="956" t="s">
        <v>794</v>
      </c>
      <c r="K7" s="956"/>
      <c r="L7" s="956"/>
      <c r="M7" s="956"/>
      <c r="N7" s="956"/>
      <c r="O7" s="956"/>
      <c r="P7" s="975" t="str">
        <f>VOS!C23</f>
        <v>&lt;25%</v>
      </c>
      <c r="Q7" s="976">
        <v>0</v>
      </c>
      <c r="R7" s="956" t="e">
        <f>VLOOKUP(D9,$P$7:$Q$15,2,FALSE)</f>
        <v>#N/A</v>
      </c>
      <c r="S7" s="680" t="s">
        <v>909</v>
      </c>
      <c r="T7" s="680">
        <v>1</v>
      </c>
    </row>
    <row r="8" spans="1:20" ht="20.100000000000001" customHeight="1">
      <c r="A8" s="269"/>
      <c r="B8" s="659" t="s">
        <v>440</v>
      </c>
      <c r="C8" s="1034" t="str">
        <f>VOS!B34</f>
        <v>Did the water utility supply any water from its own sources during the audit year?</v>
      </c>
      <c r="D8" s="404"/>
      <c r="E8" s="870"/>
      <c r="F8" s="402"/>
      <c r="I8" s="958"/>
      <c r="J8" s="951" t="s">
        <v>793</v>
      </c>
      <c r="P8" s="977" t="str">
        <f>VOS!C24</f>
        <v>25-50%</v>
      </c>
      <c r="Q8" s="978">
        <v>0</v>
      </c>
      <c r="R8" s="951" t="e">
        <f>VLOOKUP(D63,$P$7:$Q$15,2,FALSE)</f>
        <v>#N/A</v>
      </c>
      <c r="S8" s="268" t="s">
        <v>910</v>
      </c>
      <c r="T8" s="268">
        <v>2</v>
      </c>
    </row>
    <row r="9" spans="1:20" ht="17.850000000000001" customHeight="1">
      <c r="A9" s="269"/>
      <c r="B9" s="659" t="s">
        <v>306</v>
      </c>
      <c r="C9" s="1034" t="str">
        <f>VOS!B35</f>
        <v>What percent of own supply volume is metered?</v>
      </c>
      <c r="D9" s="404"/>
      <c r="E9" s="870" t="str">
        <f>IF(OR(D20=10,NOT(ISNUMBER(D20))),"",IF(I9=I20,"Limiting",IF(VLOOKUP(D9,$P$7:$Q$15,2,FALSE)=0,"Limiting","")))</f>
        <v/>
      </c>
      <c r="F9" s="402"/>
      <c r="G9" s="951">
        <f>IF(LEN(D9)&gt;0,1,0)</f>
        <v>0</v>
      </c>
      <c r="H9" s="959" t="e">
        <f>VLOOKUP('Interactive Data Grading'!D9,VOS!$C$6:$M$16,11,FALSE)</f>
        <v>#N/A</v>
      </c>
      <c r="I9" s="959" t="e">
        <f>H9</f>
        <v>#N/A</v>
      </c>
      <c r="P9" s="977" t="str">
        <f>VOS!C25</f>
        <v>&gt;50-75%</v>
      </c>
      <c r="Q9" s="978">
        <v>0</v>
      </c>
      <c r="R9" s="951" t="e">
        <f>VLOOKUP(D116,$P$7:$Q$15,2,FALSE)</f>
        <v>#N/A</v>
      </c>
      <c r="S9" s="268" t="s">
        <v>911</v>
      </c>
      <c r="T9" s="268">
        <v>3</v>
      </c>
    </row>
    <row r="10" spans="1:20" ht="64.349999999999994" customHeight="1">
      <c r="A10" s="269"/>
      <c r="C10" s="1225" t="s">
        <v>1235</v>
      </c>
      <c r="D10" s="1226"/>
      <c r="E10" s="870"/>
      <c r="F10" s="402"/>
      <c r="H10" s="959"/>
      <c r="I10" s="959"/>
      <c r="P10" s="977"/>
      <c r="Q10" s="978"/>
      <c r="T10" s="268">
        <v>4</v>
      </c>
    </row>
    <row r="11" spans="1:20" ht="20.100000000000001" customHeight="1">
      <c r="A11" s="269"/>
      <c r="B11" s="659" t="s">
        <v>307</v>
      </c>
      <c r="C11" s="1034" t="str">
        <f>VOS!B36</f>
        <v>What is the frequency of electronic calibration?</v>
      </c>
      <c r="D11" s="404"/>
      <c r="E11" s="870" t="str">
        <f>IFERROR(IF(OR(D20=10,NOT(ISNUMBER(D20))),"",IF(I11=I20,"Limiting","")),"")</f>
        <v/>
      </c>
      <c r="F11" s="402"/>
      <c r="G11" s="951" t="str">
        <f>IFERROR(IF(H9&lt;7,1,IF(LEN(D11)&gt;0,1,0)),"")</f>
        <v/>
      </c>
      <c r="H11" s="959" t="e">
        <f>VLOOKUP('Interactive Data Grading'!D11,VOS!$D$6:$M$16,10,FALSE)</f>
        <v>#N/A</v>
      </c>
      <c r="I11" s="960" t="e">
        <f>IF(AND(H11&gt;=7,H14&gt;=7),MAX(H11,9),IF(AND(H11&gt;3,H11&lt;7,H14&gt;3,H14&lt;7),MAX(H11,H14),IF(H14&gt;=7,MAX(7,H11),H11)))</f>
        <v>#N/A</v>
      </c>
      <c r="P11" s="977" t="str">
        <f>VOS!C26</f>
        <v>&gt;75% - 90%</v>
      </c>
      <c r="Q11" s="978">
        <v>0</v>
      </c>
    </row>
    <row r="12" spans="1:20" ht="22.5" customHeight="1">
      <c r="A12" s="269"/>
      <c r="B12" s="659" t="s">
        <v>308</v>
      </c>
      <c r="C12" s="1034" t="str">
        <f>VOS!B37</f>
        <v>What level of data transfer errors are checked as part of the electronic calibration process?</v>
      </c>
      <c r="D12" s="409"/>
      <c r="E12" s="870" t="str">
        <f t="shared" ref="E12:E13" si="0">IFERROR(IF(OR($D$20=10,NOT(ISNUMBER($D$20))),"",IF(I12=$I$20,"Limiting","")),"")</f>
        <v/>
      </c>
      <c r="F12" s="402"/>
      <c r="G12" s="951" t="str">
        <f>IFERROR(IF(H9&lt;7,1,IF(OR(D11=VOS!D23,D11=VOS!D27),1,IF(LEN(D12)&gt;0,1,0))),"")</f>
        <v/>
      </c>
      <c r="H12" s="959" t="e">
        <f>VLOOKUP('Interactive Data Grading'!D12,VOS!$E$6:$M$16,9,FALSE)</f>
        <v>#N/A</v>
      </c>
      <c r="I12" s="959" t="e">
        <f>H12</f>
        <v>#N/A</v>
      </c>
      <c r="J12" s="951" t="s">
        <v>307</v>
      </c>
      <c r="P12" s="977"/>
      <c r="Q12" s="978"/>
    </row>
    <row r="13" spans="1:20" ht="20.100000000000001" customHeight="1">
      <c r="A13" s="269"/>
      <c r="B13" s="659" t="s">
        <v>309</v>
      </c>
      <c r="C13" s="1034" t="str">
        <f>VOS!B38</f>
        <v>Is the most recent electronic calibration documentation available for review?</v>
      </c>
      <c r="D13" s="404"/>
      <c r="E13" s="870" t="str">
        <f t="shared" si="0"/>
        <v/>
      </c>
      <c r="F13" s="402"/>
      <c r="G13" s="961" t="str">
        <f>IFERROR(IF(H9&lt;7,1,IF(OR(D11=VOS!D23,D11=VOS!D27),1,IF(LEN(D13)&gt;0,1,0))),"")</f>
        <v/>
      </c>
      <c r="H13" s="959" t="e">
        <f>VLOOKUP('Interactive Data Grading'!D13,VOS!$F$6:$M$16,8,FALSE)</f>
        <v>#N/A</v>
      </c>
      <c r="I13" s="960" t="e">
        <f>IF(D11=VOS!D23,X,IF(AND(H13=5,H15=10),7,H13))</f>
        <v>#N/A</v>
      </c>
      <c r="J13" s="951" t="s">
        <v>307</v>
      </c>
      <c r="P13" s="1073" t="str">
        <f>VOS!C27</f>
        <v>&gt;90% - 95%</v>
      </c>
      <c r="Q13" s="1074">
        <v>1</v>
      </c>
    </row>
    <row r="14" spans="1:20" ht="20.25" customHeight="1">
      <c r="A14" s="269"/>
      <c r="B14" s="659" t="s">
        <v>310</v>
      </c>
      <c r="C14" s="1034" t="str">
        <f>VOS!B39</f>
        <v>What is the frequency of in-situ flow accuracy testing?</v>
      </c>
      <c r="D14" s="404"/>
      <c r="E14" s="870" t="str">
        <f t="shared" ref="E14:E19" si="1">IFERROR(IF(OR($D$20=10,NOT(ISNUMBER($D$20))),"",IF(I14=$I$20,"Limiting","")),"")</f>
        <v/>
      </c>
      <c r="F14" s="402"/>
      <c r="G14" s="951" t="str">
        <f>IF(D13=VOS!F23,1,IFERROR(IF(H9&lt;7,1,IF(LEN(D14)&gt;0,1,0)),""))</f>
        <v/>
      </c>
      <c r="H14" s="959" t="e">
        <f>VLOOKUP('Interactive Data Grading'!D14,VOS!$G$6:$M$16,7,FALSE)</f>
        <v>#N/A</v>
      </c>
      <c r="I14" s="960" t="e">
        <f>IF(AND(H11&gt;=7,H14&gt;=7),MAX(H14,9),IF(AND(H11&gt;3,H11&lt;7,H14&gt;3,H14&lt;7),MAX(H11,H14),IF(H11&gt;=7,MAX(7,H14),H14)))</f>
        <v>#N/A</v>
      </c>
      <c r="P14" s="1073" t="str">
        <f>VOS!C28</f>
        <v>&gt;95 - 99%</v>
      </c>
      <c r="Q14" s="1074">
        <v>1</v>
      </c>
    </row>
    <row r="15" spans="1:20" ht="26.1" customHeight="1">
      <c r="A15" s="269"/>
      <c r="B15" s="659" t="s">
        <v>311</v>
      </c>
      <c r="C15" s="1034" t="str">
        <f>VOS!B40</f>
        <v>Is the most recent in-situ flow accuracy testing documentation available for review?</v>
      </c>
      <c r="D15" s="404"/>
      <c r="E15" s="870" t="str">
        <f t="shared" si="1"/>
        <v/>
      </c>
      <c r="F15" s="402"/>
      <c r="G15" s="951" t="str">
        <f>IFERROR(IF(H9&lt;7,1,IF(D14=VOS!G23,1,IF(LEN(D15)&gt;0,1,0))),"")</f>
        <v/>
      </c>
      <c r="H15" s="959" t="e">
        <f>VLOOKUP('Interactive Data Grading'!D15,VOS!$H$6:$M$16,6,FALSE)</f>
        <v>#N/A</v>
      </c>
      <c r="I15" s="960" t="e">
        <f>IF(D14=VOS!G23,X,IF(AND(H15=5,H13=10),7,H15))</f>
        <v>#N/A</v>
      </c>
      <c r="J15" s="951" t="s">
        <v>309</v>
      </c>
      <c r="P15" s="1075" t="s">
        <v>293</v>
      </c>
      <c r="Q15" s="1076">
        <v>1</v>
      </c>
    </row>
    <row r="16" spans="1:20" ht="23.85" customHeight="1">
      <c r="A16" s="269"/>
      <c r="B16" s="659" t="s">
        <v>312</v>
      </c>
      <c r="C16" s="1034" t="str">
        <f>VOS!B41</f>
        <v>What are the total volume-weighted average results of in-situ flow accuracy testing (during or closest to audit year)?</v>
      </c>
      <c r="D16" s="404"/>
      <c r="E16" s="870" t="str">
        <f t="shared" si="1"/>
        <v/>
      </c>
      <c r="F16" s="402"/>
      <c r="G16" s="951" t="str">
        <f>IFERROR(IF(H9&lt;7,1,IF(OR(D14=VOS!D23,D15=VOS!H23),1,IF(LEN(D16)&gt;0,1,0))),"")</f>
        <v/>
      </c>
      <c r="H16" s="959" t="e">
        <f>VLOOKUP('Interactive Data Grading'!D16,VOS!$I$6:$M$16,5,FALSE)</f>
        <v>#N/A</v>
      </c>
      <c r="I16" s="960" t="e">
        <f>IF(OR(D14=VOS!D23,D15=VOS!H23),X,H16)</f>
        <v>#N/A</v>
      </c>
      <c r="J16" s="951" t="s">
        <v>792</v>
      </c>
    </row>
    <row r="17" spans="1:18" ht="32.85" customHeight="1">
      <c r="A17" s="269"/>
      <c r="B17" s="659" t="s">
        <v>313</v>
      </c>
      <c r="C17" s="1034" t="str">
        <f>VOS!B42</f>
        <v>Have testing and calibration procedures been closely scrutinized for compliance with procedures described in the AWWA M36 and/or M33 Manual(s)?</v>
      </c>
      <c r="D17" s="404"/>
      <c r="E17" s="870" t="str">
        <f t="shared" si="1"/>
        <v/>
      </c>
      <c r="F17" s="402"/>
      <c r="G17" s="951" t="str">
        <f>IFERROR(IF(H9&lt;7,1,IF(AND(OR(D11=VOS!D23,D11=VOS!D27),D14=VOS!G23),1,IF(LEN(D17)&gt;0,1,0))),"")</f>
        <v/>
      </c>
      <c r="H17" s="959" t="e">
        <f>VLOOKUP('Interactive Data Grading'!D17,VOS!$J$6:$M$16,4,FALSE)</f>
        <v>#N/A</v>
      </c>
      <c r="I17" s="960" t="e">
        <f>IF(OR(D14=VOS!D23,D15=VOS!H23),X,H17)</f>
        <v>#N/A</v>
      </c>
      <c r="J17" s="961" t="s">
        <v>881</v>
      </c>
    </row>
    <row r="18" spans="1:18" ht="22.35" customHeight="1">
      <c r="A18" s="269"/>
      <c r="B18" s="659" t="s">
        <v>314</v>
      </c>
      <c r="C18" s="1034" t="str">
        <f>VOS!B43</f>
        <v>Which best describes the frequency of finished water meter readings?</v>
      </c>
      <c r="D18" s="404"/>
      <c r="E18" s="870" t="str">
        <f t="shared" si="1"/>
        <v/>
      </c>
      <c r="F18" s="402"/>
      <c r="G18" s="951" t="str">
        <f>IFERROR(IF(H9&lt;7,1,IF(LEN(D18)&gt;0,1,0)),"")</f>
        <v/>
      </c>
      <c r="H18" s="959" t="e">
        <f>VLOOKUP('Interactive Data Grading'!D18,VOS!$K$6:$M$16,3,FALSE)</f>
        <v>#N/A</v>
      </c>
      <c r="I18" s="959" t="e">
        <f>H18</f>
        <v>#N/A</v>
      </c>
    </row>
    <row r="19" spans="1:18" ht="37.35" customHeight="1">
      <c r="A19" s="269"/>
      <c r="B19" s="659" t="s">
        <v>795</v>
      </c>
      <c r="C19" s="1034" t="str">
        <f>VOS!B44</f>
        <v>Which best describes the frequency of data review for anomalies/errors? These can include numbers that are outside of typical patterns, and zero or 'null' values that may reflect a gap in data recording.</v>
      </c>
      <c r="D19" s="404"/>
      <c r="E19" s="870" t="str">
        <f t="shared" si="1"/>
        <v/>
      </c>
      <c r="F19" s="402"/>
      <c r="G19" s="951" t="str">
        <f>IFERROR(IF(H9&lt;7,1,IF(LEN(D19)&gt;0,1,0)),"")</f>
        <v/>
      </c>
      <c r="H19" s="959" t="e">
        <f>VLOOKUP('Interactive Data Grading'!D19,VOS!$L$6:$M$16,2,FALSE)</f>
        <v>#N/A</v>
      </c>
      <c r="I19" s="959" t="e">
        <f>H19</f>
        <v>#N/A</v>
      </c>
    </row>
    <row r="20" spans="1:18" ht="27.6" customHeight="1">
      <c r="A20" s="269"/>
      <c r="B20" s="269"/>
      <c r="C20" s="675" t="s">
        <v>315</v>
      </c>
      <c r="D20" s="873" t="str">
        <f>IF(D8="","",IF(D8="No","n/a",IF(G20=0,"",IF(R7=0,H9,I20))))</f>
        <v/>
      </c>
      <c r="E20" s="870"/>
      <c r="F20" s="402"/>
      <c r="G20" s="952">
        <f>MIN(G9:G19)</f>
        <v>0</v>
      </c>
      <c r="H20" s="962" t="e">
        <f>MIN(H9:H19)</f>
        <v>#N/A</v>
      </c>
      <c r="I20" s="962">
        <f t="array" ref="I20">MIN(IF(ISNUMBER(I9:I19),I9:I19))</f>
        <v>0</v>
      </c>
      <c r="J20" s="952" t="s">
        <v>656</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8.1" customHeight="1">
      <c r="C23" s="672"/>
      <c r="D23" s="672"/>
      <c r="E23" s="992"/>
      <c r="G23" s="963"/>
      <c r="H23" s="963"/>
      <c r="I23" s="964"/>
      <c r="J23" s="963"/>
      <c r="K23" s="963"/>
      <c r="L23" s="963"/>
      <c r="M23" s="963"/>
      <c r="N23" s="963"/>
      <c r="O23" s="963"/>
      <c r="P23" s="963"/>
      <c r="Q23" s="963"/>
      <c r="R23" s="963"/>
    </row>
    <row r="24" spans="1:18" s="564" customFormat="1" ht="8.4"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8.1" customHeight="1">
      <c r="C26" s="672"/>
      <c r="D26" s="672"/>
      <c r="E26" s="992"/>
      <c r="G26" s="963"/>
      <c r="H26" s="963"/>
      <c r="I26" s="964"/>
      <c r="J26" s="963"/>
      <c r="K26" s="963"/>
      <c r="L26" s="963"/>
      <c r="M26" s="963"/>
      <c r="N26" s="963"/>
      <c r="O26" s="963"/>
      <c r="P26" s="963"/>
      <c r="Q26" s="963"/>
      <c r="R26" s="963"/>
    </row>
    <row r="27" spans="1:18" s="564" customFormat="1" ht="8.1" customHeight="1">
      <c r="C27" s="672"/>
      <c r="D27" s="672"/>
      <c r="E27" s="992"/>
      <c r="G27" s="963"/>
      <c r="H27" s="963"/>
      <c r="I27" s="964"/>
      <c r="J27" s="963"/>
      <c r="K27" s="963"/>
      <c r="L27" s="963"/>
      <c r="M27" s="963"/>
      <c r="N27" s="963"/>
      <c r="O27" s="963"/>
      <c r="P27" s="963"/>
      <c r="Q27" s="963"/>
      <c r="R27" s="963"/>
    </row>
    <row r="28" spans="1:18" s="564" customFormat="1" ht="8.1" customHeight="1">
      <c r="C28" s="672"/>
      <c r="D28" s="672"/>
      <c r="E28" s="992"/>
      <c r="G28" s="963"/>
      <c r="H28" s="963"/>
      <c r="I28" s="964"/>
      <c r="J28" s="963"/>
      <c r="K28" s="963"/>
      <c r="L28" s="963"/>
      <c r="M28" s="963"/>
      <c r="N28" s="963"/>
      <c r="O28" s="963"/>
      <c r="P28" s="963"/>
      <c r="Q28" s="963"/>
      <c r="R28" s="963"/>
    </row>
    <row r="29" spans="1:18" s="564" customFormat="1" ht="8.1" customHeight="1">
      <c r="C29" s="672"/>
      <c r="D29" s="672"/>
      <c r="E29" s="992"/>
      <c r="G29" s="963"/>
      <c r="H29" s="963"/>
      <c r="I29" s="964"/>
      <c r="J29" s="963"/>
      <c r="K29" s="963"/>
      <c r="L29" s="963"/>
      <c r="M29" s="963"/>
      <c r="N29" s="963"/>
      <c r="O29" s="963"/>
      <c r="P29" s="963"/>
      <c r="Q29" s="963"/>
      <c r="R29" s="963"/>
    </row>
    <row r="30" spans="1:18" s="564" customFormat="1" ht="8.1" customHeight="1">
      <c r="C30" s="672"/>
      <c r="D30" s="672"/>
      <c r="E30" s="992"/>
      <c r="G30" s="963"/>
      <c r="H30" s="963"/>
      <c r="I30" s="964"/>
      <c r="J30" s="963"/>
      <c r="K30" s="963"/>
      <c r="L30" s="963"/>
      <c r="M30" s="963"/>
      <c r="N30" s="963"/>
      <c r="O30" s="963"/>
      <c r="P30" s="963"/>
      <c r="Q30" s="963"/>
      <c r="R30" s="963"/>
    </row>
    <row r="31" spans="1:18" s="564" customFormat="1" ht="8.1" customHeight="1">
      <c r="C31" s="672"/>
      <c r="D31" s="672"/>
      <c r="E31" s="992"/>
      <c r="G31" s="963"/>
      <c r="H31" s="963"/>
      <c r="I31" s="964"/>
      <c r="J31" s="963"/>
      <c r="K31" s="963"/>
      <c r="L31" s="963"/>
      <c r="M31" s="963"/>
      <c r="N31" s="963"/>
      <c r="O31" s="963"/>
      <c r="P31" s="963"/>
      <c r="Q31" s="963"/>
      <c r="R31" s="963"/>
    </row>
    <row r="32" spans="1:18" s="564" customFormat="1" ht="8.4" customHeight="1">
      <c r="C32" s="672"/>
      <c r="D32" s="672"/>
      <c r="E32" s="992"/>
      <c r="G32" s="963"/>
      <c r="H32" s="963"/>
      <c r="I32" s="964"/>
      <c r="J32" s="963"/>
      <c r="K32" s="963"/>
      <c r="L32" s="963"/>
      <c r="M32" s="963"/>
      <c r="N32" s="963"/>
      <c r="O32" s="963"/>
      <c r="P32" s="963"/>
      <c r="Q32" s="963"/>
      <c r="R32" s="963"/>
    </row>
    <row r="33" spans="1:18" s="564" customFormat="1" ht="8.4" customHeight="1">
      <c r="C33" s="672"/>
      <c r="D33" s="672"/>
      <c r="E33" s="992"/>
      <c r="G33" s="963"/>
      <c r="H33" s="963"/>
      <c r="I33" s="964"/>
      <c r="J33" s="963"/>
      <c r="K33" s="963"/>
      <c r="L33" s="963"/>
      <c r="M33" s="963"/>
      <c r="N33" s="963"/>
      <c r="O33" s="963"/>
      <c r="P33" s="963"/>
      <c r="Q33" s="963"/>
      <c r="R33" s="963"/>
    </row>
    <row r="34" spans="1:18" s="564" customFormat="1" ht="8.4"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14" t="s">
        <v>1137</v>
      </c>
      <c r="B36" s="1215"/>
      <c r="C36" s="1216" t="s">
        <v>344</v>
      </c>
      <c r="D36" s="1216"/>
      <c r="E36" s="1042" t="s">
        <v>1138</v>
      </c>
      <c r="G36" s="963"/>
      <c r="H36" s="963" t="s">
        <v>532</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358</v>
      </c>
      <c r="C38" s="678" t="s">
        <v>305</v>
      </c>
      <c r="D38" s="678" t="s">
        <v>663</v>
      </c>
      <c r="E38" s="870"/>
      <c r="F38" s="679"/>
      <c r="G38" s="956"/>
      <c r="H38" s="957" t="s">
        <v>303</v>
      </c>
      <c r="I38" s="957"/>
      <c r="J38" s="956" t="s">
        <v>794</v>
      </c>
      <c r="K38" s="956"/>
      <c r="L38" s="956"/>
      <c r="M38" s="956"/>
      <c r="N38" s="956"/>
      <c r="O38" s="956"/>
      <c r="P38" s="956"/>
      <c r="Q38" s="956"/>
      <c r="R38" s="956"/>
    </row>
    <row r="39" spans="1:18" ht="27.6" customHeight="1">
      <c r="A39" s="269"/>
      <c r="B39" s="659" t="s">
        <v>339</v>
      </c>
      <c r="C39" s="1035" t="str">
        <f>VOSEA!B34</f>
        <v>Are tank levels monitored automatically &amp; recorded daily?</v>
      </c>
      <c r="D39" s="404"/>
      <c r="E39" s="870" t="str">
        <f>IFERROR(IF(OR($D$43="",$H39=10,NOT(ISNUMBER($H39))),"",IF(H39=$H$43,"Limiting","")),"")</f>
        <v/>
      </c>
      <c r="F39" s="402"/>
      <c r="G39" s="965">
        <f t="shared" ref="G39" si="2">IF(LEN(D39)&gt;0,1,0)</f>
        <v>0</v>
      </c>
      <c r="H39" s="959" t="e">
        <f>VLOOKUP('Interactive Data Grading'!D39,VOSEA!$C$6:$G$18,5,FALSE)</f>
        <v>#N/A</v>
      </c>
      <c r="I39" s="958"/>
    </row>
    <row r="40" spans="1:18" ht="27.6" customHeight="1">
      <c r="A40" s="269"/>
      <c r="B40" s="659" t="s">
        <v>340</v>
      </c>
      <c r="C40" s="1035" t="str">
        <f>VOSEA!B35</f>
        <v>Are daily changes of stored water volumes in distribution system tanks included in the tabulation of the daily "Volume from Own Sources" quantity?</v>
      </c>
      <c r="D40" s="404"/>
      <c r="E40" s="870" t="str">
        <f t="shared" ref="E40:E42" si="3">IFERROR(IF(OR($D$43="",$H40=10,NOT(ISNUMBER($H40))),"",IF(H40=$H$43,"Limiting","")),"")</f>
        <v/>
      </c>
      <c r="F40" s="402"/>
      <c r="G40" s="965">
        <f>IF(OR(LEN(D40)&gt;0,D39=VOSEA!$C$23),1,0)</f>
        <v>0</v>
      </c>
      <c r="H40" s="959" t="e">
        <f>VLOOKUP('Interactive Data Grading'!D40,VOSEA!$D$6:$G$18,4,FALSE)</f>
        <v>#N/A</v>
      </c>
      <c r="I40" s="958"/>
      <c r="J40" s="951" t="s">
        <v>339</v>
      </c>
    </row>
    <row r="41" spans="1:18" ht="27.6" customHeight="1">
      <c r="A41" s="269"/>
      <c r="B41" s="659" t="s">
        <v>341</v>
      </c>
      <c r="C41" s="1035" t="str">
        <f>VOSEA!B36</f>
        <v>Is the annual net distribution storage change included in either the VOS input or the VOSEA input?</v>
      </c>
      <c r="D41" s="404"/>
      <c r="E41" s="870" t="str">
        <f t="shared" si="3"/>
        <v/>
      </c>
      <c r="F41" s="402"/>
      <c r="G41" s="965">
        <f t="shared" ref="G41:G42" si="4">IF(LEN(D41)&gt;0,1,0)</f>
        <v>0</v>
      </c>
      <c r="H41" s="959" t="e">
        <f>VLOOKUP('Interactive Data Grading'!D41,VOSEA!$E$6:$G$18,3,FALSE)</f>
        <v>#N/A</v>
      </c>
      <c r="I41" s="958"/>
    </row>
    <row r="42" spans="1:18" ht="27.6" customHeight="1">
      <c r="A42" s="269"/>
      <c r="B42" s="659" t="s">
        <v>342</v>
      </c>
      <c r="C42" s="1035" t="str">
        <f>VOSEA!B37</f>
        <v>Are the flow accuracy test and/or electronic calibration results included in the VOSEA input in the water audit?</v>
      </c>
      <c r="D42" s="404"/>
      <c r="E42" s="870" t="str">
        <f t="shared" si="3"/>
        <v/>
      </c>
      <c r="F42" s="402"/>
      <c r="G42" s="965">
        <f t="shared" si="4"/>
        <v>0</v>
      </c>
      <c r="H42" s="959" t="e">
        <f>VLOOKUP('Interactive Data Grading'!D42,VOSEA!$F$6:$G$18,2,FALSE)</f>
        <v>#N/A</v>
      </c>
      <c r="I42" s="958"/>
    </row>
    <row r="43" spans="1:18" ht="27.6" customHeight="1">
      <c r="A43" s="269"/>
      <c r="B43" s="269"/>
      <c r="C43" s="675" t="s">
        <v>315</v>
      </c>
      <c r="D43" s="873" t="str">
        <f>IFERROR(IF(D8="No","n/a",IF(G43=0,"",H43)),"")</f>
        <v/>
      </c>
      <c r="E43" s="870"/>
      <c r="F43" s="402"/>
      <c r="G43" s="965">
        <f>MIN(G39:G42)</f>
        <v>0</v>
      </c>
      <c r="H43" s="962">
        <f t="array" ref="H43">MIN(IF(ISNUMBER(H39:H42),H39:H42))</f>
        <v>0</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399999999999999" customHeight="1">
      <c r="C57" s="672"/>
      <c r="D57" s="672"/>
      <c r="E57" s="992"/>
      <c r="G57" s="963"/>
      <c r="H57" s="963"/>
      <c r="I57" s="964"/>
      <c r="J57" s="963"/>
      <c r="K57" s="963"/>
      <c r="L57" s="963"/>
      <c r="M57" s="963"/>
      <c r="N57" s="963"/>
      <c r="O57" s="963"/>
      <c r="P57" s="963"/>
      <c r="Q57" s="963"/>
      <c r="R57" s="963"/>
    </row>
    <row r="58" spans="1:18" s="564" customFormat="1" ht="20.399999999999999" customHeight="1">
      <c r="C58" s="672"/>
      <c r="D58" s="672"/>
      <c r="E58" s="992"/>
      <c r="G58" s="963"/>
      <c r="H58" s="963"/>
      <c r="I58" s="964"/>
      <c r="J58" s="963"/>
      <c r="K58" s="963"/>
      <c r="L58" s="963"/>
      <c r="M58" s="963"/>
      <c r="N58" s="963"/>
      <c r="O58" s="963"/>
      <c r="P58" s="963"/>
      <c r="Q58" s="963"/>
      <c r="R58" s="963"/>
    </row>
    <row r="59" spans="1:18" s="564" customFormat="1" ht="16.350000000000001" customHeight="1">
      <c r="A59" s="1214" t="s">
        <v>1137</v>
      </c>
      <c r="B59" s="1215"/>
      <c r="C59" s="1216" t="s">
        <v>359</v>
      </c>
      <c r="D59" s="1216"/>
      <c r="E59" s="1042" t="s">
        <v>1138</v>
      </c>
      <c r="G59" s="963"/>
      <c r="H59" s="963"/>
      <c r="I59" s="964"/>
      <c r="J59" s="963"/>
      <c r="K59" s="963"/>
      <c r="L59" s="963"/>
      <c r="M59" s="963"/>
      <c r="N59" s="963"/>
      <c r="O59" s="963"/>
      <c r="P59" s="963"/>
      <c r="Q59" s="963"/>
      <c r="R59" s="963"/>
    </row>
    <row r="60" spans="1:18" ht="12.6" customHeight="1">
      <c r="A60" s="269"/>
      <c r="B60" s="269"/>
      <c r="C60" s="1217" t="str">
        <f>IF(OR(AND(D62="Yes",Worksheet!H16&gt;0),AND(D62="No",Worksheet!H16&lt;=0),LEN(D62)=0),"","Inconsistency between Worksheet WI input and Wi.0 response")</f>
        <v/>
      </c>
      <c r="D60" s="1217"/>
      <c r="E60" s="871"/>
      <c r="F60" s="402"/>
      <c r="H60" s="955"/>
      <c r="I60" s="955"/>
    </row>
    <row r="61" spans="1:18" s="680" customFormat="1" ht="12">
      <c r="A61" s="676"/>
      <c r="B61" s="677" t="s">
        <v>360</v>
      </c>
      <c r="C61" s="678" t="s">
        <v>305</v>
      </c>
      <c r="D61" s="678" t="s">
        <v>663</v>
      </c>
      <c r="E61" s="870"/>
      <c r="F61" s="679"/>
      <c r="G61" s="956"/>
      <c r="H61" s="957" t="s">
        <v>303</v>
      </c>
      <c r="I61" s="957" t="s">
        <v>296</v>
      </c>
      <c r="J61" s="956" t="s">
        <v>794</v>
      </c>
      <c r="K61" s="956"/>
      <c r="L61" s="956"/>
      <c r="M61" s="956"/>
      <c r="N61" s="956"/>
      <c r="O61" s="956"/>
      <c r="P61" s="956"/>
      <c r="Q61" s="956"/>
      <c r="R61" s="956"/>
    </row>
    <row r="62" spans="1:18" ht="18" customHeight="1">
      <c r="A62" s="269"/>
      <c r="B62" s="659" t="s">
        <v>441</v>
      </c>
      <c r="C62" s="1034" t="str">
        <f>WI!B34</f>
        <v>Did the water utility import any water during the audit year?</v>
      </c>
      <c r="D62" s="404"/>
      <c r="E62" s="870"/>
      <c r="F62" s="402"/>
      <c r="I62" s="958"/>
      <c r="J62" s="951" t="s">
        <v>793</v>
      </c>
    </row>
    <row r="63" spans="1:18" ht="17.399999999999999" customHeight="1">
      <c r="A63" s="269"/>
      <c r="B63" s="659" t="s">
        <v>347</v>
      </c>
      <c r="C63" s="1034" t="str">
        <f>WI!B35</f>
        <v>What percent of water imported is metered?</v>
      </c>
      <c r="D63" s="404"/>
      <c r="E63" s="870" t="str">
        <f>IF(OR(D74=10,NOT(ISNUMBER(D74))),"",IF(I63=I74,"Limiting",IF(VLOOKUP(D63,$P$7:$Q$15,2,FALSE)=0,"Limiting","")))</f>
        <v/>
      </c>
      <c r="F63" s="402"/>
      <c r="G63" s="951">
        <f>IF(LEN(D63)&gt;0,1,0)</f>
        <v>0</v>
      </c>
      <c r="H63" s="959" t="e">
        <f>VLOOKUP('Interactive Data Grading'!D63,WI!$C$6:$M$16,11,FALSE)</f>
        <v>#N/A</v>
      </c>
      <c r="I63" s="959" t="e">
        <f>H63</f>
        <v>#N/A</v>
      </c>
    </row>
    <row r="64" spans="1:18" ht="67.5" customHeight="1">
      <c r="A64" s="269"/>
      <c r="C64" s="1218" t="s">
        <v>1236</v>
      </c>
      <c r="D64" s="1219"/>
      <c r="E64" s="870"/>
      <c r="F64" s="402"/>
      <c r="H64" s="959"/>
      <c r="I64" s="960"/>
    </row>
    <row r="65" spans="1:18" ht="18" customHeight="1">
      <c r="A65" s="269"/>
      <c r="B65" s="659" t="s">
        <v>348</v>
      </c>
      <c r="C65" s="1034" t="str">
        <f>WI!B36</f>
        <v>What is the frequency of electronic calibration?</v>
      </c>
      <c r="D65" s="404"/>
      <c r="E65" s="870" t="str">
        <f>IFERROR(IF(OR($D$74=10,NOT(ISNUMBER($D$74))),"",IF(I65=$I$74,"Limiting","")),"")</f>
        <v/>
      </c>
      <c r="F65" s="402"/>
      <c r="G65" s="951" t="str">
        <f>IFERROR(IF(H63&lt;7,1,IF(LEN(D65)&gt;0,1,0)),"")</f>
        <v/>
      </c>
      <c r="H65" s="959" t="e">
        <f>VLOOKUP('Interactive Data Grading'!D65,WI!$D$6:$M$16,10,FALSE)</f>
        <v>#N/A</v>
      </c>
      <c r="I65" s="960" t="e">
        <f>IF(AND(H65&gt;=7,H68&gt;=7),MAX(H65,9),IF(AND(H65&gt;3,H65&lt;7,H68&gt;3,H68&lt;7),MAX(H65,H68),IF(H68&gt;=7,MAX(7,H65),H65)))</f>
        <v>#N/A</v>
      </c>
    </row>
    <row r="66" spans="1:18" ht="26.4" customHeight="1">
      <c r="A66" s="269"/>
      <c r="B66" s="659" t="s">
        <v>349</v>
      </c>
      <c r="C66" s="1034" t="str">
        <f>WI!B37</f>
        <v>What level of data transfer errors are checked as part of the electronic calibration process?</v>
      </c>
      <c r="D66" s="409"/>
      <c r="E66" s="870" t="str">
        <f t="shared" ref="E66:E73" si="5">IFERROR(IF(OR($D$74=10,NOT(ISNUMBER($D$74))),"",IF(I66=$I$74,"Limiting","")),"")</f>
        <v/>
      </c>
      <c r="F66" s="402"/>
      <c r="G66" s="961" t="str">
        <f>IFERROR(IF(H63&lt;7,1,IF(OR(D65=WI!D23,D65=WI!D27),1,IF(LEN(D66)&gt;0,1,0))),"")</f>
        <v/>
      </c>
      <c r="H66" s="959" t="e">
        <f>VLOOKUP('Interactive Data Grading'!D66,WI!$E$6:$M$16,9,FALSE)</f>
        <v>#N/A</v>
      </c>
      <c r="I66" s="959" t="e">
        <f>H66</f>
        <v>#N/A</v>
      </c>
      <c r="J66" s="951" t="s">
        <v>348</v>
      </c>
    </row>
    <row r="67" spans="1:18" ht="18" customHeight="1">
      <c r="A67" s="269"/>
      <c r="B67" s="659" t="s">
        <v>350</v>
      </c>
      <c r="C67" s="1034" t="str">
        <f>WI!B38</f>
        <v>Is the most recent electronic calibration documentation available?</v>
      </c>
      <c r="D67" s="404"/>
      <c r="E67" s="870" t="str">
        <f t="shared" si="5"/>
        <v/>
      </c>
      <c r="F67" s="402"/>
      <c r="G67" s="951" t="str">
        <f>IFERROR(IF(H63&lt;7,1,IF(OR(D65=WI!D23,D65=WI!D27),1,IF(LEN(D67)&gt;0,1,0))),"")</f>
        <v/>
      </c>
      <c r="H67" s="959" t="e">
        <f>VLOOKUP('Interactive Data Grading'!D67,WI!$F$6:$M$16,8,FALSE)</f>
        <v>#N/A</v>
      </c>
      <c r="I67" s="960" t="e">
        <f>IF(D65=WI!D23,X,IF(AND(H67=5,H69=10),7,H67))</f>
        <v>#N/A</v>
      </c>
      <c r="J67" s="951" t="s">
        <v>348</v>
      </c>
    </row>
    <row r="68" spans="1:18" ht="16.5" customHeight="1">
      <c r="A68" s="269"/>
      <c r="B68" s="659" t="s">
        <v>351</v>
      </c>
      <c r="C68" s="1034" t="str">
        <f>WI!B39</f>
        <v>What is the frequency of in-situ flow accuracy testing?</v>
      </c>
      <c r="D68" s="404"/>
      <c r="E68" s="870" t="str">
        <f t="shared" si="5"/>
        <v/>
      </c>
      <c r="F68" s="402"/>
      <c r="G68" s="951" t="str">
        <f>IFERROR(IF(H63&lt;7,1,IF(LEN(D68)&gt;0,1,0)),"")</f>
        <v/>
      </c>
      <c r="H68" s="959" t="e">
        <f>VLOOKUP('Interactive Data Grading'!D68,WI!$G$6:$M$16,7,FALSE)</f>
        <v>#N/A</v>
      </c>
      <c r="I68" s="960" t="e">
        <f>IF(AND(H65&gt;=7,H68&gt;=7),MAX(H68,9),IF(AND(H65&gt;3,H65&lt;7,H68&gt;3,H68&lt;7),MAX(H65,H68),IF(H65&gt;=7,MAX(7,H68),H68)))</f>
        <v>#N/A</v>
      </c>
    </row>
    <row r="69" spans="1:18" ht="20.399999999999999" customHeight="1">
      <c r="A69" s="269"/>
      <c r="B69" s="659" t="s">
        <v>352</v>
      </c>
      <c r="C69" s="1034" t="str">
        <f>WI!B40</f>
        <v>Is the most recent in-situ flow accuracy testing documentation available?</v>
      </c>
      <c r="D69" s="404"/>
      <c r="E69" s="870" t="str">
        <f t="shared" si="5"/>
        <v/>
      </c>
      <c r="F69" s="402"/>
      <c r="G69" s="951" t="str">
        <f>IFERROR(IF(H63&lt;7,1,IF(D68=WI!G23,1,IF(LEN(D69)&gt;0,1,0))),"")</f>
        <v/>
      </c>
      <c r="H69" s="959" t="e">
        <f>VLOOKUP('Interactive Data Grading'!D69,WI!$H$6:$M$16,6,FALSE)</f>
        <v>#N/A</v>
      </c>
      <c r="I69" s="960" t="e">
        <f>IF(D68=WI!G23,X,IF(AND(H69=5,H67=10),7,H69))</f>
        <v>#N/A</v>
      </c>
      <c r="J69" s="951" t="s">
        <v>350</v>
      </c>
    </row>
    <row r="70" spans="1:18" ht="27" customHeight="1">
      <c r="A70" s="269"/>
      <c r="B70" s="659" t="s">
        <v>353</v>
      </c>
      <c r="C70" s="1036" t="str">
        <f>WI!B41</f>
        <v>What are the total volume-weighted average results of in-situ flow accuracy testing (during or closest to audit year)?</v>
      </c>
      <c r="D70" s="404"/>
      <c r="E70" s="870" t="str">
        <f t="shared" si="5"/>
        <v/>
      </c>
      <c r="F70" s="402"/>
      <c r="G70" s="951" t="str">
        <f>IFERROR(IF(H63&lt;7,1,IF(OR(D68=WI!G23,D69=WI!H23),1,IF(LEN(D70)&gt;0,1,0))),"")</f>
        <v/>
      </c>
      <c r="H70" s="959" t="e">
        <f>VLOOKUP('Interactive Data Grading'!D70,WI!$I$6:$M$16,5,FALSE)</f>
        <v>#N/A</v>
      </c>
      <c r="I70" s="960" t="e">
        <f>IF(OR(D68=WI!G23,D69=WI!H23),X,H70)</f>
        <v>#N/A</v>
      </c>
      <c r="J70" s="951" t="s">
        <v>810</v>
      </c>
    </row>
    <row r="71" spans="1:18" ht="37.5" customHeight="1">
      <c r="A71" s="269"/>
      <c r="B71" s="659" t="s">
        <v>354</v>
      </c>
      <c r="C71" s="1034" t="str">
        <f>WI!B42</f>
        <v>Have testing and calibration procedures been closely scrutinized for compliance with procedures described in the AWWA M36 and/or M33 Manual(s)?</v>
      </c>
      <c r="D71" s="404"/>
      <c r="E71" s="870" t="str">
        <f t="shared" si="5"/>
        <v/>
      </c>
      <c r="F71" s="402"/>
      <c r="G71" s="951" t="str">
        <f>IFERROR(IF(H63&lt;7,1,IF(AND(OR(D65=WI!D23,D65=WI!D27),D68=WI!G23),1,IF(LEN(D71)&gt;0,1,0))),"")</f>
        <v/>
      </c>
      <c r="H71" s="959" t="e">
        <f>VLOOKUP('Interactive Data Grading'!D71,WI!$J$6:$M$16,4,FALSE)</f>
        <v>#N/A</v>
      </c>
      <c r="I71" s="960" t="e">
        <f>IF(OR(D68=WI!G23,D69=WI!H23),X,H71)</f>
        <v>#N/A</v>
      </c>
      <c r="J71" s="961" t="s">
        <v>814</v>
      </c>
    </row>
    <row r="72" spans="1:18" ht="25.5" customHeight="1">
      <c r="A72" s="269"/>
      <c r="B72" s="659" t="s">
        <v>355</v>
      </c>
      <c r="C72" s="1034" t="str">
        <f>WI!B43</f>
        <v>Which best describes the frequency of meter readings (data collection frequency as opposed to billing frequency)?</v>
      </c>
      <c r="D72" s="404"/>
      <c r="E72" s="870" t="str">
        <f t="shared" si="5"/>
        <v/>
      </c>
      <c r="F72" s="402"/>
      <c r="G72" s="951" t="str">
        <f>IFERROR(IF(H63&lt;7,1,IF(LEN(D72)&gt;0,1,0)),"")</f>
        <v/>
      </c>
      <c r="H72" s="959" t="e">
        <f>VLOOKUP('Interactive Data Grading'!D72,WI!$K$6:$M$16,3,FALSE)</f>
        <v>#N/A</v>
      </c>
      <c r="I72" s="959" t="e">
        <f>H72</f>
        <v>#N/A</v>
      </c>
    </row>
    <row r="73" spans="1:18" ht="44.4" customHeight="1">
      <c r="A73" s="269"/>
      <c r="B73" s="659" t="s">
        <v>811</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c r="E73" s="870" t="str">
        <f t="shared" si="5"/>
        <v/>
      </c>
      <c r="F73" s="402"/>
      <c r="G73" s="951" t="str">
        <f>IFERROR(IF(H63&lt;7,1,IF(LEN(D73)&gt;0,1,0)),"")</f>
        <v/>
      </c>
      <c r="H73" s="959" t="e">
        <f>VLOOKUP('Interactive Data Grading'!D73,WI!$L$6:$M$16,2,FALSE)</f>
        <v>#N/A</v>
      </c>
      <c r="I73" s="959" t="e">
        <f>H73</f>
        <v>#N/A</v>
      </c>
    </row>
    <row r="74" spans="1:18" ht="27.6" customHeight="1">
      <c r="A74" s="269"/>
      <c r="B74" s="269"/>
      <c r="C74" s="403" t="s">
        <v>315</v>
      </c>
      <c r="D74" s="873" t="str">
        <f>IF(D62="","",IF(D62="No","n/a",IF(G74=0,"",IF(R8=0,H63,I74))))</f>
        <v/>
      </c>
      <c r="E74" s="870"/>
      <c r="F74" s="402"/>
      <c r="G74" s="951">
        <f>MIN(G63:G73)</f>
        <v>0</v>
      </c>
      <c r="H74" s="962" t="e">
        <f>MIN(H63:H73)</f>
        <v>#N/A</v>
      </c>
      <c r="I74" s="962">
        <f t="array" ref="I74">MIN(IF(ISNUMBER(I63:I73),I63:I73))</f>
        <v>0</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14" t="s">
        <v>1137</v>
      </c>
      <c r="B89" s="1215"/>
      <c r="C89" s="1216" t="s">
        <v>377</v>
      </c>
      <c r="D89" s="1216"/>
      <c r="E89" s="1042" t="s">
        <v>1138</v>
      </c>
      <c r="G89" s="963"/>
      <c r="H89" s="963" t="s">
        <v>531</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378</v>
      </c>
      <c r="C91" s="678" t="s">
        <v>305</v>
      </c>
      <c r="D91" s="678" t="s">
        <v>663</v>
      </c>
      <c r="E91" s="870"/>
      <c r="F91" s="679"/>
      <c r="G91" s="956"/>
      <c r="H91" s="957" t="s">
        <v>303</v>
      </c>
      <c r="I91" s="957"/>
      <c r="J91" s="956" t="s">
        <v>794</v>
      </c>
      <c r="K91" s="956"/>
      <c r="L91" s="956"/>
      <c r="M91" s="956"/>
      <c r="N91" s="956"/>
      <c r="O91" s="956"/>
      <c r="P91" s="956"/>
      <c r="Q91" s="956"/>
      <c r="R91" s="956"/>
    </row>
    <row r="92" spans="1:18" ht="27.6" customHeight="1">
      <c r="A92" s="269"/>
      <c r="B92" s="659" t="s">
        <v>362</v>
      </c>
      <c r="C92" s="1034" t="str">
        <f>WIEA!B34</f>
        <v>Is an agreement in place between Exporting and Importing Utility for the purchase of water?</v>
      </c>
      <c r="D92" s="404"/>
      <c r="E92" s="870" t="str">
        <f>IFERROR(IF(OR($D$96="",$H92=10,NOT(ISNUMBER($H92))),"",IF(H92=$H$96,"Limiting","")),"")</f>
        <v/>
      </c>
      <c r="F92" s="402"/>
      <c r="G92" s="965">
        <f t="shared" ref="G92" si="6">IF(LEN(D92)&gt;0,1,0)</f>
        <v>0</v>
      </c>
      <c r="H92" s="959" t="e">
        <f>VLOOKUP('Interactive Data Grading'!D92,WIEA!$C$6:$G$16,5,FALSE)</f>
        <v>#N/A</v>
      </c>
      <c r="I92" s="958"/>
    </row>
    <row r="93" spans="1:18" ht="27.6" customHeight="1">
      <c r="A93" s="269"/>
      <c r="B93" s="659" t="s">
        <v>363</v>
      </c>
      <c r="C93" s="1034" t="str">
        <f>WIEA!B35</f>
        <v>Are meter accuracy testing or electronic calibration requirements stipulated in the water purchase agreement?</v>
      </c>
      <c r="D93" s="404"/>
      <c r="E93" s="870" t="str">
        <f t="shared" ref="E93:E95" si="7">IFERROR(IF(OR($D$96="",$H93=10,NOT(ISNUMBER($H93))),"",IF(H93=$H$96,"Limiting","")),"")</f>
        <v/>
      </c>
      <c r="F93" s="402"/>
      <c r="G93" s="965">
        <f>IF(OR(LEN(D93)&gt;0,D92=WIEA!$C$23),1,0)</f>
        <v>0</v>
      </c>
      <c r="H93" s="959" t="e">
        <f>VLOOKUP('Interactive Data Grading'!D93,WIEA!$D$6:$G$16,4,FALSE)</f>
        <v>#N/A</v>
      </c>
      <c r="I93" s="958"/>
      <c r="J93" s="951" t="s">
        <v>362</v>
      </c>
    </row>
    <row r="94" spans="1:18" ht="27.6" customHeight="1">
      <c r="A94" s="269"/>
      <c r="B94" s="659" t="s">
        <v>364</v>
      </c>
      <c r="C94" s="1034" t="str">
        <f>WIEA!B36</f>
        <v>Are flow accuracy test and/or electronic calibration results used to inform the error adjustment input in the water audit?</v>
      </c>
      <c r="D94" s="404"/>
      <c r="E94" s="870" t="str">
        <f t="shared" si="7"/>
        <v/>
      </c>
      <c r="F94" s="402"/>
      <c r="G94" s="965">
        <f t="shared" ref="G94:G95" si="8">IF(LEN(D94)&gt;0,1,0)</f>
        <v>0</v>
      </c>
      <c r="H94" s="959" t="e">
        <f>VLOOKUP('Interactive Data Grading'!D94,WIEA!$E$6:$G$16,3,FALSE)</f>
        <v>#N/A</v>
      </c>
      <c r="I94" s="958"/>
    </row>
    <row r="95" spans="1:18" ht="27.6" customHeight="1">
      <c r="A95" s="269"/>
      <c r="B95" s="659" t="s">
        <v>365</v>
      </c>
      <c r="C95" s="1034" t="str">
        <f>WIEA!B37</f>
        <v>Who has access to the import meter readings including current and archived data?</v>
      </c>
      <c r="D95" s="404"/>
      <c r="E95" s="870" t="str">
        <f t="shared" si="7"/>
        <v/>
      </c>
      <c r="F95" s="402"/>
      <c r="G95" s="965">
        <f t="shared" si="8"/>
        <v>0</v>
      </c>
      <c r="H95" s="959" t="e">
        <f>VLOOKUP('Interactive Data Grading'!D95,WIEA!$F$6:$G$16,2,FALSE)</f>
        <v>#N/A</v>
      </c>
      <c r="I95" s="958"/>
    </row>
    <row r="96" spans="1:18" ht="27.6" customHeight="1">
      <c r="A96" s="269"/>
      <c r="B96" s="269"/>
      <c r="C96" s="403" t="s">
        <v>315</v>
      </c>
      <c r="D96" s="1045" t="str">
        <f>IF(D62="No","n/a",IF(G96=0,"",H96))</f>
        <v/>
      </c>
      <c r="E96" s="870"/>
      <c r="F96" s="402"/>
      <c r="G96" s="965">
        <f>MIN(G92:G95)</f>
        <v>0</v>
      </c>
      <c r="H96" s="962">
        <f t="array" ref="H96">MIN(IF(ISNUMBER(H92:H95),H92:H95))</f>
        <v>0</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14" t="s">
        <v>1137</v>
      </c>
      <c r="B112" s="1215"/>
      <c r="C112" s="1216" t="s">
        <v>379</v>
      </c>
      <c r="D112" s="1216"/>
      <c r="E112" s="1042" t="s">
        <v>1138</v>
      </c>
      <c r="G112" s="963"/>
      <c r="H112" s="963"/>
      <c r="I112" s="964"/>
      <c r="J112" s="963"/>
      <c r="K112" s="963"/>
      <c r="L112" s="963"/>
      <c r="M112" s="963"/>
      <c r="N112" s="963"/>
      <c r="O112" s="963"/>
      <c r="P112" s="963"/>
      <c r="Q112" s="963"/>
      <c r="R112" s="963"/>
    </row>
    <row r="113" spans="1:18" ht="12.6" customHeight="1">
      <c r="A113" s="269"/>
      <c r="B113" s="269"/>
      <c r="C113" s="1217" t="str">
        <f>IF(OR(AND(D115="Yes",Worksheet!H17&gt;0),AND(D115="No",Worksheet!H17&lt;=0),LEN(D115)=0),"","Inconsistency between Worksheet WE input and we.0 response")</f>
        <v/>
      </c>
      <c r="D113" s="1217"/>
      <c r="E113" s="871"/>
      <c r="F113" s="402"/>
      <c r="H113" s="955"/>
      <c r="I113" s="955"/>
    </row>
    <row r="114" spans="1:18" s="680" customFormat="1" ht="12">
      <c r="A114" s="676"/>
      <c r="B114" s="677" t="s">
        <v>380</v>
      </c>
      <c r="C114" s="678" t="s">
        <v>305</v>
      </c>
      <c r="D114" s="678" t="s">
        <v>663</v>
      </c>
      <c r="E114" s="870"/>
      <c r="F114" s="679"/>
      <c r="G114" s="956"/>
      <c r="H114" s="957" t="s">
        <v>303</v>
      </c>
      <c r="I114" s="957" t="s">
        <v>296</v>
      </c>
      <c r="J114" s="956" t="s">
        <v>794</v>
      </c>
      <c r="K114" s="956"/>
      <c r="L114" s="956"/>
      <c r="M114" s="956"/>
      <c r="N114" s="956"/>
      <c r="O114" s="956"/>
      <c r="P114" s="956"/>
      <c r="Q114" s="956"/>
      <c r="R114" s="956"/>
    </row>
    <row r="115" spans="1:18" ht="18" customHeight="1">
      <c r="A115" s="269"/>
      <c r="B115" s="269" t="s">
        <v>442</v>
      </c>
      <c r="C115" s="1034" t="str">
        <f>WE!B34</f>
        <v>Did the water utility export any water during the audit year?</v>
      </c>
      <c r="D115" s="404"/>
      <c r="E115" s="870"/>
      <c r="F115" s="402"/>
      <c r="H115" s="951" t="s">
        <v>530</v>
      </c>
      <c r="I115" s="958"/>
      <c r="J115" s="951" t="s">
        <v>793</v>
      </c>
    </row>
    <row r="116" spans="1:18" ht="17.399999999999999" customHeight="1">
      <c r="A116" s="269"/>
      <c r="B116" s="269" t="s">
        <v>381</v>
      </c>
      <c r="C116" s="1034" t="str">
        <f>WE!B35</f>
        <v>What percent of water exported is metered?</v>
      </c>
      <c r="D116" s="404"/>
      <c r="E116" s="870" t="str">
        <f>IF(OR(D127=10,NOT(ISNUMBER(D127))),"",IF(I116=I127,"Limiting",IF(VLOOKUP(D116,$P$7:$Q$15,2,FALSE)=0,"Limiting","")))</f>
        <v/>
      </c>
      <c r="F116" s="402"/>
      <c r="G116" s="951">
        <f>IF(LEN(D116)&gt;0,1,0)</f>
        <v>0</v>
      </c>
      <c r="H116" s="959" t="e">
        <f>VLOOKUP('Interactive Data Grading'!D116,WE!$C$6:$M$16,11,FALSE)</f>
        <v>#N/A</v>
      </c>
      <c r="I116" s="959" t="e">
        <f>H116</f>
        <v>#N/A</v>
      </c>
    </row>
    <row r="117" spans="1:18" ht="67.349999999999994" customHeight="1">
      <c r="A117" s="269"/>
      <c r="C117" s="1218" t="s">
        <v>1237</v>
      </c>
      <c r="D117" s="1219"/>
      <c r="E117" s="870"/>
      <c r="F117" s="402"/>
      <c r="H117" s="959"/>
      <c r="I117" s="960"/>
    </row>
    <row r="118" spans="1:18" ht="18" customHeight="1">
      <c r="A118" s="269"/>
      <c r="B118" s="269" t="s">
        <v>382</v>
      </c>
      <c r="C118" s="1034" t="str">
        <f>WE!B36</f>
        <v>What is the frequency of electronic calibration?</v>
      </c>
      <c r="D118" s="404"/>
      <c r="E118" s="870" t="str">
        <f>IFERROR(IF(OR($D$127=10,NOT(ISNUMBER($D$127))),"",IF(I118=$I$127,"Limiting","")),"")</f>
        <v/>
      </c>
      <c r="F118" s="402"/>
      <c r="G118" s="951" t="str">
        <f>IFERROR(IF(H116&lt;7,1,IF(LEN(D118)&gt;0,1,0)),"")</f>
        <v/>
      </c>
      <c r="H118" s="959" t="e">
        <f>VLOOKUP('Interactive Data Grading'!D118,WE!$D$6:$M$16,10,FALSE)</f>
        <v>#N/A</v>
      </c>
      <c r="I118" s="960" t="e">
        <f>IF(AND(H118&gt;=7,H121&gt;=7),MAX(H118,9),IF(AND(H118&gt;3,H118&lt;7,H121&gt;3,H121&lt;7),MAX(H118,H121),IF(H121&gt;=7,MAX(7,H118),H118)))</f>
        <v>#N/A</v>
      </c>
    </row>
    <row r="119" spans="1:18" ht="26.1" customHeight="1">
      <c r="A119" s="269"/>
      <c r="B119" s="269" t="s">
        <v>383</v>
      </c>
      <c r="C119" s="1034" t="str">
        <f>WE!B37</f>
        <v>What level of data transfer errors are checked as part of the electronic calibration process?</v>
      </c>
      <c r="D119" s="409"/>
      <c r="E119" s="870" t="str">
        <f t="shared" ref="E119:E126" si="9">IFERROR(IF(OR($D$127=10,NOT(ISNUMBER($D$127))),"",IF(I119=$I$127,"Limiting","")),"")</f>
        <v/>
      </c>
      <c r="F119" s="402"/>
      <c r="G119" s="961" t="str">
        <f>IFERROR(IF(H116&lt;7,1,IF(OR(D118=WE!D23,D118=WE!D27),1,IF(LEN(D119)&gt;0,1,0))),"")</f>
        <v/>
      </c>
      <c r="H119" s="959" t="e">
        <f>VLOOKUP('Interactive Data Grading'!D119,WE!$E$6:$M$16,9,FALSE)</f>
        <v>#N/A</v>
      </c>
      <c r="I119" s="959" t="e">
        <f>H119</f>
        <v>#N/A</v>
      </c>
      <c r="J119" s="951" t="s">
        <v>817</v>
      </c>
    </row>
    <row r="120" spans="1:18" ht="18" customHeight="1">
      <c r="A120" s="269"/>
      <c r="B120" s="269" t="s">
        <v>384</v>
      </c>
      <c r="C120" s="1034" t="str">
        <f>WE!B38</f>
        <v>Is the most recent electronic calibration documentation available?</v>
      </c>
      <c r="D120" s="404"/>
      <c r="E120" s="870" t="str">
        <f t="shared" si="9"/>
        <v/>
      </c>
      <c r="F120" s="402"/>
      <c r="G120" s="951" t="str">
        <f>IFERROR(IF(H116&lt;7,1,IF(OR(D118=WE!D23,D118=WE!D27),1,IF(LEN(D120)&gt;0,1,0))),"")</f>
        <v/>
      </c>
      <c r="H120" s="959" t="e">
        <f>VLOOKUP('Interactive Data Grading'!D120,WE!$F$6:$M$16,8,FALSE)</f>
        <v>#N/A</v>
      </c>
      <c r="I120" s="960" t="e">
        <f>IF(D118=WE!D23,X,IF(AND(H120=5,H122=10),7,H120))</f>
        <v>#N/A</v>
      </c>
      <c r="J120" s="951" t="s">
        <v>382</v>
      </c>
    </row>
    <row r="121" spans="1:18" ht="16.350000000000001" customHeight="1">
      <c r="A121" s="269"/>
      <c r="B121" s="269" t="s">
        <v>385</v>
      </c>
      <c r="C121" s="1034" t="str">
        <f>WE!B39</f>
        <v>What is the frequency of in-situ flow accuracy testing?</v>
      </c>
      <c r="D121" s="404"/>
      <c r="E121" s="870" t="str">
        <f t="shared" si="9"/>
        <v/>
      </c>
      <c r="F121" s="402"/>
      <c r="G121" s="951" t="str">
        <f>IFERROR(IF(H116&lt;7,1,IF(LEN(D121)&gt;0,1,0)),"")</f>
        <v/>
      </c>
      <c r="H121" s="959" t="e">
        <f>VLOOKUP('Interactive Data Grading'!D121,WE!$G$6:$M$16,7,FALSE)</f>
        <v>#N/A</v>
      </c>
      <c r="I121" s="960" t="e">
        <f>IF(AND(H118&gt;=7,H121&gt;=7),MAX(H121,9),IF(AND(H118&gt;3,H118&lt;7,H121&gt;3,H121&lt;7),MAX(H118,H121),IF(H118&gt;=7,MAX(7,H121),H121)))</f>
        <v>#N/A</v>
      </c>
    </row>
    <row r="122" spans="1:18" ht="20.100000000000001" customHeight="1">
      <c r="A122" s="269"/>
      <c r="B122" s="269" t="s">
        <v>386</v>
      </c>
      <c r="C122" s="1034" t="str">
        <f>WE!B40</f>
        <v>Is the most recent in-situ flow accuracy testing documentation available?</v>
      </c>
      <c r="D122" s="404"/>
      <c r="E122" s="870" t="str">
        <f t="shared" si="9"/>
        <v/>
      </c>
      <c r="F122" s="402"/>
      <c r="G122" s="951" t="str">
        <f>IFERROR(IF(H116&lt;7,1,IF(D121=WE!G23,1,IF(LEN(D122)&gt;0,1,0))),"")</f>
        <v/>
      </c>
      <c r="H122" s="959" t="e">
        <f>VLOOKUP('Interactive Data Grading'!D122,WE!$H$6:$M$16,6,FALSE)</f>
        <v>#N/A</v>
      </c>
      <c r="I122" s="960" t="e">
        <f>IF(D121=WE!G23,X,IF(AND(H122=5,H120=10),7,H122))</f>
        <v>#N/A</v>
      </c>
      <c r="J122" s="951" t="s">
        <v>384</v>
      </c>
    </row>
    <row r="123" spans="1:18" ht="27" customHeight="1">
      <c r="A123" s="269"/>
      <c r="B123" s="269" t="s">
        <v>387</v>
      </c>
      <c r="C123" s="1034" t="str">
        <f>WE!B41</f>
        <v>What are the total volume-weighted average results of in-situ flow accuracy testing (during or closest to audit year)?</v>
      </c>
      <c r="D123" s="404"/>
      <c r="E123" s="870" t="str">
        <f t="shared" si="9"/>
        <v/>
      </c>
      <c r="F123" s="402"/>
      <c r="G123" s="951" t="str">
        <f>IFERROR(IF(H116&lt;7,1,IF(OR(D121=WE!G23,D122=WE!H23),1,IF(LEN(D123)&gt;0,1,0))),"")</f>
        <v/>
      </c>
      <c r="H123" s="959" t="e">
        <f>VLOOKUP('Interactive Data Grading'!D123,WE!$I$6:$M$16,5,FALSE)</f>
        <v>#N/A</v>
      </c>
      <c r="I123" s="959" t="e">
        <f>IF(OR(D121=WE!G23,D122=WE!H23),X,H123)</f>
        <v>#N/A</v>
      </c>
      <c r="J123" s="951" t="s">
        <v>818</v>
      </c>
    </row>
    <row r="124" spans="1:18" ht="37.5" customHeight="1">
      <c r="A124" s="269"/>
      <c r="B124" s="269" t="s">
        <v>388</v>
      </c>
      <c r="C124" s="1034" t="str">
        <f>WE!B42</f>
        <v>Have testing and calibration procedures been closely scrutinized for compliance with procedures described in the AWWA M36 and/or M33 Manual(s)?</v>
      </c>
      <c r="D124" s="404"/>
      <c r="E124" s="870" t="str">
        <f t="shared" si="9"/>
        <v/>
      </c>
      <c r="F124" s="402"/>
      <c r="G124" s="951" t="str">
        <f>IFERROR(IF(H116&lt;7,1,IF(AND(OR(D118=WE!D23,D118=WE!D27),D121=WE!G23),1,IF(LEN(D124)&gt;0,1,0))),"")</f>
        <v/>
      </c>
      <c r="H124" s="959" t="e">
        <f>VLOOKUP('Interactive Data Grading'!D124,WE!$J$6:$M$16,4,FALSE)</f>
        <v>#N/A</v>
      </c>
      <c r="I124" s="959" t="e">
        <f>IF(OR(D121=WE!G23,D122=WE!H23),X,H124)</f>
        <v>#N/A</v>
      </c>
      <c r="J124" s="961" t="s">
        <v>819</v>
      </c>
    </row>
    <row r="125" spans="1:18" ht="25.35" customHeight="1">
      <c r="A125" s="269"/>
      <c r="B125" s="269" t="s">
        <v>389</v>
      </c>
      <c r="C125" s="1034" t="str">
        <f>WE!B43</f>
        <v>Which best describes the frequency of meter readings (data collection frequency as opposed to billing frequency)?</v>
      </c>
      <c r="D125" s="404"/>
      <c r="E125" s="870" t="str">
        <f t="shared" si="9"/>
        <v/>
      </c>
      <c r="F125" s="402"/>
      <c r="G125" s="951" t="str">
        <f>IFERROR(IF(H116&lt;7,1,IF(LEN(D125)&gt;0,1,0)),"")</f>
        <v/>
      </c>
      <c r="H125" s="959" t="e">
        <f>VLOOKUP('Interactive Data Grading'!D125,WE!$K$6:$M$16,3,FALSE)</f>
        <v>#N/A</v>
      </c>
      <c r="I125" s="959" t="e">
        <f>H125</f>
        <v>#N/A</v>
      </c>
    </row>
    <row r="126" spans="1:18" ht="44.4" customHeight="1">
      <c r="A126" s="269"/>
      <c r="B126" s="269" t="s">
        <v>815</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c r="E126" s="870" t="str">
        <f t="shared" si="9"/>
        <v/>
      </c>
      <c r="F126" s="402"/>
      <c r="G126" s="951" t="str">
        <f>IFERROR(IF(H116&lt;7,1,IF(LEN(D126)&gt;0,1,0)),"")</f>
        <v/>
      </c>
      <c r="H126" s="959" t="e">
        <f>VLOOKUP('Interactive Data Grading'!D126,WE!$L$6:$M$16,2,FALSE)</f>
        <v>#N/A</v>
      </c>
      <c r="I126" s="959" t="e">
        <f>H126</f>
        <v>#N/A</v>
      </c>
    </row>
    <row r="127" spans="1:18" ht="27.6" customHeight="1">
      <c r="A127" s="269"/>
      <c r="B127" s="269"/>
      <c r="C127" s="403" t="s">
        <v>315</v>
      </c>
      <c r="D127" s="873" t="str">
        <f>IF(D115="","",IF(D115="No","n/a",IF(G127=0,"",IF(R9=0,H116,I127))))</f>
        <v/>
      </c>
      <c r="E127" s="870"/>
      <c r="F127" s="402"/>
      <c r="G127" s="951">
        <f>MIN(G116:G126)</f>
        <v>0</v>
      </c>
      <c r="H127" s="962" t="e">
        <f>MIN(H116:H126)</f>
        <v>#N/A</v>
      </c>
      <c r="I127" s="962">
        <f t="array" ref="I127">MIN(IF(ISNUMBER(I116:I126),I116:I126))</f>
        <v>0</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1.1" customHeight="1">
      <c r="C141" s="672"/>
      <c r="D141" s="672"/>
      <c r="E141" s="992"/>
      <c r="G141" s="963"/>
      <c r="H141" s="963"/>
      <c r="I141" s="964"/>
      <c r="J141" s="963"/>
      <c r="K141" s="963"/>
      <c r="L141" s="963"/>
      <c r="M141" s="963"/>
      <c r="N141" s="963"/>
      <c r="O141" s="963"/>
      <c r="P141" s="963"/>
      <c r="Q141" s="963"/>
      <c r="R141" s="963"/>
    </row>
    <row r="142" spans="1:18" s="564" customFormat="1" ht="8.4"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14" t="s">
        <v>1137</v>
      </c>
      <c r="B143" s="1215"/>
      <c r="C143" s="1216" t="s">
        <v>395</v>
      </c>
      <c r="D143" s="1216"/>
      <c r="E143" s="1042" t="s">
        <v>1138</v>
      </c>
      <c r="G143" s="963"/>
      <c r="H143" s="963" t="s">
        <v>530</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390</v>
      </c>
      <c r="C145" s="678" t="s">
        <v>305</v>
      </c>
      <c r="D145" s="678" t="s">
        <v>663</v>
      </c>
      <c r="E145" s="870"/>
      <c r="F145" s="679"/>
      <c r="G145" s="956"/>
      <c r="H145" s="957" t="s">
        <v>303</v>
      </c>
      <c r="I145" s="957"/>
      <c r="J145" s="956" t="s">
        <v>794</v>
      </c>
      <c r="K145" s="956"/>
      <c r="L145" s="956"/>
      <c r="M145" s="956"/>
      <c r="N145" s="956"/>
      <c r="O145" s="956"/>
      <c r="P145" s="956"/>
      <c r="Q145" s="956"/>
      <c r="R145" s="956"/>
    </row>
    <row r="146" spans="1:18" ht="27.6" customHeight="1">
      <c r="A146" s="269"/>
      <c r="B146" s="659" t="s">
        <v>391</v>
      </c>
      <c r="C146" s="1034" t="str">
        <f>WEEA!B34</f>
        <v>Is an agreement in place between Exporting and Importing Utility?</v>
      </c>
      <c r="D146" s="404"/>
      <c r="E146" s="870" t="str">
        <f>IFERROR(IF(OR($D$150="",$H146=10,NOT(ISNUMBER($H146))),"",IF(H146=$H$150,"Limiting","")),"")</f>
        <v/>
      </c>
      <c r="F146" s="402"/>
      <c r="G146" s="965">
        <f t="shared" ref="G146" si="10">IF(LEN(D146)&gt;0,1,0)</f>
        <v>0</v>
      </c>
      <c r="H146" s="959" t="e">
        <f>VLOOKUP('Interactive Data Grading'!D146,WEEA!$C$6:$G$16,5,FALSE)</f>
        <v>#N/A</v>
      </c>
      <c r="I146" s="959"/>
    </row>
    <row r="147" spans="1:18" ht="27.6" customHeight="1">
      <c r="A147" s="269"/>
      <c r="B147" s="659" t="s">
        <v>392</v>
      </c>
      <c r="C147" s="1034" t="str">
        <f>WEEA!B35</f>
        <v>Are meter accuracy testing or electronic calibration requirements stipulated in the water purchase agreement?</v>
      </c>
      <c r="D147" s="404"/>
      <c r="E147" s="870" t="str">
        <f t="shared" ref="E147:E149" si="11">IFERROR(IF(OR($D$150="",$H147=10,NOT(ISNUMBER($H147))),"",IF(H147=$H$150,"Limiting","")),"")</f>
        <v/>
      </c>
      <c r="F147" s="402"/>
      <c r="G147" s="965">
        <f>IF(OR(LEN(D147)&gt;0,D146=WEEA!$C$23),1,0)</f>
        <v>0</v>
      </c>
      <c r="H147" s="959" t="e">
        <f>VLOOKUP('Interactive Data Grading'!D147,WEEA!$D$6:$G$16,4,FALSE)</f>
        <v>#N/A</v>
      </c>
      <c r="I147" s="960"/>
      <c r="J147" s="951" t="s">
        <v>391</v>
      </c>
    </row>
    <row r="148" spans="1:18" ht="27.6" customHeight="1">
      <c r="A148" s="269"/>
      <c r="B148" s="659" t="s">
        <v>393</v>
      </c>
      <c r="C148" s="1034" t="str">
        <f>WEEA!B36</f>
        <v>Are flow accuracy test and/or electronic calibration results used to inform the error adjustment input in the water audit?</v>
      </c>
      <c r="D148" s="404"/>
      <c r="E148" s="870" t="str">
        <f t="shared" si="11"/>
        <v/>
      </c>
      <c r="F148" s="402"/>
      <c r="G148" s="965">
        <f t="shared" ref="G148:G149" si="12">IF(LEN(D148)&gt;0,1,0)</f>
        <v>0</v>
      </c>
      <c r="H148" s="959" t="e">
        <f>VLOOKUP('Interactive Data Grading'!D148,WEEA!$E$6:$G$16,3,FALSE)</f>
        <v>#N/A</v>
      </c>
      <c r="I148" s="960"/>
    </row>
    <row r="149" spans="1:18" ht="27.6" customHeight="1">
      <c r="A149" s="269"/>
      <c r="B149" s="659" t="s">
        <v>394</v>
      </c>
      <c r="C149" s="1034" t="str">
        <f>WEEA!B37</f>
        <v>Who has access to the import meter readings including current and archived data?</v>
      </c>
      <c r="D149" s="404"/>
      <c r="E149" s="870" t="str">
        <f t="shared" si="11"/>
        <v/>
      </c>
      <c r="F149" s="402"/>
      <c r="G149" s="965">
        <f t="shared" si="12"/>
        <v>0</v>
      </c>
      <c r="H149" s="959" t="e">
        <f>VLOOKUP('Interactive Data Grading'!D149,WEEA!$F$6:$G$16,2,FALSE)</f>
        <v>#N/A</v>
      </c>
      <c r="I149" s="960"/>
    </row>
    <row r="150" spans="1:18" ht="27.6" customHeight="1">
      <c r="A150" s="269"/>
      <c r="B150" s="269"/>
      <c r="C150" s="403" t="s">
        <v>315</v>
      </c>
      <c r="D150" s="1045" t="str">
        <f>IF(D115="No","n/a",IF(G150=0,"",H150))</f>
        <v/>
      </c>
      <c r="E150" s="870"/>
      <c r="F150" s="402"/>
      <c r="G150" s="965">
        <f>MIN(G146:G149)</f>
        <v>0</v>
      </c>
      <c r="H150" s="962">
        <f t="array" ref="H150">MIN(IF(ISNUMBER(H146:H149),H146:H149))</f>
        <v>0</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14" t="s">
        <v>1137</v>
      </c>
      <c r="B166" s="1215"/>
      <c r="C166" s="1216" t="s">
        <v>402</v>
      </c>
      <c r="D166" s="1216"/>
      <c r="E166" s="1042" t="s">
        <v>1138</v>
      </c>
      <c r="G166" s="963"/>
      <c r="H166" s="963"/>
      <c r="I166" s="964"/>
      <c r="J166" s="963"/>
      <c r="K166" s="963"/>
      <c r="L166" s="963"/>
      <c r="M166" s="963"/>
      <c r="N166" s="963"/>
      <c r="O166" s="963"/>
      <c r="P166" s="963"/>
      <c r="Q166" s="963"/>
      <c r="R166" s="963"/>
    </row>
    <row r="167" spans="1:18" ht="12" customHeight="1">
      <c r="A167" s="269"/>
      <c r="B167" s="269"/>
      <c r="C167" s="1217" t="str">
        <f>IF(OR(AND(D169="Yes",Worksheet!H23&gt;0),AND(D169="No",Worksheet!H23&lt;=0),LEN(D169)=0),"","Inconsistency between Worksheet BMAC input and bmac.0 response")</f>
        <v/>
      </c>
      <c r="D167" s="1217"/>
      <c r="E167" s="871"/>
      <c r="F167" s="402"/>
      <c r="H167" s="955"/>
      <c r="I167" s="955"/>
    </row>
    <row r="168" spans="1:18" s="680" customFormat="1" ht="12">
      <c r="A168" s="676"/>
      <c r="B168" s="677" t="s">
        <v>403</v>
      </c>
      <c r="C168" s="678" t="s">
        <v>305</v>
      </c>
      <c r="D168" s="678" t="s">
        <v>663</v>
      </c>
      <c r="E168" s="870"/>
      <c r="F168" s="679"/>
      <c r="G168" s="956"/>
      <c r="H168" s="957" t="s">
        <v>303</v>
      </c>
      <c r="I168" s="957"/>
      <c r="J168" s="956" t="s">
        <v>794</v>
      </c>
      <c r="K168" s="956"/>
      <c r="L168" s="956"/>
      <c r="M168" s="956"/>
      <c r="N168" s="956"/>
      <c r="O168" s="956"/>
      <c r="P168" s="956"/>
      <c r="Q168" s="956"/>
      <c r="R168" s="956"/>
    </row>
    <row r="169" spans="1:18" ht="20.100000000000001" customHeight="1">
      <c r="A169" s="269"/>
      <c r="B169" s="659" t="s">
        <v>443</v>
      </c>
      <c r="C169" s="1034" t="str">
        <f>BMAC!B34</f>
        <v xml:space="preserve">Were any customers metered in the audit year? </v>
      </c>
      <c r="D169" s="404"/>
      <c r="E169" s="870"/>
      <c r="F169" s="402"/>
      <c r="H169" s="951" t="e">
        <f>IF(D169="",X,"")</f>
        <v>#NAME?</v>
      </c>
      <c r="I169" s="958"/>
      <c r="J169" s="951" t="s">
        <v>828</v>
      </c>
    </row>
    <row r="170" spans="1:18" ht="23.1" customHeight="1">
      <c r="A170" s="269"/>
      <c r="B170" s="659" t="s">
        <v>404</v>
      </c>
      <c r="C170" s="1034" t="str">
        <f>BMAC!B35</f>
        <v>For billed metered accounts, what % of bills are estimated in a typical billing cycle?</v>
      </c>
      <c r="D170" s="404"/>
      <c r="E170" s="870" t="str">
        <f t="shared" ref="E170:E176" si="13">IFERROR(IF(OR($D$177=10,NOT(ISNUMBER($D$177))),"",IF(I170=$I$177,"Limiting","")),"")</f>
        <v/>
      </c>
      <c r="F170" s="402"/>
      <c r="G170" s="952">
        <f>IF($D$169="No",1,IF(LEN(D170)&gt;0,1,0))</f>
        <v>0</v>
      </c>
      <c r="H170" s="966" t="e">
        <f>VLOOKUP('Interactive Data Grading'!D170,BMAC!$C$6:$J$15,8,FALSE)</f>
        <v>#N/A</v>
      </c>
      <c r="I170" s="966" t="e">
        <f>H170</f>
        <v>#N/A</v>
      </c>
    </row>
    <row r="171" spans="1:18" ht="38.25" customHeight="1">
      <c r="A171" s="269"/>
      <c r="B171" s="659" t="s">
        <v>405</v>
      </c>
      <c r="C171" s="1034" t="str">
        <f>BMAC!B36</f>
        <v>How often does the utility read its customer meters?
For systems with multiple read frequencies, select the reading frequency that describes the majority of your customers.</v>
      </c>
      <c r="D171" s="404"/>
      <c r="E171" s="870" t="str">
        <f t="shared" si="13"/>
        <v/>
      </c>
      <c r="F171" s="402"/>
      <c r="G171" s="952">
        <f t="shared" ref="G171:G175" si="14">IF($D$169="No",1,IF(LEN(D171)&gt;0,1,0))</f>
        <v>0</v>
      </c>
      <c r="H171" s="966" t="e">
        <f>VLOOKUP('Interactive Data Grading'!D171,BMAC!$D$6:$J$15,7,FALSE)</f>
        <v>#N/A</v>
      </c>
      <c r="I171" s="966" t="e">
        <f t="shared" ref="I171:I175" si="15">H171</f>
        <v>#N/A</v>
      </c>
    </row>
    <row r="172" spans="1:18" ht="22.35" customHeight="1">
      <c r="A172" s="269"/>
      <c r="B172" s="659" t="s">
        <v>406</v>
      </c>
      <c r="C172" s="1034" t="str">
        <f>BMAC!B37</f>
        <v>Is the BMAC volume pro-rated to represent consumption occuring exactly during the audit period?</v>
      </c>
      <c r="D172" s="404"/>
      <c r="E172" s="870" t="str">
        <f t="shared" si="13"/>
        <v/>
      </c>
      <c r="F172" s="402"/>
      <c r="G172" s="952">
        <f t="shared" si="14"/>
        <v>0</v>
      </c>
      <c r="H172" s="966" t="e">
        <f>VLOOKUP('Interactive Data Grading'!D172,BMAC!$E$6:$J$15,6,FALSE)</f>
        <v>#N/A</v>
      </c>
      <c r="I172" s="966" t="e">
        <f t="shared" si="15"/>
        <v>#N/A</v>
      </c>
    </row>
    <row r="173" spans="1:18" ht="20.100000000000001" customHeight="1">
      <c r="A173" s="269"/>
      <c r="B173" s="659" t="s">
        <v>407</v>
      </c>
      <c r="C173" s="1034" t="str">
        <f>BMAC!B38</f>
        <v>How frequently does internal review by utility staff of the BMAC volumes occur?</v>
      </c>
      <c r="D173" s="404"/>
      <c r="E173" s="870" t="str">
        <f t="shared" si="13"/>
        <v/>
      </c>
      <c r="F173" s="402"/>
      <c r="G173" s="952">
        <f t="shared" si="14"/>
        <v>0</v>
      </c>
      <c r="H173" s="966" t="e">
        <f>VLOOKUP('Interactive Data Grading'!D173,BMAC!$F$6:$J$15,5,FALSE)</f>
        <v>#N/A</v>
      </c>
      <c r="I173" s="966" t="e">
        <f t="shared" si="15"/>
        <v>#N/A</v>
      </c>
    </row>
    <row r="174" spans="1:18" ht="20.100000000000001" customHeight="1">
      <c r="A174" s="269"/>
      <c r="B174" s="659" t="s">
        <v>408</v>
      </c>
      <c r="C174" s="1034" t="str">
        <f>BMAC!B39</f>
        <v>What level of detail is examined in the internal review of BMAC volumes?</v>
      </c>
      <c r="D174" s="404"/>
      <c r="E174" s="870" t="str">
        <f t="shared" si="13"/>
        <v/>
      </c>
      <c r="F174" s="402"/>
      <c r="G174" s="952">
        <f>IF(OR($D$169="No",D173=BMAC!F23),1,IF(LEN(D174)&gt;0,1,0))</f>
        <v>0</v>
      </c>
      <c r="H174" s="966" t="e">
        <f>VLOOKUP('Interactive Data Grading'!D174,BMAC!$G$6:$J$15,4,FALSE)</f>
        <v>#N/A</v>
      </c>
      <c r="I174" s="966" t="e">
        <f>IF(D173=BMAC!F23,X,H174)</f>
        <v>#N/A</v>
      </c>
      <c r="J174" s="951" t="s">
        <v>407</v>
      </c>
    </row>
    <row r="175" spans="1:18" ht="22.95" customHeight="1">
      <c r="A175" s="269"/>
      <c r="B175" s="659" t="s">
        <v>409</v>
      </c>
      <c r="C175" s="1034" t="str">
        <f>BMAC!B40</f>
        <v>When was the most recent billing data review by someone who is independent of the utility billing process?</v>
      </c>
      <c r="D175" s="404"/>
      <c r="E175" s="870" t="str">
        <f t="shared" si="13"/>
        <v/>
      </c>
      <c r="F175" s="402"/>
      <c r="G175" s="952">
        <f t="shared" si="14"/>
        <v>0</v>
      </c>
      <c r="H175" s="966" t="e">
        <f>VLOOKUP('Interactive Data Grading'!D175,BMAC!$H$6:$J$15,3,FALSE)</f>
        <v>#N/A</v>
      </c>
      <c r="I175" s="966" t="e">
        <f t="shared" si="15"/>
        <v>#N/A</v>
      </c>
    </row>
    <row r="176" spans="1:18" ht="22.95" customHeight="1">
      <c r="A176" s="269"/>
      <c r="B176" s="659" t="s">
        <v>410</v>
      </c>
      <c r="C176" s="1034" t="str">
        <f>BMAC!B41</f>
        <v>What level of detail was examined in the review by someone who is independent of the utility billing process?</v>
      </c>
      <c r="D176" s="404"/>
      <c r="E176" s="870" t="str">
        <f t="shared" si="13"/>
        <v/>
      </c>
      <c r="F176" s="402"/>
      <c r="G176" s="952">
        <f>IF(OR($D$169="No",D175=BMAC!H23),1,IF(LEN(D176)&gt;0,1,0))</f>
        <v>0</v>
      </c>
      <c r="H176" s="966" t="e">
        <f>VLOOKUP('Interactive Data Grading'!D176,BMAC!$I$6:$J$15,2,FALSE)</f>
        <v>#N/A</v>
      </c>
      <c r="I176" s="966" t="e">
        <f>IF(D175=BMAC!H23,X,H176)</f>
        <v>#N/A</v>
      </c>
      <c r="J176" s="951" t="s">
        <v>409</v>
      </c>
    </row>
    <row r="177" spans="1:18" ht="27.6" customHeight="1">
      <c r="A177" s="269"/>
      <c r="B177" s="269"/>
      <c r="C177" s="403" t="s">
        <v>315</v>
      </c>
      <c r="D177" s="873" t="str">
        <f>IF(D169="","",IF(D169="No","n/a",IF(G177=0,"",I177)))</f>
        <v/>
      </c>
      <c r="E177" s="870"/>
      <c r="F177" s="402"/>
      <c r="G177" s="952">
        <f>MIN(G170:G176)</f>
        <v>0</v>
      </c>
      <c r="H177" s="962" t="e">
        <f>MIN(H169:H176)</f>
        <v>#NAME?</v>
      </c>
      <c r="I177" s="962">
        <f t="array" ref="I177">MIN(IF(ISNUMBER(I168:I176),I168:I176))</f>
        <v>0</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14" t="s">
        <v>1137</v>
      </c>
      <c r="B193" s="1215"/>
      <c r="C193" s="1216" t="s">
        <v>444</v>
      </c>
      <c r="D193" s="1216"/>
      <c r="E193" s="1042" t="s">
        <v>1138</v>
      </c>
      <c r="G193" s="963"/>
      <c r="H193" s="963"/>
      <c r="I193" s="964"/>
      <c r="J193" s="963"/>
      <c r="K193" s="963"/>
      <c r="L193" s="963"/>
      <c r="M193" s="963"/>
      <c r="N193" s="963"/>
      <c r="O193" s="963"/>
      <c r="P193" s="963"/>
      <c r="Q193" s="963"/>
      <c r="R193" s="963"/>
    </row>
    <row r="194" spans="1:18" ht="12" customHeight="1">
      <c r="A194" s="269"/>
      <c r="B194" s="269"/>
      <c r="C194" s="1217" t="str">
        <f>IF(OR(AND(D196="Yes",Worksheet!H24&gt;0),AND(D196="No",Worksheet!H24&lt;=0),LEN(D196)=0),"","Inconsistency between Worksheet BUAC input and buac.0 response")</f>
        <v/>
      </c>
      <c r="D194" s="1217"/>
      <c r="E194" s="871"/>
      <c r="F194" s="402"/>
      <c r="H194" s="955"/>
      <c r="I194" s="955"/>
    </row>
    <row r="195" spans="1:18" s="680" customFormat="1" ht="12">
      <c r="A195" s="676"/>
      <c r="B195" s="677" t="s">
        <v>445</v>
      </c>
      <c r="C195" s="678" t="s">
        <v>305</v>
      </c>
      <c r="D195" s="678" t="s">
        <v>663</v>
      </c>
      <c r="E195" s="870"/>
      <c r="F195" s="679"/>
      <c r="G195" s="956"/>
      <c r="H195" s="957" t="s">
        <v>303</v>
      </c>
      <c r="I195" s="957"/>
      <c r="J195" s="956" t="s">
        <v>794</v>
      </c>
      <c r="K195" s="956"/>
      <c r="L195" s="956"/>
      <c r="M195" s="956"/>
      <c r="N195" s="956"/>
      <c r="O195" s="956"/>
      <c r="P195" s="956"/>
      <c r="Q195" s="956"/>
      <c r="R195" s="956"/>
    </row>
    <row r="196" spans="1:18" ht="27.6" customHeight="1">
      <c r="A196" s="269"/>
      <c r="B196" s="659" t="s">
        <v>446</v>
      </c>
      <c r="C196" s="1034" t="str">
        <f>BUAC!B34</f>
        <v>Was there any billed consumption on unmetered accounts in the audit year?</v>
      </c>
      <c r="D196" s="404"/>
      <c r="E196" s="870"/>
      <c r="F196" s="402"/>
      <c r="H196" s="951" t="e">
        <f>IF(D196="",X,"")</f>
        <v>#NAME?</v>
      </c>
      <c r="I196" s="958"/>
      <c r="J196" s="951" t="s">
        <v>828</v>
      </c>
    </row>
    <row r="197" spans="1:18" ht="27.6" customHeight="1">
      <c r="A197" s="269"/>
      <c r="B197" s="659" t="s">
        <v>437</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438</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439</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315</v>
      </c>
      <c r="D200" s="873" t="str">
        <f>IFERROR((IF(D196="No","n/a",H200)),"")</f>
        <v/>
      </c>
      <c r="E200" s="870"/>
      <c r="F200" s="402"/>
      <c r="H200" s="962" t="e">
        <f>MIN(H196:H199)</f>
        <v>#NAME?</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14" t="s">
        <v>1137</v>
      </c>
      <c r="B216" s="1215"/>
      <c r="C216" s="1216" t="s">
        <v>462</v>
      </c>
      <c r="D216" s="1216"/>
      <c r="E216" s="1042" t="s">
        <v>1138</v>
      </c>
      <c r="G216" s="963"/>
      <c r="H216" s="963"/>
      <c r="I216" s="964"/>
      <c r="J216" s="963"/>
      <c r="K216" s="963"/>
      <c r="L216" s="963"/>
      <c r="M216" s="963"/>
      <c r="N216" s="963"/>
      <c r="O216" s="963"/>
      <c r="P216" s="963"/>
      <c r="Q216" s="963"/>
      <c r="R216" s="963"/>
    </row>
    <row r="217" spans="1:18" ht="12" customHeight="1">
      <c r="A217" s="269"/>
      <c r="B217" s="269"/>
      <c r="C217" s="1217" t="str">
        <f>IF(OR(AND(D219="Yes",Worksheet!H25&gt;0),AND(D219="No",Worksheet!H25&lt;=0),LEN(D219)=0),"","Inconsistency between Worksheet UMAC input and umac.0 response")</f>
        <v/>
      </c>
      <c r="D217" s="1217"/>
      <c r="E217" s="871"/>
      <c r="F217" s="402"/>
      <c r="H217" s="955"/>
      <c r="I217" s="955"/>
    </row>
    <row r="218" spans="1:18" s="680" customFormat="1" ht="12">
      <c r="A218" s="676"/>
      <c r="B218" s="677" t="s">
        <v>474</v>
      </c>
      <c r="C218" s="678" t="s">
        <v>305</v>
      </c>
      <c r="D218" s="678" t="s">
        <v>663</v>
      </c>
      <c r="E218" s="870"/>
      <c r="F218" s="679"/>
      <c r="G218" s="956"/>
      <c r="H218" s="957" t="s">
        <v>303</v>
      </c>
      <c r="I218" s="957"/>
      <c r="J218" s="956" t="s">
        <v>794</v>
      </c>
      <c r="K218" s="956"/>
      <c r="L218" s="956"/>
      <c r="M218" s="956"/>
      <c r="N218" s="956"/>
      <c r="O218" s="956"/>
      <c r="P218" s="956"/>
      <c r="Q218" s="956"/>
      <c r="R218" s="956"/>
    </row>
    <row r="219" spans="1:18" ht="27.6" customHeight="1">
      <c r="A219" s="269"/>
      <c r="B219" s="659" t="s">
        <v>475</v>
      </c>
      <c r="C219" s="1034" t="str">
        <f>UMAC!B34</f>
        <v>Did the water utility have any unbilled-metered consumption in the audit year?</v>
      </c>
      <c r="D219" s="404"/>
      <c r="E219" s="870"/>
      <c r="F219" s="402"/>
      <c r="H219" s="951" t="e">
        <f>IF(D219="",X,"")</f>
        <v>#NAME?</v>
      </c>
      <c r="I219" s="958"/>
      <c r="J219" s="951" t="s">
        <v>828</v>
      </c>
    </row>
    <row r="220" spans="1:18" ht="27.6" customHeight="1">
      <c r="A220" s="269"/>
      <c r="B220" s="659" t="s">
        <v>456</v>
      </c>
      <c r="C220" s="1034" t="str">
        <f>UMAC!B35</f>
        <v>Does the water utility policy articulate which accounts are exempt from billing?</v>
      </c>
      <c r="D220" s="404"/>
      <c r="E220" s="870" t="str">
        <f>IF(OR($D$224=10,$D$224="n/a"),"",IFERROR(IF(H220=MIN($H$220:$H$223),"Limiting",""),""))</f>
        <v/>
      </c>
      <c r="F220" s="402"/>
      <c r="H220" s="959" t="e">
        <f>VLOOKUP('Interactive Data Grading'!D220,UMAC!$C$6:$G$15,5,FALSE)</f>
        <v>#N/A</v>
      </c>
      <c r="I220" s="959"/>
    </row>
    <row r="221" spans="1:18" ht="27.6" customHeight="1">
      <c r="A221" s="269"/>
      <c r="B221" s="659" t="s">
        <v>457</v>
      </c>
      <c r="C221" s="1034" t="str">
        <f>UMAC!B36</f>
        <v>How many unbilled metered accounts exist?</v>
      </c>
      <c r="D221" s="404"/>
      <c r="E221" s="870" t="str">
        <f>IF(OR($D$224=10,$D$224="n/a"),"",IFERROR(IF(H221=MIN($H$220:$H$223),"Limiting",""),""))</f>
        <v/>
      </c>
      <c r="F221" s="402"/>
      <c r="H221" s="959" t="e">
        <f>VLOOKUP('Interactive Data Grading'!D221,UMAC!$D$6:$G$15,4,FALSE)</f>
        <v>#N/A</v>
      </c>
      <c r="I221" s="960"/>
    </row>
    <row r="222" spans="1:18" ht="41.85" customHeight="1">
      <c r="A222" s="269"/>
      <c r="B222" s="659" t="s">
        <v>458</v>
      </c>
      <c r="C222" s="1034" t="str">
        <f>UMAC!B37</f>
        <v>How often is each unbilled customer meter read? 
For systems with multiple read frequencies, select the reading frequency that describes the majority of your customers.</v>
      </c>
      <c r="D222" s="404"/>
      <c r="E222" s="870" t="str">
        <f>IF(OR($D$224=10,$D$224="n/a"),"",IFERROR(IF(H222=MIN($H$220:$H$223),"Limiting",""),""))</f>
        <v/>
      </c>
      <c r="F222" s="402"/>
      <c r="H222" s="959" t="e">
        <f>VLOOKUP('Interactive Data Grading'!D222,UMAC!$E$6:$G$15,3,FALSE)</f>
        <v>#N/A</v>
      </c>
      <c r="I222" s="960"/>
    </row>
    <row r="223" spans="1:18" ht="27.6" customHeight="1">
      <c r="A223" s="269"/>
      <c r="B223" s="659" t="s">
        <v>459</v>
      </c>
      <c r="C223" s="1034" t="str">
        <f>UMAC!B38</f>
        <v>How often are unbilled metered volumes reviewed for error?</v>
      </c>
      <c r="D223" s="404"/>
      <c r="E223" s="870" t="str">
        <f>IF(OR($D$224=10,$D$224="n/a"),"",IFERROR(IF(H223=MIN($H$220:$H$223),"Limiting",""),""))</f>
        <v/>
      </c>
      <c r="F223" s="402"/>
      <c r="H223" s="959" t="e">
        <f>VLOOKUP('Interactive Data Grading'!D223,UMAC!$F$6:$G$15,2,FALSE)</f>
        <v>#N/A</v>
      </c>
      <c r="I223" s="959"/>
    </row>
    <row r="224" spans="1:18" ht="27.6" customHeight="1">
      <c r="A224" s="269"/>
      <c r="B224" s="269"/>
      <c r="C224" s="403" t="s">
        <v>315</v>
      </c>
      <c r="D224" s="873" t="str">
        <f>IFERROR((IF(D219="No","n/a",H224)),"")</f>
        <v/>
      </c>
      <c r="E224" s="870"/>
      <c r="F224" s="402"/>
      <c r="H224" s="962" t="e">
        <f>MIN(H219:H223)</f>
        <v>#NAME?</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14" t="s">
        <v>1137</v>
      </c>
      <c r="B240" s="1215"/>
      <c r="C240" s="1216" t="s">
        <v>473</v>
      </c>
      <c r="D240" s="1216"/>
      <c r="E240" s="1042" t="s">
        <v>1138</v>
      </c>
      <c r="G240" s="963"/>
      <c r="H240" s="963"/>
      <c r="I240" s="964"/>
      <c r="J240" s="963"/>
      <c r="K240" s="963"/>
      <c r="L240" s="963"/>
      <c r="M240" s="963"/>
      <c r="N240" s="963"/>
      <c r="O240" s="963"/>
      <c r="P240" s="963"/>
      <c r="Q240" s="963"/>
      <c r="R240" s="963"/>
    </row>
    <row r="241" spans="1:18" ht="9.75" customHeight="1">
      <c r="A241" s="269"/>
      <c r="B241" s="269"/>
      <c r="C241" s="1223" t="str">
        <f>IF(Worksheet!W26=1,"This Data Grading Criteria is hidden when the 'default' input is used on the Worksheet","")</f>
        <v>This Data Grading Criteria is hidden when the 'default' input is used on the Worksheet</v>
      </c>
      <c r="D241" s="1223"/>
      <c r="E241" s="871"/>
      <c r="F241" s="402"/>
      <c r="H241" s="955"/>
      <c r="I241" s="955"/>
    </row>
    <row r="242" spans="1:18" s="680" customFormat="1" ht="12">
      <c r="A242" s="676"/>
      <c r="B242" s="677" t="s">
        <v>476</v>
      </c>
      <c r="C242" s="678" t="s">
        <v>305</v>
      </c>
      <c r="D242" s="678" t="s">
        <v>663</v>
      </c>
      <c r="E242" s="870"/>
      <c r="F242" s="679"/>
      <c r="G242" s="956"/>
      <c r="H242" s="957" t="s">
        <v>303</v>
      </c>
      <c r="I242" s="957"/>
      <c r="J242" s="956" t="s">
        <v>794</v>
      </c>
      <c r="K242" s="956"/>
      <c r="L242" s="956"/>
      <c r="M242" s="956"/>
      <c r="N242" s="956"/>
      <c r="O242" s="956"/>
      <c r="P242" s="956"/>
      <c r="Q242" s="956"/>
      <c r="R242" s="956"/>
    </row>
    <row r="243" spans="1:18" ht="27.6" customHeight="1">
      <c r="A243" s="269"/>
      <c r="B243" s="659" t="s">
        <v>477</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838</v>
      </c>
    </row>
    <row r="244" spans="1:18" ht="27.6" customHeight="1">
      <c r="A244" s="269"/>
      <c r="B244" s="659" t="s">
        <v>467</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468</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469</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315</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1.1" customHeight="1">
      <c r="C256" s="672"/>
      <c r="D256" s="672"/>
      <c r="E256" s="992"/>
      <c r="G256" s="963"/>
      <c r="H256" s="963"/>
      <c r="I256" s="964"/>
      <c r="J256" s="963"/>
      <c r="K256" s="963"/>
      <c r="L256" s="963"/>
      <c r="M256" s="963"/>
      <c r="N256" s="963"/>
      <c r="O256" s="963"/>
      <c r="P256" s="963"/>
      <c r="Q256" s="963"/>
      <c r="R256" s="963"/>
    </row>
    <row r="257" spans="1:18" s="564" customFormat="1" ht="41.1" customHeight="1">
      <c r="C257" s="672"/>
      <c r="D257" s="672"/>
      <c r="E257" s="992"/>
      <c r="G257" s="963"/>
      <c r="H257" s="963"/>
      <c r="I257" s="964"/>
      <c r="J257" s="963"/>
      <c r="K257" s="963"/>
      <c r="L257" s="963"/>
      <c r="M257" s="963"/>
      <c r="N257" s="963"/>
      <c r="O257" s="963"/>
      <c r="P257" s="963"/>
      <c r="Q257" s="963"/>
      <c r="R257" s="963"/>
    </row>
    <row r="258" spans="1:18" s="564" customFormat="1" ht="41.1" customHeight="1">
      <c r="C258" s="672"/>
      <c r="D258" s="672"/>
      <c r="E258" s="992"/>
      <c r="G258" s="963"/>
      <c r="H258" s="963"/>
      <c r="I258" s="964"/>
      <c r="J258" s="963"/>
      <c r="K258" s="963"/>
      <c r="L258" s="963"/>
      <c r="M258" s="963"/>
      <c r="N258" s="963"/>
      <c r="O258" s="963"/>
      <c r="P258" s="963"/>
      <c r="Q258" s="963"/>
      <c r="R258" s="963"/>
    </row>
    <row r="259" spans="1:18" s="564" customFormat="1" ht="41.1" customHeight="1">
      <c r="C259" s="672"/>
      <c r="D259" s="672"/>
      <c r="E259" s="992"/>
      <c r="G259" s="963"/>
      <c r="H259" s="963"/>
      <c r="I259" s="964"/>
      <c r="J259" s="963"/>
      <c r="K259" s="963"/>
      <c r="L259" s="963"/>
      <c r="M259" s="963"/>
      <c r="N259" s="963"/>
      <c r="O259" s="963"/>
      <c r="P259" s="963"/>
      <c r="Q259" s="963"/>
      <c r="R259" s="963"/>
    </row>
    <row r="260" spans="1:18" s="564" customFormat="1" ht="41.1"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14" t="s">
        <v>1137</v>
      </c>
      <c r="B263" s="1215"/>
      <c r="C263" s="1216" t="s">
        <v>552</v>
      </c>
      <c r="D263" s="1216"/>
      <c r="E263" s="1042" t="s">
        <v>1138</v>
      </c>
      <c r="G263" s="963"/>
      <c r="H263" s="963"/>
      <c r="I263" s="964"/>
      <c r="J263" s="963"/>
      <c r="K263" s="963"/>
      <c r="L263" s="963"/>
      <c r="M263" s="963"/>
      <c r="N263" s="963"/>
      <c r="O263" s="963"/>
      <c r="P263" s="963"/>
      <c r="Q263" s="963"/>
      <c r="R263" s="963"/>
    </row>
    <row r="264" spans="1:18" ht="9.75" customHeight="1">
      <c r="A264" s="269"/>
      <c r="B264" s="269"/>
      <c r="C264" s="1223" t="str">
        <f>IF(Worksheet!W39=1,"This Data Grading Criteria is hidden when the 'default' input is used on the Worksheet","")</f>
        <v>This Data Grading Criteria is hidden when the 'default' input is used on the Worksheet</v>
      </c>
      <c r="D264" s="1223"/>
      <c r="E264" s="871"/>
      <c r="F264" s="402"/>
      <c r="H264" s="955"/>
      <c r="I264" s="955"/>
    </row>
    <row r="265" spans="1:18" s="680" customFormat="1" ht="12">
      <c r="A265" s="676"/>
      <c r="B265" s="677" t="s">
        <v>553</v>
      </c>
      <c r="C265" s="678" t="s">
        <v>305</v>
      </c>
      <c r="D265" s="678" t="s">
        <v>663</v>
      </c>
      <c r="E265" s="870"/>
      <c r="F265" s="679"/>
      <c r="G265" s="956"/>
      <c r="H265" s="957" t="s">
        <v>303</v>
      </c>
      <c r="I265" s="957"/>
      <c r="J265" s="956" t="s">
        <v>794</v>
      </c>
      <c r="K265" s="956"/>
      <c r="L265" s="956"/>
      <c r="M265" s="956"/>
      <c r="N265" s="956"/>
      <c r="O265" s="956"/>
      <c r="P265" s="956"/>
      <c r="Q265" s="956"/>
      <c r="R265" s="956"/>
    </row>
    <row r="266" spans="1:18" ht="27.6" customHeight="1">
      <c r="A266" s="269"/>
      <c r="B266" s="659" t="s">
        <v>554</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529</v>
      </c>
      <c r="I266" s="958"/>
      <c r="J266" s="951" t="s">
        <v>838</v>
      </c>
    </row>
    <row r="267" spans="1:18" ht="27.6" customHeight="1">
      <c r="A267" s="269"/>
      <c r="B267" s="659" t="s">
        <v>535</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536</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537</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538</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22"/>
      <c r="O270" s="1222"/>
    </row>
    <row r="271" spans="1:18" ht="27.6" customHeight="1">
      <c r="A271" s="269"/>
      <c r="B271" s="269"/>
      <c r="C271" s="403" t="s">
        <v>315</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3.1" customHeight="1">
      <c r="C281" s="672"/>
      <c r="D281" s="672"/>
      <c r="E281" s="992"/>
      <c r="G281" s="963"/>
      <c r="H281" s="963"/>
      <c r="I281" s="964"/>
      <c r="J281" s="963"/>
      <c r="K281" s="963"/>
      <c r="L281" s="963"/>
      <c r="M281" s="963"/>
      <c r="N281" s="963"/>
      <c r="O281" s="963"/>
      <c r="P281" s="963"/>
      <c r="Q281" s="963"/>
      <c r="R281" s="963"/>
    </row>
    <row r="282" spans="1:18" s="564" customFormat="1" ht="53.1" customHeight="1">
      <c r="C282" s="672"/>
      <c r="D282" s="672"/>
      <c r="E282" s="992"/>
      <c r="G282" s="963"/>
      <c r="H282" s="963"/>
      <c r="I282" s="964"/>
      <c r="J282" s="963"/>
      <c r="K282" s="963"/>
      <c r="L282" s="963"/>
      <c r="M282" s="963"/>
      <c r="N282" s="963"/>
      <c r="O282" s="963"/>
      <c r="P282" s="963"/>
      <c r="Q282" s="963"/>
      <c r="R282" s="963"/>
    </row>
    <row r="283" spans="1:18" s="564" customFormat="1" ht="53.1"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14" t="s">
        <v>1137</v>
      </c>
      <c r="B287" s="1215"/>
      <c r="C287" s="1216" t="s">
        <v>523</v>
      </c>
      <c r="D287" s="1216"/>
      <c r="E287" s="1042" t="s">
        <v>1138</v>
      </c>
      <c r="G287" s="963"/>
      <c r="H287" s="963"/>
      <c r="I287" s="964"/>
      <c r="J287" s="963"/>
      <c r="K287" s="963"/>
      <c r="L287" s="963"/>
      <c r="M287" s="963"/>
      <c r="N287" s="963"/>
      <c r="O287" s="963"/>
      <c r="P287" s="963"/>
      <c r="Q287" s="963"/>
      <c r="R287" s="963"/>
    </row>
    <row r="288" spans="1:18" ht="12" customHeight="1">
      <c r="A288" s="269"/>
      <c r="B288" s="269"/>
      <c r="C288" s="1217" t="str">
        <f>IF(OR(AND(D290="Yes",Worksheet!Y25&gt;0),AND(D290="No",Worksheet!Y25&lt;=0),LEN(D290)=0),"","Inconsistency between Worksheet CMI input and cmi.0 response")</f>
        <v/>
      </c>
      <c r="D288" s="1217"/>
      <c r="E288" s="871"/>
      <c r="F288" s="402"/>
      <c r="H288" s="955"/>
      <c r="I288" s="955"/>
    </row>
    <row r="289" spans="1:18" s="680" customFormat="1" ht="12">
      <c r="A289" s="676"/>
      <c r="B289" s="677" t="s">
        <v>524</v>
      </c>
      <c r="C289" s="678" t="s">
        <v>305</v>
      </c>
      <c r="D289" s="678" t="s">
        <v>663</v>
      </c>
      <c r="E289" s="870"/>
      <c r="F289" s="679"/>
      <c r="G289" s="956"/>
      <c r="H289" s="957" t="s">
        <v>303</v>
      </c>
      <c r="I289" s="957"/>
      <c r="J289" s="956" t="s">
        <v>794</v>
      </c>
      <c r="K289" s="956"/>
      <c r="L289" s="956"/>
      <c r="M289" s="956"/>
      <c r="N289" s="956"/>
      <c r="O289" s="956"/>
      <c r="P289" s="956"/>
      <c r="Q289" s="956"/>
      <c r="R289" s="956"/>
    </row>
    <row r="290" spans="1:18" ht="29.4" customHeight="1">
      <c r="A290" s="269"/>
      <c r="B290" s="659" t="s">
        <v>525</v>
      </c>
      <c r="C290" s="1034" t="str">
        <f>CMI!B34</f>
        <v>Was there any metered customer usage during the audit period?</v>
      </c>
      <c r="D290" s="404"/>
      <c r="E290" s="870"/>
      <c r="F290" s="402"/>
      <c r="G290" s="951">
        <f t="shared" ref="G290:G299" si="16">IF(LEN(D290)&gt;0,1,0)</f>
        <v>0</v>
      </c>
      <c r="I290" s="958"/>
      <c r="J290" s="951" t="s">
        <v>845</v>
      </c>
    </row>
    <row r="291" spans="1:18" ht="29.4" customHeight="1">
      <c r="A291" s="269"/>
      <c r="B291" s="659" t="s">
        <v>503</v>
      </c>
      <c r="C291" s="1034" t="str">
        <f>CMI!B35</f>
        <v>Do you test meters reactively (when triggered by customer complaint or billing/consumption flag)?</v>
      </c>
      <c r="D291" s="404"/>
      <c r="E291" s="870" t="str">
        <f t="shared" ref="E291:E298" si="17">IFERROR(IF(OR($D$300=10,NOT(ISNUMBER($D$300))),"",IF(H291=$H$300,"Limiting","")),"")</f>
        <v/>
      </c>
      <c r="F291" s="402"/>
      <c r="G291" s="951">
        <f>IF(LEN(D291)&gt;0,1,0)</f>
        <v>0</v>
      </c>
      <c r="H291" s="959" t="e">
        <f>VLOOKUP('Interactive Data Grading'!D291,CMI!$C$6:$J$16,8,FALSE)</f>
        <v>#N/A</v>
      </c>
      <c r="I291" s="959" t="e">
        <f>H291</f>
        <v>#N/A</v>
      </c>
    </row>
    <row r="292" spans="1:18" ht="39.75" customHeight="1">
      <c r="A292" s="269"/>
      <c r="B292" s="659" t="s">
        <v>504</v>
      </c>
      <c r="C292" s="1034" t="str">
        <f>CMI!B36</f>
        <v>For small size customer meters, which best describes the frequency of proactive testing (effort beyond when triggered by customer complaint or billing/consumption flags)?</v>
      </c>
      <c r="D292" s="404"/>
      <c r="E292" s="870" t="str">
        <f t="shared" si="17"/>
        <v/>
      </c>
      <c r="F292" s="402"/>
      <c r="G292" s="951">
        <f t="shared" si="16"/>
        <v>0</v>
      </c>
      <c r="H292" s="959" t="e">
        <f>VLOOKUP('Interactive Data Grading'!D292,CMI!$D$6:$J$16,7,FALSE)</f>
        <v>#N/A</v>
      </c>
      <c r="I292" s="959" t="e">
        <f>H292</f>
        <v>#N/A</v>
      </c>
      <c r="N292" s="1222"/>
      <c r="O292" s="1222"/>
    </row>
    <row r="293" spans="1:18" ht="29.4" customHeight="1">
      <c r="A293" s="269"/>
      <c r="B293" s="659" t="s">
        <v>526</v>
      </c>
      <c r="C293" s="1034" t="str">
        <f>CMI!B37</f>
        <v xml:space="preserve">Which best describes what meters are included in the proactive small size customer meter testing activities? </v>
      </c>
      <c r="D293" s="404"/>
      <c r="E293" s="870" t="str">
        <f t="shared" si="17"/>
        <v/>
      </c>
      <c r="F293" s="402"/>
      <c r="G293" s="951">
        <f>IF(OR($D$292=CMI!$D$23,$D$292=CMI!$D$24,$D$292=CMI!$D$27),1,IF(LEN(D293)&gt;0,1,0))</f>
        <v>0</v>
      </c>
      <c r="H293" s="959" t="e">
        <f>VLOOKUP('Interactive Data Grading'!D293,CMI!$E$6:$J$16,6,FALSE)</f>
        <v>#N/A</v>
      </c>
      <c r="I293" s="959" t="e">
        <f>IF(OR(D292=CMI!D23,D292=CMI!D24),X,H293)</f>
        <v>#N/A</v>
      </c>
      <c r="J293" s="951" t="s">
        <v>504</v>
      </c>
    </row>
    <row r="294" spans="1:18" ht="29.4" customHeight="1">
      <c r="A294" s="269"/>
      <c r="B294" s="659" t="s">
        <v>527</v>
      </c>
      <c r="C294" s="1034" t="str">
        <f>CMI!B38</f>
        <v>For mid and large size customer meters, which best describes the frequency of the proactive testing program?</v>
      </c>
      <c r="D294" s="404"/>
      <c r="E294" s="870" t="str">
        <f t="shared" si="17"/>
        <v/>
      </c>
      <c r="F294" s="402"/>
      <c r="G294" s="951">
        <f t="shared" si="16"/>
        <v>0</v>
      </c>
      <c r="H294" s="959" t="e">
        <f>VLOOKUP('Interactive Data Grading'!D294,CMI!$F$6:$J$16,5,FALSE)</f>
        <v>#N/A</v>
      </c>
      <c r="I294" s="959" t="e">
        <f>H294</f>
        <v>#N/A</v>
      </c>
    </row>
    <row r="295" spans="1:18" ht="29.4" customHeight="1">
      <c r="A295" s="269"/>
      <c r="B295" s="659" t="s">
        <v>505</v>
      </c>
      <c r="C295" s="1034" t="str">
        <f>CMI!B39</f>
        <v xml:space="preserve">Which best describes what meters are included in the proactive mid- and large customer meter testing activities? </v>
      </c>
      <c r="D295" s="404"/>
      <c r="E295" s="870" t="str">
        <f t="shared" si="17"/>
        <v/>
      </c>
      <c r="F295" s="402"/>
      <c r="G295" s="1053">
        <f>IF(OR($D$294=CMI!$F$23,$D$294=CMI!F$24),1,IF(LEN(D295)&gt;0,1,0))</f>
        <v>0</v>
      </c>
      <c r="H295" s="959" t="e">
        <f>VLOOKUP('Interactive Data Grading'!D295,CMI!$G$6:$J$16,4,FALSE)</f>
        <v>#N/A</v>
      </c>
      <c r="I295" s="959" t="e">
        <f>IF(OR(D294=CMI!F23,D294=CMI!F24),X,H295)</f>
        <v>#N/A</v>
      </c>
      <c r="J295" s="951" t="s">
        <v>527</v>
      </c>
    </row>
    <row r="296" spans="1:18" ht="29.4" customHeight="1">
      <c r="A296" s="269"/>
      <c r="B296" s="659" t="s">
        <v>528</v>
      </c>
      <c r="C296" s="1034" t="str">
        <f>CMI!B40</f>
        <v>Which best describes how the input was derived?</v>
      </c>
      <c r="D296" s="404"/>
      <c r="E296" s="870" t="str">
        <f t="shared" si="17"/>
        <v/>
      </c>
      <c r="F296" s="402"/>
      <c r="G296" s="951">
        <f t="shared" si="16"/>
        <v>0</v>
      </c>
      <c r="H296" s="959" t="e">
        <f>VLOOKUP('Interactive Data Grading'!D296,CMI!$H$6:$J$16,3,FALSE)</f>
        <v>#N/A</v>
      </c>
      <c r="I296" s="959" t="e">
        <f>H296</f>
        <v>#N/A</v>
      </c>
    </row>
    <row r="297" spans="1:18" ht="29.4" customHeight="1">
      <c r="A297" s="269"/>
      <c r="B297" s="659" t="s">
        <v>506</v>
      </c>
      <c r="C297" s="1034" t="str">
        <f>CMI!B41</f>
        <v>Has the input derivation been reviewed by someone with expert knowledge in the M36 methodology?</v>
      </c>
      <c r="D297" s="404"/>
      <c r="E297" s="870" t="str">
        <f t="shared" si="17"/>
        <v/>
      </c>
      <c r="F297" s="402"/>
      <c r="G297" s="951">
        <f t="shared" si="16"/>
        <v>0</v>
      </c>
      <c r="H297" s="959" t="e">
        <f>VLOOKUP('Interactive Data Grading'!D297,CMI!$I$6:$J$16,2,FALSE)</f>
        <v>#N/A</v>
      </c>
      <c r="I297" s="959" t="e">
        <f>H297</f>
        <v>#N/A</v>
      </c>
    </row>
    <row r="298" spans="1:18" ht="29.4" customHeight="1">
      <c r="A298" s="269"/>
      <c r="B298" s="659" t="s">
        <v>507</v>
      </c>
      <c r="C298" s="1034" t="str">
        <f>CMI!B42</f>
        <v>To what extent does meter replacement occur and for which meters?</v>
      </c>
      <c r="D298" s="404"/>
      <c r="E298" s="870" t="str">
        <f t="shared" si="17"/>
        <v/>
      </c>
      <c r="F298" s="402"/>
      <c r="G298" s="951">
        <f t="shared" si="16"/>
        <v>0</v>
      </c>
      <c r="H298" s="959"/>
      <c r="I298" s="959"/>
      <c r="J298" s="951" t="s">
        <v>754</v>
      </c>
    </row>
    <row r="299" spans="1:18" ht="29.4" customHeight="1">
      <c r="A299" s="269"/>
      <c r="B299" s="659" t="s">
        <v>508</v>
      </c>
      <c r="C299" s="1034" t="str">
        <f>CMI!B43</f>
        <v>Which best describes the reliability of meter installation records?</v>
      </c>
      <c r="D299" s="409"/>
      <c r="E299" s="870"/>
      <c r="F299" s="402"/>
      <c r="G299" s="951">
        <f t="shared" si="16"/>
        <v>0</v>
      </c>
      <c r="H299" s="959"/>
      <c r="I299" s="959"/>
      <c r="J299" s="951" t="s">
        <v>754</v>
      </c>
    </row>
    <row r="300" spans="1:18" ht="29.4" customHeight="1">
      <c r="A300" s="269"/>
      <c r="B300" s="269"/>
      <c r="C300" s="403" t="s">
        <v>315</v>
      </c>
      <c r="D300" s="874" t="str">
        <f>IF(D290="No","n/a",IF(G300=0,"",I300))</f>
        <v/>
      </c>
      <c r="E300" s="870"/>
      <c r="F300" s="402"/>
      <c r="G300" s="951">
        <f>MIN(G290:G299)</f>
        <v>0</v>
      </c>
      <c r="H300" s="962">
        <f t="array" ref="H300">MIN(IF(ISNUMBER(H291:H297),H291:H297))</f>
        <v>0</v>
      </c>
      <c r="I300" s="962">
        <f t="array" ref="I300">MIN(IF(ISNUMBER(I290:I299),I290:I299))</f>
        <v>0</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14" t="s">
        <v>1137</v>
      </c>
      <c r="B316" s="1215"/>
      <c r="C316" s="1216" t="s">
        <v>496</v>
      </c>
      <c r="D316" s="1216"/>
      <c r="E316" s="1042" t="s">
        <v>1138</v>
      </c>
      <c r="G316" s="963"/>
      <c r="H316" s="963"/>
      <c r="I316" s="964"/>
      <c r="J316" s="963"/>
      <c r="K316" s="963"/>
      <c r="L316" s="963"/>
      <c r="M316" s="963"/>
      <c r="N316" s="963"/>
      <c r="O316" s="963"/>
      <c r="P316" s="963"/>
      <c r="Q316" s="963"/>
      <c r="R316" s="963"/>
    </row>
    <row r="317" spans="1:18" ht="9.75" customHeight="1">
      <c r="A317" s="269"/>
      <c r="B317" s="269"/>
      <c r="C317" s="1223" t="str">
        <f>IF(Worksheet!W43=1,"This Data Grading Criteria is hidden when the 'default' input is used on the Worksheet","")</f>
        <v>This Data Grading Criteria is hidden when the 'default' input is used on the Worksheet</v>
      </c>
      <c r="D317" s="1223"/>
      <c r="E317" s="871"/>
      <c r="F317" s="402"/>
      <c r="H317" s="955"/>
      <c r="I317" s="955"/>
    </row>
    <row r="318" spans="1:18" s="680" customFormat="1" ht="12">
      <c r="A318" s="676"/>
      <c r="B318" s="677" t="s">
        <v>497</v>
      </c>
      <c r="C318" s="678" t="s">
        <v>305</v>
      </c>
      <c r="D318" s="678" t="s">
        <v>663</v>
      </c>
      <c r="E318" s="870"/>
      <c r="F318" s="679"/>
      <c r="G318" s="956"/>
      <c r="H318" s="957" t="s">
        <v>303</v>
      </c>
      <c r="I318" s="957"/>
      <c r="J318" s="956" t="s">
        <v>794</v>
      </c>
      <c r="K318" s="956"/>
      <c r="L318" s="956"/>
      <c r="M318" s="956"/>
      <c r="N318" s="956"/>
      <c r="O318" s="956"/>
      <c r="P318" s="956"/>
      <c r="Q318" s="956"/>
      <c r="R318" s="956"/>
    </row>
    <row r="319" spans="1:18" ht="27.6" customHeight="1">
      <c r="A319" s="269"/>
      <c r="B319" s="659" t="s">
        <v>498</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838</v>
      </c>
    </row>
    <row r="320" spans="1:18" ht="27.6" customHeight="1">
      <c r="A320" s="269"/>
      <c r="B320" s="659" t="s">
        <v>490</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491</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315</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 customHeight="1">
      <c r="C338" s="672"/>
      <c r="D338" s="672"/>
      <c r="E338" s="992"/>
      <c r="G338" s="963"/>
      <c r="H338" s="963"/>
      <c r="I338" s="964"/>
      <c r="J338" s="963"/>
      <c r="K338" s="963"/>
      <c r="L338" s="963"/>
      <c r="M338" s="963"/>
      <c r="N338" s="963"/>
      <c r="O338" s="963"/>
      <c r="P338" s="963"/>
      <c r="Q338" s="963"/>
      <c r="R338" s="963"/>
    </row>
    <row r="339" spans="1:18" s="564" customFormat="1" ht="41.4" customHeight="1">
      <c r="C339" s="672"/>
      <c r="D339" s="672"/>
      <c r="E339" s="992"/>
      <c r="G339" s="963"/>
      <c r="H339" s="963"/>
      <c r="I339" s="964"/>
      <c r="J339" s="963"/>
      <c r="K339" s="963"/>
      <c r="L339" s="963"/>
      <c r="M339" s="963"/>
      <c r="N339" s="963"/>
      <c r="O339" s="963"/>
      <c r="P339" s="963"/>
      <c r="Q339" s="963"/>
      <c r="R339" s="963"/>
    </row>
    <row r="340" spans="1:18" s="564" customFormat="1" ht="41.4"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14" t="s">
        <v>1137</v>
      </c>
      <c r="B343" s="1215"/>
      <c r="C343" s="1216" t="s">
        <v>569</v>
      </c>
      <c r="D343" s="1216"/>
      <c r="E343" s="1042" t="s">
        <v>1138</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570</v>
      </c>
      <c r="C345" s="678" t="s">
        <v>305</v>
      </c>
      <c r="D345" s="678" t="s">
        <v>663</v>
      </c>
      <c r="E345" s="870"/>
      <c r="F345" s="679"/>
      <c r="G345" s="956"/>
      <c r="H345" s="957" t="s">
        <v>303</v>
      </c>
      <c r="I345" s="957"/>
      <c r="J345" s="956" t="s">
        <v>794</v>
      </c>
      <c r="K345" s="956"/>
      <c r="L345" s="956"/>
      <c r="M345" s="956"/>
      <c r="N345" s="956"/>
      <c r="O345" s="956"/>
      <c r="P345" s="956"/>
      <c r="Q345" s="956"/>
      <c r="R345" s="956"/>
    </row>
    <row r="346" spans="1:18" ht="27.6" customHeight="1">
      <c r="A346" s="269"/>
      <c r="B346" s="659" t="s">
        <v>565</v>
      </c>
      <c r="C346" s="1034" t="str">
        <f>Lm!B35</f>
        <v>How was the input derived?</v>
      </c>
      <c r="D346" s="404"/>
      <c r="E346" s="870" t="str">
        <f>IFERROR(IF(OR($H346=10,NOT(ISNUMBER($H346))),"",IF(H346=$H$350,"Limiting","")),"")</f>
        <v/>
      </c>
      <c r="F346" s="402"/>
      <c r="G346" s="965">
        <f t="shared" ref="G346:G348" si="18">IF(LEN(D346)&gt;0,1,0)</f>
        <v>0</v>
      </c>
      <c r="H346" s="959" t="e">
        <f>VLOOKUP('Interactive Data Grading'!D346,Lm!$C$6:$G$15,5,FALSE)</f>
        <v>#N/A</v>
      </c>
      <c r="I346" s="959" t="e">
        <f>H346</f>
        <v>#N/A</v>
      </c>
    </row>
    <row r="347" spans="1:18" ht="27.6" customHeight="1">
      <c r="A347" s="269"/>
      <c r="B347" s="659" t="s">
        <v>566</v>
      </c>
      <c r="C347" s="1034" t="str">
        <f>Lm!B36</f>
        <v>Are hydrant laterals included in the input derivation?</v>
      </c>
      <c r="D347" s="404"/>
      <c r="E347" s="870" t="str">
        <f t="shared" ref="E347:E349" si="19">IFERROR(IF(OR($H347=10,NOT(ISNUMBER($H347))),"",IF(H347=$H$350,"Limiting","")),"")</f>
        <v/>
      </c>
      <c r="F347" s="402"/>
      <c r="G347" s="965">
        <f>IF(OR(LEN(D347)&gt;0,D346=Lm!$C$6),1,0)</f>
        <v>0</v>
      </c>
      <c r="H347" s="959" t="e">
        <f>VLOOKUP('Interactive Data Grading'!D347,Lm!$D$6:$G$15,4,FALSE)</f>
        <v>#N/A</v>
      </c>
      <c r="I347" s="959" t="e">
        <f>H347</f>
        <v>#N/A</v>
      </c>
      <c r="J347" s="951" t="s">
        <v>565</v>
      </c>
    </row>
    <row r="348" spans="1:18" ht="27.6" customHeight="1">
      <c r="A348" s="269"/>
      <c r="B348" s="659" t="s">
        <v>567</v>
      </c>
      <c r="C348" s="1034" t="str">
        <f>Lm!B37</f>
        <v>Which best describes how the Mains inventory (GIS, ledger, etc) is kept up to date?</v>
      </c>
      <c r="D348" s="404"/>
      <c r="E348" s="870" t="str">
        <f t="shared" si="19"/>
        <v/>
      </c>
      <c r="F348" s="402"/>
      <c r="G348" s="965">
        <f t="shared" si="18"/>
        <v>0</v>
      </c>
      <c r="H348" s="959" t="e">
        <f>VLOOKUP('Interactive Data Grading'!D348,Lm!$E$6:$G$15,3,FALSE)</f>
        <v>#N/A</v>
      </c>
      <c r="I348" s="959" t="e">
        <f>H348</f>
        <v>#N/A</v>
      </c>
    </row>
    <row r="349" spans="1:18" ht="27.6" customHeight="1">
      <c r="A349" s="269"/>
      <c r="B349" s="659" t="s">
        <v>568</v>
      </c>
      <c r="C349" s="1034" t="str">
        <f>Lm!B38</f>
        <v>Which best describes how the Mains inventory (GIS, ledger, etc) is field validated to confirm field conditions match the inventory?</v>
      </c>
      <c r="D349" s="404"/>
      <c r="E349" s="870" t="str">
        <f t="shared" si="19"/>
        <v/>
      </c>
      <c r="F349" s="402"/>
      <c r="G349" s="965">
        <f>IF(OR(LEN(D349)&gt;0,$D$348=Lm!$E$8),1,0)</f>
        <v>0</v>
      </c>
      <c r="H349" s="959" t="e">
        <f>VLOOKUP('Interactive Data Grading'!D349,Lm!$F$6:$G$15,2,FALSE)</f>
        <v>#N/A</v>
      </c>
      <c r="I349" s="959" t="e">
        <f>H349</f>
        <v>#N/A</v>
      </c>
      <c r="J349" s="951" t="s">
        <v>567</v>
      </c>
    </row>
    <row r="350" spans="1:18" ht="27.6" customHeight="1">
      <c r="A350" s="269"/>
      <c r="B350" s="269"/>
      <c r="C350" s="403" t="s">
        <v>315</v>
      </c>
      <c r="D350" s="873" t="str">
        <f>IF(G350&lt;1,"",I350)</f>
        <v/>
      </c>
      <c r="E350" s="870"/>
      <c r="F350" s="402"/>
      <c r="G350" s="965">
        <f>MIN(G346:G349)</f>
        <v>0</v>
      </c>
      <c r="H350" s="962" t="e">
        <f>MIN(H346:H349)</f>
        <v>#N/A</v>
      </c>
      <c r="I350" s="962">
        <f t="array" ref="I350">MIN(IF(ISNUMBER(I346:I349),I346:I349))</f>
        <v>0</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 customHeight="1">
      <c r="C360" s="672"/>
      <c r="D360" s="672"/>
      <c r="E360" s="992"/>
      <c r="G360" s="963"/>
      <c r="H360" s="963"/>
      <c r="I360" s="964"/>
      <c r="J360" s="963"/>
      <c r="K360" s="963"/>
      <c r="L360" s="963"/>
      <c r="M360" s="963"/>
      <c r="N360" s="963"/>
      <c r="O360" s="963"/>
      <c r="P360" s="963"/>
      <c r="Q360" s="963"/>
      <c r="R360" s="963"/>
    </row>
    <row r="361" spans="1:18" s="564" customFormat="1" ht="50.4" customHeight="1">
      <c r="C361" s="672"/>
      <c r="D361" s="672"/>
      <c r="E361" s="992"/>
      <c r="G361" s="963"/>
      <c r="H361" s="963"/>
      <c r="I361" s="964"/>
      <c r="J361" s="963"/>
      <c r="K361" s="963"/>
      <c r="L361" s="963"/>
      <c r="M361" s="963"/>
      <c r="N361" s="963"/>
      <c r="O361" s="963"/>
      <c r="P361" s="963"/>
      <c r="Q361" s="963"/>
      <c r="R361" s="963"/>
    </row>
    <row r="362" spans="1:18" s="564" customFormat="1" ht="50.4"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14" t="s">
        <v>1137</v>
      </c>
      <c r="B366" s="1215"/>
      <c r="C366" s="1216" t="s">
        <v>582</v>
      </c>
      <c r="D366" s="1216"/>
      <c r="E366" s="1042" t="s">
        <v>1138</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583</v>
      </c>
      <c r="C368" s="678" t="s">
        <v>305</v>
      </c>
      <c r="D368" s="678" t="s">
        <v>663</v>
      </c>
      <c r="E368" s="870"/>
      <c r="F368" s="679"/>
      <c r="G368" s="956"/>
      <c r="H368" s="957" t="s">
        <v>303</v>
      </c>
      <c r="I368" s="957"/>
      <c r="J368" s="956" t="s">
        <v>794</v>
      </c>
      <c r="K368" s="956" t="s">
        <v>1271</v>
      </c>
      <c r="L368" s="956"/>
      <c r="M368" s="956"/>
      <c r="N368" s="956"/>
      <c r="O368" s="956"/>
      <c r="P368" s="956"/>
      <c r="Q368" s="956"/>
      <c r="R368" s="956"/>
    </row>
    <row r="369" spans="1:18" ht="27.6" customHeight="1">
      <c r="A369" s="269"/>
      <c r="B369" s="659" t="s">
        <v>572</v>
      </c>
      <c r="C369" s="1034" t="str">
        <f>Nc!B35</f>
        <v>How was the input derived?</v>
      </c>
      <c r="D369" s="404"/>
      <c r="E369" s="870" t="str">
        <f>IFERROR(IF(OR($D$374=10,NOT(ISNUMBER($D$374))),"",IF(I369=$I$374,"Limiting","")),"")</f>
        <v/>
      </c>
      <c r="F369" s="402"/>
      <c r="H369" s="959" t="e">
        <f>VLOOKUP('Interactive Data Grading'!D369,Nc!$C$6:$H$15,6,FALSE)</f>
        <v>#N/A</v>
      </c>
      <c r="I369" s="959" t="e">
        <f>H369</f>
        <v>#N/A</v>
      </c>
      <c r="K369" s="951" t="str">
        <f>IFERROR(IF(OR($D$374=10,NOT(ISNUMBER($D$374))),"",IF(I369=$I$374,"Limiting","")),"")</f>
        <v/>
      </c>
    </row>
    <row r="370" spans="1:18" ht="27.6" customHeight="1">
      <c r="A370" s="269"/>
      <c r="B370" s="659" t="s">
        <v>573</v>
      </c>
      <c r="C370" s="1034" t="str">
        <f>Nc!B36</f>
        <v>What is the count of services based on?</v>
      </c>
      <c r="D370" s="404"/>
      <c r="E370" s="870" t="str">
        <f t="shared" ref="E370:E373" si="20">IFERROR(IF(OR($D$374=10,NOT(ISNUMBER($D$374))),"",IF(I370=$I$374,"Limiting","")),"")</f>
        <v/>
      </c>
      <c r="F370" s="402"/>
      <c r="G370" s="965">
        <f>IF(OR(LEN(D370)&gt;0,$D$369=Nc!$C$23),1,0)</f>
        <v>0</v>
      </c>
      <c r="H370" s="959" t="e">
        <f>VLOOKUP('Interactive Data Grading'!D370,Nc!$D$6:$H$15,5,FALSE)</f>
        <v>#N/A</v>
      </c>
      <c r="I370" s="959" t="e">
        <f>H370</f>
        <v>#N/A</v>
      </c>
      <c r="J370" s="951" t="s">
        <v>572</v>
      </c>
      <c r="K370" s="951" t="str">
        <f t="shared" ref="K370:K373" si="21">IFERROR(IF(OR($D$374=10,NOT(ISNUMBER($D$374))),"",IF(I370=$I$374,"Limiting","")),"")</f>
        <v/>
      </c>
    </row>
    <row r="371" spans="1:18" ht="27.6" customHeight="1">
      <c r="A371" s="269"/>
      <c r="B371" s="659" t="s">
        <v>574</v>
      </c>
      <c r="C371" s="1034" t="str">
        <f>Nc!B37</f>
        <v xml:space="preserve">Are inactive (but still pressurized) service lines included in the input? These may be metered or unmetered.  </v>
      </c>
      <c r="D371" s="404"/>
      <c r="E371" s="870" t="str">
        <f t="shared" si="20"/>
        <v/>
      </c>
      <c r="F371" s="402"/>
      <c r="G371" s="965">
        <f>IF(OR(LEN(D371)&gt;0,D369=Nc!$C$23),1,0)</f>
        <v>0</v>
      </c>
      <c r="H371" s="959" t="e">
        <f>VLOOKUP('Interactive Data Grading'!D371,Nc!$E$6:$H$15,4,FALSE)</f>
        <v>#N/A</v>
      </c>
      <c r="I371" s="959" t="e">
        <f t="shared" ref="I371:I373" si="22">H371</f>
        <v>#N/A</v>
      </c>
      <c r="J371" s="951" t="s">
        <v>572</v>
      </c>
      <c r="K371" s="951" t="str">
        <f t="shared" si="21"/>
        <v/>
      </c>
    </row>
    <row r="372" spans="1:18" ht="27.6" customHeight="1">
      <c r="A372" s="269"/>
      <c r="B372" s="659" t="s">
        <v>575</v>
      </c>
      <c r="C372" s="1034" t="str">
        <f>Nc!B38</f>
        <v>Which best describes how the inventory of service connections (GIS, billing system, etc) is kept up to date?</v>
      </c>
      <c r="D372" s="404"/>
      <c r="E372" s="870" t="str">
        <f t="shared" si="20"/>
        <v/>
      </c>
      <c r="F372" s="402"/>
      <c r="G372" s="965">
        <f t="shared" ref="G372" si="23">IF(LEN(D372)&gt;0,1,0)</f>
        <v>0</v>
      </c>
      <c r="H372" s="959" t="e">
        <f>VLOOKUP('Interactive Data Grading'!D372,Nc!$F$6:$H$15,3,FALSE)</f>
        <v>#N/A</v>
      </c>
      <c r="I372" s="959" t="e">
        <f t="shared" si="22"/>
        <v>#N/A</v>
      </c>
      <c r="K372" s="951" t="str">
        <f t="shared" si="21"/>
        <v/>
      </c>
    </row>
    <row r="373" spans="1:18" ht="45.6" customHeight="1">
      <c r="A373" s="269"/>
      <c r="B373" s="659" t="s">
        <v>576</v>
      </c>
      <c r="C373" s="1034" t="str">
        <f>Nc!B39</f>
        <v>Which best describes how the inventory of service connections (GIS, billing system, etc) is field validated to confirm field conditions match the inventory?</v>
      </c>
      <c r="D373" s="404"/>
      <c r="E373" s="870" t="str">
        <f t="shared" si="20"/>
        <v/>
      </c>
      <c r="F373" s="402"/>
      <c r="G373" s="967">
        <f>IF(OR(LEN(D373)&gt;0,D372=Nc!F23),1,0)</f>
        <v>0</v>
      </c>
      <c r="H373" s="959" t="e">
        <f>VLOOKUP('Interactive Data Grading'!D373,Nc!$G$6:$H$15,2,FALSE)</f>
        <v>#N/A</v>
      </c>
      <c r="I373" s="959" t="e">
        <f t="shared" si="22"/>
        <v>#N/A</v>
      </c>
      <c r="J373" s="951" t="s">
        <v>575</v>
      </c>
      <c r="K373" s="951" t="str">
        <f t="shared" si="21"/>
        <v/>
      </c>
    </row>
    <row r="374" spans="1:18" ht="27.6" customHeight="1">
      <c r="A374" s="269"/>
      <c r="B374" s="269"/>
      <c r="C374" s="403" t="s">
        <v>315</v>
      </c>
      <c r="D374" s="873" t="str">
        <f>IF(G374&lt;1,"",I374)</f>
        <v/>
      </c>
      <c r="E374" s="870"/>
      <c r="F374" s="402"/>
      <c r="G374" s="967">
        <f>MIN(G370:G373)</f>
        <v>0</v>
      </c>
      <c r="H374" s="962" t="e">
        <f>MIN(H369:H373)</f>
        <v>#N/A</v>
      </c>
      <c r="I374" s="962">
        <f t="array" ref="I374">MIN(IF(ISNUMBER(I369:I373),I369:I373))</f>
        <v>0</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14" t="s">
        <v>1137</v>
      </c>
      <c r="B390" s="1215"/>
      <c r="C390" s="1216" t="s">
        <v>596</v>
      </c>
      <c r="D390" s="1216"/>
      <c r="E390" s="1042" t="s">
        <v>1138</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598</v>
      </c>
      <c r="C392" s="678" t="s">
        <v>305</v>
      </c>
      <c r="D392" s="678" t="s">
        <v>663</v>
      </c>
      <c r="E392" s="870"/>
      <c r="F392" s="679"/>
      <c r="G392" s="956"/>
      <c r="H392" s="957" t="s">
        <v>303</v>
      </c>
      <c r="I392" s="957"/>
      <c r="J392" s="956" t="s">
        <v>794</v>
      </c>
      <c r="K392" s="956"/>
      <c r="L392" s="956"/>
      <c r="M392" s="956"/>
      <c r="N392" s="956"/>
      <c r="O392" s="956"/>
      <c r="P392" s="956"/>
      <c r="Q392" s="956"/>
      <c r="R392" s="956"/>
    </row>
    <row r="393" spans="1:18" ht="27.6" customHeight="1">
      <c r="A393" s="269"/>
      <c r="B393" s="659" t="s">
        <v>597</v>
      </c>
      <c r="C393" s="1037" t="str">
        <f>Lp!B34</f>
        <v xml:space="preserve">Are customer meters typically located at the curbstop or property line? </v>
      </c>
      <c r="D393" s="408" t="str">
        <f>IF(OR(Worksheet!H65="Yes",Worksheet!H65="No"),Worksheet!H65,"Select on Worksheet")</f>
        <v>Select on Worksheet</v>
      </c>
      <c r="E393" s="870"/>
      <c r="F393" s="402"/>
      <c r="I393" s="958"/>
      <c r="J393" s="951" t="s">
        <v>870</v>
      </c>
      <c r="K393" s="951" t="s">
        <v>1271</v>
      </c>
    </row>
    <row r="394" spans="1:18" ht="27.6" customHeight="1">
      <c r="A394" s="269"/>
      <c r="B394" s="659" t="s">
        <v>585</v>
      </c>
      <c r="C394" s="1037" t="str">
        <f>Lp!B35</f>
        <v>How was the input derived?</v>
      </c>
      <c r="D394" s="406"/>
      <c r="E394" s="870" t="str">
        <f>IFERROR(IF(OR($D$398=10,NOT(ISNUMBER($D$398))),"",IF(I394=$I$398,"Limiting","")),"")</f>
        <v/>
      </c>
      <c r="F394" s="402"/>
      <c r="G394" s="951">
        <f>IF(LEN(D394)&gt;0,1,0)</f>
        <v>0</v>
      </c>
      <c r="H394" s="959" t="e">
        <f>VLOOKUP(D394,Lp!$C$6:$G$15,5,FALSE)</f>
        <v>#N/A</v>
      </c>
      <c r="I394" s="960" t="e">
        <f>H394</f>
        <v>#N/A</v>
      </c>
    </row>
    <row r="395" spans="1:18" ht="27.6" customHeight="1">
      <c r="A395" s="269"/>
      <c r="B395" s="659" t="s">
        <v>586</v>
      </c>
      <c r="C395" s="1037" t="str">
        <f>Lp!B36</f>
        <v>Which best describes how the Customer Service Line and Meter Locations mapping is kept up to date?</v>
      </c>
      <c r="D395" s="406"/>
      <c r="E395" s="870" t="str">
        <f t="shared" ref="E395:E397" si="24">IFERROR(IF(OR($D$398=10,NOT(ISNUMBER($D$398))),"",IF(I395=$I$398,"Limiting","")),"")</f>
        <v/>
      </c>
      <c r="F395" s="402"/>
      <c r="G395" s="951">
        <f>IF(LEN(D395)&gt;0,1,0)</f>
        <v>0</v>
      </c>
      <c r="H395" s="959" t="e">
        <f>VLOOKUP('Interactive Data Grading'!D395,Lp!$D$6:$G$15,4,FALSE)</f>
        <v>#N/A</v>
      </c>
      <c r="I395" s="960" t="e">
        <f>IF(OR(D392=VOS!D190,D393=VOS!H192),X,H395)</f>
        <v>#N/A</v>
      </c>
      <c r="J395" s="968"/>
    </row>
    <row r="396" spans="1:18" ht="27.6" customHeight="1">
      <c r="A396" s="269"/>
      <c r="B396" s="659" t="s">
        <v>587</v>
      </c>
      <c r="C396" s="1037" t="str">
        <f>Lp!B37</f>
        <v>Which best describes how the Customer Service Line mapping is validated to what is in the field?</v>
      </c>
      <c r="D396" s="406"/>
      <c r="E396" s="870" t="str">
        <f t="shared" si="24"/>
        <v/>
      </c>
      <c r="F396" s="402"/>
      <c r="G396" s="969">
        <f>IF(OR(LEN(D396)&gt;0,D395=Lp!D23),1,0)</f>
        <v>0</v>
      </c>
      <c r="H396" s="959" t="e">
        <f>VLOOKUP('Interactive Data Grading'!D396,Lp!$E$6:$G$15,3,FALSE)</f>
        <v>#N/A</v>
      </c>
      <c r="I396" s="959" t="e">
        <f>H396</f>
        <v>#N/A</v>
      </c>
      <c r="J396" s="970" t="s">
        <v>586</v>
      </c>
    </row>
    <row r="397" spans="1:18" ht="33" customHeight="1">
      <c r="A397" s="269"/>
      <c r="B397" s="659" t="s">
        <v>588</v>
      </c>
      <c r="C397" s="1037" t="str">
        <f>Lp!B38</f>
        <v>Which best describes the policy to define where the utility's ownership of the service line ends, and the customer's ownership of the service line begins?</v>
      </c>
      <c r="D397" s="406"/>
      <c r="E397" s="870" t="str">
        <f t="shared" si="24"/>
        <v/>
      </c>
      <c r="F397" s="402"/>
      <c r="G397" s="951">
        <f>IF(LEN(D397)&gt;0,1,0)</f>
        <v>0</v>
      </c>
      <c r="H397" s="959" t="e">
        <f>VLOOKUP('Interactive Data Grading'!D397,Lp!$F$6:$G$15,2,FALSE)</f>
        <v>#N/A</v>
      </c>
      <c r="I397" s="959" t="e">
        <f>H397</f>
        <v>#N/A</v>
      </c>
      <c r="J397" s="968"/>
    </row>
    <row r="398" spans="1:18" ht="27.6" customHeight="1">
      <c r="A398" s="269"/>
      <c r="B398" s="269"/>
      <c r="C398" s="403" t="s">
        <v>315</v>
      </c>
      <c r="D398" s="873" t="str">
        <f>IFERROR((IF(D393="Yes","10",IF(G398=0,"",I398))),"")</f>
        <v/>
      </c>
      <c r="E398" s="870"/>
      <c r="F398" s="402"/>
      <c r="G398" s="952">
        <f>MIN(G394:G397)</f>
        <v>0</v>
      </c>
      <c r="H398" s="962" t="e">
        <f>MIN(H394:H397)</f>
        <v>#N/A</v>
      </c>
      <c r="I398" s="962">
        <f t="array" ref="I398">MIN(IF(ISNUMBER(I394:I397),I394:I397))</f>
        <v>0</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14" t="s">
        <v>1137</v>
      </c>
      <c r="B414" s="1215"/>
      <c r="C414" s="1216" t="s">
        <v>622</v>
      </c>
      <c r="D414" s="1216"/>
      <c r="E414" s="1042" t="s">
        <v>1138</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623</v>
      </c>
      <c r="C416" s="678" t="s">
        <v>305</v>
      </c>
      <c r="D416" s="678" t="s">
        <v>663</v>
      </c>
      <c r="E416" s="870"/>
      <c r="F416" s="679"/>
      <c r="G416" s="956"/>
      <c r="H416" s="957" t="s">
        <v>303</v>
      </c>
      <c r="I416" s="957"/>
      <c r="J416" s="956" t="s">
        <v>794</v>
      </c>
      <c r="K416" s="956" t="s">
        <v>1270</v>
      </c>
      <c r="L416" s="956"/>
      <c r="M416" s="956"/>
      <c r="N416" s="956"/>
      <c r="O416" s="956"/>
      <c r="P416" s="956"/>
      <c r="Q416" s="956"/>
      <c r="R416" s="956"/>
    </row>
    <row r="417" spans="1:18" ht="27.6" customHeight="1">
      <c r="A417" s="269"/>
      <c r="B417" s="659" t="s">
        <v>616</v>
      </c>
      <c r="C417" s="1034" t="str">
        <f>AOP!B35</f>
        <v>Which best describes checks on the boundary integrity for the system's pressure zone(s)?</v>
      </c>
      <c r="D417" s="404"/>
      <c r="E417" s="870" t="str">
        <f t="shared" ref="E417:E421" si="25">IFERROR(IF(OR($D$422=10,NOT(ISNUMBER($D$422))),"",IF(I417=$I$422,"Limiting","")),"")</f>
        <v/>
      </c>
      <c r="F417" s="402"/>
      <c r="G417" s="965">
        <f t="shared" ref="G417:G421" si="26">IF(LEN(D417)&gt;0,1,0)</f>
        <v>0</v>
      </c>
      <c r="H417" s="959" t="e">
        <f>VLOOKUP('Interactive Data Grading'!D417,AOP!$C$6:$H$17,6,FALSE)</f>
        <v>#N/A</v>
      </c>
      <c r="I417" s="959" t="e">
        <f>H417</f>
        <v>#N/A</v>
      </c>
      <c r="K417" s="992" t="str">
        <f>IFERROR(IF(OR($D$422=10,NOT(ISNUMBER($D$422))),"",IF(I417=$I$422,"Limiting","")),"")</f>
        <v/>
      </c>
    </row>
    <row r="418" spans="1:18" ht="27.6" customHeight="1">
      <c r="A418" s="269"/>
      <c r="B418" s="659" t="s">
        <v>617</v>
      </c>
      <c r="C418" s="1034" t="str">
        <f>AOP!B36</f>
        <v>Which best describes how one-time pressure readings (i.e. from hydrants) are collected?</v>
      </c>
      <c r="D418" s="404"/>
      <c r="E418" s="870" t="str">
        <f t="shared" si="25"/>
        <v/>
      </c>
      <c r="F418" s="402"/>
      <c r="G418" s="965">
        <f t="shared" si="26"/>
        <v>0</v>
      </c>
      <c r="H418" s="960" t="e">
        <f>VLOOKUP('Interactive Data Grading'!D418,AOP!$D$6:$H$17,5,FALSE)</f>
        <v>#N/A</v>
      </c>
      <c r="I418" s="960" t="e">
        <f>IF(H419=10,10,H418)</f>
        <v>#N/A</v>
      </c>
      <c r="J418" s="968" t="s">
        <v>762</v>
      </c>
      <c r="K418" s="992" t="str">
        <f t="shared" ref="K418:K421" si="27">IFERROR(IF(OR($D$422=10,NOT(ISNUMBER($D$422))),"",IF(I418=$I$422,"Limiting","")),"")</f>
        <v/>
      </c>
    </row>
    <row r="419" spans="1:18" ht="27.6" customHeight="1">
      <c r="A419" s="269"/>
      <c r="B419" s="659" t="s">
        <v>618</v>
      </c>
      <c r="C419" s="1034" t="str">
        <f>AOP!B37</f>
        <v>Which best describes where continuous pressure data (via temporary data loggers or permanent telemetry) is collected?</v>
      </c>
      <c r="D419" s="404"/>
      <c r="E419" s="870" t="str">
        <f t="shared" si="25"/>
        <v/>
      </c>
      <c r="F419" s="402"/>
      <c r="G419" s="965">
        <f t="shared" si="26"/>
        <v>0</v>
      </c>
      <c r="H419" s="959" t="e">
        <f>VLOOKUP('Interactive Data Grading'!D419,AOP!$E$6:$H$17,4,FALSE)</f>
        <v>#N/A</v>
      </c>
      <c r="I419" s="960" t="e">
        <f>H419</f>
        <v>#N/A</v>
      </c>
      <c r="K419" s="992" t="str">
        <f>IFERROR(IF(OR($D$422=10,NOT(ISNUMBER($D$422))),"",IF(I419=$I$422,"Limiting","")),"")</f>
        <v/>
      </c>
    </row>
    <row r="420" spans="1:18" ht="27.6" customHeight="1">
      <c r="A420" s="269"/>
      <c r="B420" s="659" t="s">
        <v>619</v>
      </c>
      <c r="C420" s="1034" t="str">
        <f>AOP!B38</f>
        <v xml:space="preserve">
Which best describes how continuous pressure data is collected?</v>
      </c>
      <c r="D420" s="404"/>
      <c r="E420" s="870" t="str">
        <f t="shared" si="25"/>
        <v/>
      </c>
      <c r="F420" s="402"/>
      <c r="G420" s="965">
        <f>IF(OR(LEN(D420)&gt;0,D419=AOP!E23),1,0)</f>
        <v>0</v>
      </c>
      <c r="H420" s="959" t="e">
        <f>VLOOKUP('Interactive Data Grading'!D420,AOP!$F$6:$H$17,3,FALSE)</f>
        <v>#N/A</v>
      </c>
      <c r="I420" s="959" t="e">
        <f>IF(D419=AOP!E23,X,H420)</f>
        <v>#N/A</v>
      </c>
      <c r="J420" s="951" t="s">
        <v>894</v>
      </c>
      <c r="K420" s="992" t="str">
        <f t="shared" si="27"/>
        <v/>
      </c>
    </row>
    <row r="421" spans="1:18" ht="27.6" customHeight="1">
      <c r="A421" s="269"/>
      <c r="B421" s="659" t="s">
        <v>620</v>
      </c>
      <c r="C421" s="1034" t="str">
        <f>AOP!B39</f>
        <v>How was the input derived?</v>
      </c>
      <c r="D421" s="404"/>
      <c r="E421" s="870" t="str">
        <f t="shared" si="25"/>
        <v/>
      </c>
      <c r="F421" s="402"/>
      <c r="G421" s="965">
        <f t="shared" si="26"/>
        <v>0</v>
      </c>
      <c r="H421" s="959" t="e">
        <f>VLOOKUP('Interactive Data Grading'!D421,AOP!$G$6:$H$17,2,FALSE)</f>
        <v>#N/A</v>
      </c>
      <c r="I421" s="959" t="e">
        <f>H421</f>
        <v>#N/A</v>
      </c>
      <c r="K421" s="992" t="str">
        <f t="shared" si="27"/>
        <v/>
      </c>
    </row>
    <row r="422" spans="1:18" ht="27.6" customHeight="1">
      <c r="A422" s="269"/>
      <c r="B422" s="269"/>
      <c r="C422" s="403" t="s">
        <v>315</v>
      </c>
      <c r="D422" s="873" t="str">
        <f>IF(G422&lt;1,"",I422)</f>
        <v/>
      </c>
      <c r="E422" s="870"/>
      <c r="F422" s="402"/>
      <c r="G422" s="967">
        <f>MIN(G417:G421)</f>
        <v>0</v>
      </c>
      <c r="H422" s="962" t="e">
        <f>MIN(H417:H421)</f>
        <v>#N/A</v>
      </c>
      <c r="I422" s="962">
        <f t="array" ref="I422">MIN(IF(ISNUMBER(I417:I421),I417:I421))</f>
        <v>0</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14" t="s">
        <v>1137</v>
      </c>
      <c r="B438" s="1215"/>
      <c r="C438" s="1216" t="s">
        <v>642</v>
      </c>
      <c r="D438" s="1216"/>
      <c r="E438" s="1042" t="s">
        <v>1138</v>
      </c>
      <c r="G438" s="963"/>
      <c r="H438" s="963"/>
      <c r="I438" s="964"/>
      <c r="J438" s="963"/>
      <c r="K438" s="963"/>
      <c r="L438" s="963"/>
      <c r="M438" s="963"/>
      <c r="N438" s="963"/>
      <c r="O438" s="963"/>
      <c r="P438" s="963"/>
      <c r="Q438" s="963"/>
      <c r="R438" s="963"/>
    </row>
    <row r="439" spans="1:18" ht="12" customHeight="1">
      <c r="A439" s="269"/>
      <c r="B439" s="269"/>
      <c r="C439" s="1224" t="str">
        <f>IF(OR(AND(D441="Yes",Worksheet!H23&gt;0),AND(D441="No",Worksheet!H23&lt;=0),LEN(D441)=0),"","Inconsistency between Worksheet BMAC input and cruc.0 response")</f>
        <v/>
      </c>
      <c r="D439" s="1224"/>
      <c r="E439" s="871"/>
      <c r="F439" s="402"/>
      <c r="H439" s="955"/>
    </row>
    <row r="440" spans="1:18" s="680" customFormat="1" ht="12">
      <c r="A440" s="676"/>
      <c r="B440" s="677" t="s">
        <v>643</v>
      </c>
      <c r="C440" s="678" t="s">
        <v>305</v>
      </c>
      <c r="D440" s="678" t="s">
        <v>663</v>
      </c>
      <c r="E440" s="870"/>
      <c r="F440" s="679"/>
      <c r="G440" s="956"/>
      <c r="H440" s="957" t="s">
        <v>303</v>
      </c>
      <c r="I440" s="971"/>
      <c r="J440" s="956" t="s">
        <v>794</v>
      </c>
      <c r="K440" s="956"/>
      <c r="L440" s="956"/>
      <c r="M440" s="956"/>
      <c r="N440" s="956"/>
      <c r="O440" s="956"/>
      <c r="P440" s="956"/>
      <c r="Q440" s="956"/>
      <c r="R440" s="956"/>
    </row>
    <row r="441" spans="1:18" ht="27.6" customHeight="1">
      <c r="A441" s="269"/>
      <c r="B441" s="659" t="s">
        <v>876</v>
      </c>
      <c r="C441" s="1034" t="str">
        <f>CRUC!B34</f>
        <v>Was any metered consumption billed on a volumetric basis in the audit period?</v>
      </c>
      <c r="D441" s="404"/>
      <c r="E441" s="870"/>
      <c r="F441" s="402"/>
      <c r="H441" s="959"/>
      <c r="I441" s="959"/>
      <c r="J441" s="972" t="s">
        <v>845</v>
      </c>
    </row>
    <row r="442" spans="1:18" ht="27.6" customHeight="1">
      <c r="A442" s="269"/>
      <c r="B442" s="659" t="s">
        <v>627</v>
      </c>
      <c r="C442" s="1034" t="str">
        <f>CRUC!B35</f>
        <v>Which best describes the use and reliability of the current rate structure?</v>
      </c>
      <c r="D442" s="404"/>
      <c r="E442" s="870" t="str">
        <f>IF(OR($D$446=10,$D$446="n/a"),"",IFERROR(IF(H442=MIN($H$442:$H$445),"Limiting",""),""))</f>
        <v/>
      </c>
      <c r="F442" s="402"/>
      <c r="H442" s="959" t="e">
        <f>VLOOKUP('Interactive Data Grading'!D442,CRUC!$C$6:$G$17,5,FALSE)</f>
        <v>#N/A</v>
      </c>
      <c r="I442" s="959"/>
      <c r="J442" s="972"/>
    </row>
    <row r="443" spans="1:18" ht="27.6" customHeight="1">
      <c r="A443" s="269"/>
      <c r="B443" s="659" t="s">
        <v>628</v>
      </c>
      <c r="C443" s="1034" t="str">
        <f>CRUC!B36</f>
        <v>Choose the option that best describes how the input was derived</v>
      </c>
      <c r="D443" s="404"/>
      <c r="E443" s="870" t="str">
        <f>IF(OR($D$446=10,$D$446="n/a"),"",IFERROR(IF(H443=MIN($H$442:$H$445),"Limiting",""),""))</f>
        <v/>
      </c>
      <c r="F443" s="402"/>
      <c r="H443" s="959" t="e">
        <f>VLOOKUP('Interactive Data Grading'!D443,CRUC!$D$6:$G$17,4,FALSE)</f>
        <v>#N/A</v>
      </c>
      <c r="I443" s="959"/>
    </row>
    <row r="444" spans="1:18" ht="27.6" customHeight="1">
      <c r="A444" s="269"/>
      <c r="B444" s="659" t="s">
        <v>629</v>
      </c>
      <c r="C444" s="1034" t="str">
        <f>CRUC!B37</f>
        <v>Is there any additional volumetric revenue the utility receives that depends on water meter readings, such as sewer?</v>
      </c>
      <c r="D444" s="404"/>
      <c r="E444" s="870" t="str">
        <f>IF(OR($D$446=10,$D$446="n/a"),"",IFERROR(IF(H444=MIN($H$442:$H$445),"Limiting",""),""))</f>
        <v/>
      </c>
      <c r="F444" s="402"/>
      <c r="H444" s="959" t="e">
        <f>VLOOKUP('Interactive Data Grading'!D444,CRUC!$E$6:$G$17,3,FALSE)</f>
        <v>#N/A</v>
      </c>
      <c r="I444" s="959"/>
    </row>
    <row r="445" spans="1:18" ht="27.6" customHeight="1">
      <c r="A445" s="269"/>
      <c r="B445" s="659" t="s">
        <v>630</v>
      </c>
      <c r="C445" s="1034" t="str">
        <f>CRUC!B38</f>
        <v>Has the input derivation been reviewed by someone with expert knowledge in the M36 methodology?</v>
      </c>
      <c r="D445" s="404"/>
      <c r="E445" s="870" t="str">
        <f>IF(OR($D$446=10,$D$446="n/a"),"",IFERROR(IF(H445=MIN($H$442:$H$445),"Limiting",""),""))</f>
        <v/>
      </c>
      <c r="F445" s="402"/>
      <c r="H445" s="959" t="e">
        <f>VLOOKUP('Interactive Data Grading'!D445,CRUC!$F$6:$G$17,2,FALSE)</f>
        <v>#N/A</v>
      </c>
      <c r="I445" s="960"/>
    </row>
    <row r="446" spans="1:18" ht="27.6" customHeight="1">
      <c r="A446" s="269"/>
      <c r="B446" s="269"/>
      <c r="C446" s="403" t="s">
        <v>315</v>
      </c>
      <c r="D446" s="873" t="str">
        <f>IF(D441="No","n/a",IF(ISNA(H446),"",H446))</f>
        <v/>
      </c>
      <c r="E446" s="870"/>
      <c r="F446" s="402"/>
      <c r="H446" s="962" t="e">
        <f>MIN(H442:H445)</f>
        <v>#N/A</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14" t="s">
        <v>1137</v>
      </c>
      <c r="B462" s="1215"/>
      <c r="C462" s="1216" t="s">
        <v>644</v>
      </c>
      <c r="D462" s="1216"/>
      <c r="E462" s="1042" t="s">
        <v>1138</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645</v>
      </c>
      <c r="C464" s="678" t="s">
        <v>305</v>
      </c>
      <c r="D464" s="678" t="s">
        <v>663</v>
      </c>
      <c r="E464" s="870"/>
      <c r="F464" s="679"/>
      <c r="G464" s="956"/>
      <c r="H464" s="957" t="s">
        <v>303</v>
      </c>
      <c r="I464" s="957" t="s">
        <v>296</v>
      </c>
      <c r="J464" s="956"/>
      <c r="K464" s="956"/>
      <c r="L464" s="956"/>
      <c r="M464" s="956"/>
      <c r="N464" s="956"/>
      <c r="O464" s="956"/>
      <c r="P464" s="956"/>
      <c r="Q464" s="956"/>
      <c r="R464" s="956"/>
    </row>
    <row r="465" spans="1:10" ht="12.75" customHeight="1">
      <c r="A465" s="269"/>
      <c r="B465" s="659" t="s">
        <v>646</v>
      </c>
      <c r="C465" s="1038" t="str">
        <f>VPC!B35</f>
        <v>Choose the option that best describes how the input was derived</v>
      </c>
      <c r="D465" s="629"/>
      <c r="E465" s="870" t="str">
        <f>IF($D$469=10,"",IFERROR(IF(H465=MIN($H$465:$H$468),"Limiting",""),""))</f>
        <v/>
      </c>
      <c r="F465" s="402"/>
      <c r="H465" s="959" t="e">
        <f>VLOOKUP('Interactive Data Grading'!D465,VPC!$C$6:$G$18,5,FALSE)</f>
        <v>#N/A</v>
      </c>
      <c r="I465" s="960" t="e">
        <f>H465</f>
        <v>#N/A</v>
      </c>
      <c r="J465" s="972" t="s">
        <v>655</v>
      </c>
    </row>
    <row r="466" spans="1:10" ht="133.35" customHeight="1">
      <c r="A466" s="269"/>
      <c r="B466" s="660" t="s">
        <v>647</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c r="E466" s="870" t="str">
        <f>IFERROR(IF(OR($D$469=10,$D$465=VPC!$C$18),"",IF(H466=MIN($H$465:$H$468),"Limiting","")),"")</f>
        <v/>
      </c>
      <c r="F466" s="402"/>
      <c r="H466" s="966" t="e">
        <f>VLOOKUP('Interactive Data Grading'!D466,VPC!$D$6:$G$18,4,FALSE)</f>
        <v>#N/A</v>
      </c>
      <c r="I466" s="966" t="e">
        <f>H466</f>
        <v>#N/A</v>
      </c>
    </row>
    <row r="467" spans="1:10" ht="200.4" customHeight="1">
      <c r="A467" s="269"/>
      <c r="B467" s="660" t="s">
        <v>648</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c r="E467" s="870" t="str">
        <f>IFERROR(IF(OR($D$469=10,$D$465=VPC!$C$18),"",IF(H467=MIN($H$465:$H$468),"Limiting","")),"")</f>
        <v/>
      </c>
      <c r="F467" s="402"/>
      <c r="H467" s="966" t="e">
        <f>VLOOKUP('Interactive Data Grading'!D467,VPC!$E$6:$G$18,3,FALSE)</f>
        <v>#N/A</v>
      </c>
      <c r="I467" s="974" t="e">
        <f>IF(D465=VPC!C17,10,'Interactive Data Grading'!H467)</f>
        <v>#N/A</v>
      </c>
    </row>
    <row r="468" spans="1:10" ht="27.6" customHeight="1">
      <c r="A468" s="269"/>
      <c r="B468" s="660" t="s">
        <v>649</v>
      </c>
      <c r="C468" s="1038" t="str">
        <f>VPC!B38</f>
        <v>Has the input derivation been reviewed by someone with expert knowledge in the M36 methodology?</v>
      </c>
      <c r="D468" s="404"/>
      <c r="E468" s="870" t="str">
        <f>IFERROR(IF(OR($D$469=10,$D$465=VPC!$C$18),"",IF(H468=MIN($H$465:$H$468),"Limiting","")),"")</f>
        <v/>
      </c>
      <c r="F468" s="402"/>
      <c r="H468" s="959" t="e">
        <f>VLOOKUP('Interactive Data Grading'!D468,VPC!$F$6:$G$18,2,FALSE)</f>
        <v>#N/A</v>
      </c>
      <c r="I468" s="959" t="e">
        <f>H468</f>
        <v>#N/A</v>
      </c>
    </row>
    <row r="469" spans="1:10" ht="14.1" customHeight="1">
      <c r="A469" s="269"/>
      <c r="B469" s="269"/>
      <c r="C469" s="403" t="s">
        <v>315</v>
      </c>
      <c r="D469" s="873" t="str">
        <f>IFERROR(IF(D465=VPC!C18,'Interactive Data Grading'!D446,I469),"")</f>
        <v/>
      </c>
      <c r="E469" s="870"/>
      <c r="F469" s="402"/>
      <c r="H469" s="962" t="e">
        <f>MIN(H465:H468)</f>
        <v>#N/A</v>
      </c>
      <c r="I469" s="962" t="e">
        <f>MIN(I465:I468)</f>
        <v>#N/A</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6"/>
  <sheetViews>
    <sheetView showGridLines="0" showRowColHeaders="0" zoomScaleNormal="100" zoomScaleSheetLayoutView="100" workbookViewId="0">
      <pane ySplit="3" topLeftCell="A4" activePane="bottomLeft" state="frozen"/>
      <selection pane="bottomLeft" activeCell="J7" sqref="J7:K7"/>
    </sheetView>
  </sheetViews>
  <sheetFormatPr defaultColWidth="8.88671875" defaultRowHeight="0" customHeight="1" zeroHeight="1"/>
  <cols>
    <col min="1" max="1" width="1" style="74" customWidth="1"/>
    <col min="2" max="4" width="3.44140625" style="74" customWidth="1"/>
    <col min="5" max="5" width="3.44140625" style="1001" customWidth="1"/>
    <col min="6" max="33" width="3.44140625" style="74" customWidth="1"/>
    <col min="34" max="35" width="3.44140625" style="76" customWidth="1"/>
    <col min="36" max="48" width="3.44140625" style="74" customWidth="1"/>
    <col min="49" max="49" width="3.44140625" style="75" customWidth="1"/>
    <col min="50" max="54" width="3.44140625" style="74" customWidth="1"/>
    <col min="55" max="55" width="1.109375" style="77" customWidth="1"/>
    <col min="56" max="56" width="12.109375" style="78" hidden="1" customWidth="1"/>
    <col min="57" max="57" width="8.88671875" style="78" hidden="1" customWidth="1"/>
    <col min="58" max="58" width="10.44140625" style="78" hidden="1" customWidth="1"/>
    <col min="59" max="59" width="15.109375" style="78" hidden="1" customWidth="1"/>
    <col min="60" max="60" width="28" style="78" hidden="1" customWidth="1"/>
    <col min="61" max="61" width="22" style="78" hidden="1" customWidth="1"/>
    <col min="62" max="62" width="33.44140625" style="78" hidden="1" customWidth="1"/>
    <col min="63" max="64" width="8.88671875" style="78" hidden="1" customWidth="1"/>
    <col min="65" max="66" width="8.88671875" style="770" hidden="1" customWidth="1"/>
    <col min="67" max="67" width="12" style="78" hidden="1" customWidth="1"/>
    <col min="68" max="68" width="8.88671875" style="78" hidden="1" customWidth="1"/>
    <col min="69" max="69" width="11.109375" style="78" hidden="1" customWidth="1"/>
    <col min="70" max="70" width="15.5546875" style="78" hidden="1" customWidth="1"/>
    <col min="71" max="71" width="9.88671875" style="78" hidden="1" customWidth="1"/>
    <col min="72" max="72" width="8.88671875" style="78" hidden="1" customWidth="1"/>
    <col min="73" max="75" width="8.88671875" style="841" hidden="1" customWidth="1"/>
    <col min="76" max="76" width="35.109375" style="78" hidden="1" customWidth="1"/>
    <col min="77" max="77" width="13" style="78" hidden="1" customWidth="1"/>
    <col min="78" max="78" width="8.88671875" style="78" hidden="1" customWidth="1"/>
    <col min="79" max="82" width="8.88671875" style="78" customWidth="1"/>
    <col min="83" max="16384" width="8.88671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399999999999999"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1028</v>
      </c>
      <c r="AB2" s="779"/>
      <c r="AC2" s="776"/>
      <c r="AD2" s="776"/>
      <c r="AE2" s="776"/>
      <c r="AF2" s="776"/>
      <c r="AG2" s="776"/>
      <c r="AH2" s="776"/>
      <c r="AI2" s="776"/>
      <c r="AJ2" s="776"/>
      <c r="AK2" s="776"/>
      <c r="AL2" s="776"/>
      <c r="AM2" s="776"/>
      <c r="AN2" s="1244" t="s">
        <v>1156</v>
      </c>
      <c r="AO2" s="1245"/>
      <c r="AP2" s="1245"/>
      <c r="AQ2" s="1246"/>
      <c r="AR2" s="1070"/>
      <c r="AS2" s="1244" t="s">
        <v>1157</v>
      </c>
      <c r="AT2" s="1245"/>
      <c r="AU2" s="1245"/>
      <c r="AV2" s="1246"/>
      <c r="AW2" s="1070"/>
      <c r="AX2" s="1244" t="s">
        <v>1191</v>
      </c>
      <c r="AY2" s="1245"/>
      <c r="AZ2" s="1245"/>
      <c r="BA2" s="1246"/>
      <c r="BB2" s="1025"/>
      <c r="BC2" s="138"/>
      <c r="BL2" s="710"/>
      <c r="BM2" s="765"/>
      <c r="BN2" s="766"/>
      <c r="BO2" s="950">
        <f>LEN(C4)</f>
        <v>119</v>
      </c>
      <c r="BP2" s="577" t="s">
        <v>1111</v>
      </c>
      <c r="BQ2" s="577"/>
      <c r="BR2" s="823"/>
      <c r="BT2" s="823"/>
      <c r="BU2" s="298"/>
      <c r="BV2" s="298"/>
      <c r="BW2" s="298"/>
    </row>
    <row r="3" spans="1:77" s="73" customFormat="1" ht="20.399999999999999" customHeight="1">
      <c r="A3" s="138"/>
      <c r="B3" s="777"/>
      <c r="C3" s="778"/>
      <c r="D3" s="778"/>
      <c r="E3" s="995"/>
      <c r="F3" s="778"/>
      <c r="G3" s="778"/>
      <c r="H3" s="778"/>
      <c r="I3" s="778"/>
      <c r="J3" s="778"/>
      <c r="K3" s="778"/>
      <c r="L3" s="778"/>
      <c r="M3" s="781"/>
      <c r="N3" s="785"/>
      <c r="O3" s="780" t="s">
        <v>66</v>
      </c>
      <c r="P3" s="784" t="str">
        <f>IF(ISBLANK('Start Page'!AB9),"Enter info on the Start Page",'Start Page'!AB9&amp;IF(ISBLANK('Start Page'!AM28),"","  ("&amp;'Start Page'!AM28&amp;")"))</f>
        <v>Enter info on the Start Page</v>
      </c>
      <c r="Q3" s="784"/>
      <c r="R3" s="784"/>
      <c r="S3" s="784"/>
      <c r="T3" s="784"/>
      <c r="U3" s="784"/>
      <c r="V3" s="784"/>
      <c r="W3" s="784"/>
      <c r="X3" s="784"/>
      <c r="Y3" s="784"/>
      <c r="Z3" s="784"/>
      <c r="AA3" s="784"/>
      <c r="AB3" s="784"/>
      <c r="AC3" s="781"/>
      <c r="AD3" s="782"/>
      <c r="AE3" s="783"/>
      <c r="AF3" s="780" t="s">
        <v>716</v>
      </c>
      <c r="AG3" s="1247" t="str">
        <f>IF(ISBLANK('Start Page'!AB18),"",'Start Page'!AB18)</f>
        <v/>
      </c>
      <c r="AH3" s="1247"/>
      <c r="AI3" s="785"/>
      <c r="AJ3" s="786" t="str">
        <f>IF(ISBLANK('Start Page'!AB19),"",'Start Page'!AB19)</f>
        <v/>
      </c>
      <c r="AK3" s="786"/>
      <c r="AL3" s="785"/>
      <c r="AM3" s="784" t="str">
        <f>IF(ISBLANK('Start Page'!AB20),"",TEXT('Start Page'!AB20,"mmm dd yyyy")&amp;" - "&amp;TEXT('Start Page'!AB21,"mmm dd yyyy"))</f>
        <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1251</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REPORTING UNITS MUST BE SELECTED ON THE INSTRUCTIONS TAB BEFORE PERFORMANCE INDICATORS CAN BE DISPLAYED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N/A*</v>
      </c>
      <c r="BS4" s="823"/>
      <c r="BT4" s="823"/>
      <c r="BU4" s="298"/>
      <c r="BV4" s="298"/>
      <c r="BW4" s="298"/>
    </row>
    <row r="5" spans="1:77" s="73" customFormat="1" ht="15" customHeight="1">
      <c r="A5" s="138"/>
      <c r="B5" s="417"/>
      <c r="C5" s="1250" t="s">
        <v>783</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1254</v>
      </c>
      <c r="AE5" s="1004"/>
      <c r="AF5" s="1004"/>
      <c r="AG5" s="1004"/>
      <c r="AH5" s="1257" t="s">
        <v>1165</v>
      </c>
      <c r="AI5" s="1257"/>
      <c r="AJ5" s="1257"/>
      <c r="AK5" s="1257"/>
      <c r="AL5" s="1257"/>
      <c r="AM5" s="1257"/>
      <c r="AN5" s="1257"/>
      <c r="AO5" s="1257"/>
      <c r="AP5" s="1257"/>
      <c r="AQ5" s="1257"/>
      <c r="AR5" s="1257"/>
      <c r="AS5" s="1083" t="s">
        <v>1253</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1208</v>
      </c>
      <c r="Z6" s="1252">
        <v>0.73699999999999999</v>
      </c>
      <c r="AA6" s="1252"/>
      <c r="AB6" s="1057" t="s">
        <v>1255</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688</v>
      </c>
      <c r="BM6" s="767"/>
      <c r="BN6" s="768"/>
      <c r="BO6" s="824"/>
      <c r="BP6" s="824"/>
      <c r="BQ6" s="824"/>
      <c r="BR6" s="825" t="str">
        <f>IFERROR(IF(ISBLANK('Start Page'!$AB$22),"N/A*",IF('M36 Refs'!AN118&gt;0,"",ROUND('M36 Refs'!AH118,0))),"")</f>
        <v>N/A*</v>
      </c>
      <c r="BS6" s="826"/>
      <c r="BT6" s="825"/>
      <c r="BU6" s="827"/>
      <c r="BV6" s="827"/>
      <c r="BW6" s="827"/>
      <c r="BX6" s="73"/>
      <c r="BY6" s="73"/>
    </row>
    <row r="7" spans="1:77" s="301" customFormat="1" ht="12.9" customHeight="1">
      <c r="A7" s="300"/>
      <c r="B7" s="410"/>
      <c r="C7" s="78"/>
      <c r="D7" s="788"/>
      <c r="E7" s="996"/>
      <c r="F7" s="789"/>
      <c r="G7" s="789"/>
      <c r="H7" s="787"/>
      <c r="I7" s="931" t="s">
        <v>239</v>
      </c>
      <c r="J7" s="1249" t="str">
        <f>BR6</f>
        <v>N/A*</v>
      </c>
      <c r="K7" s="1249"/>
      <c r="L7" s="932"/>
      <c r="M7" s="932"/>
      <c r="N7" s="932"/>
      <c r="O7" s="932"/>
      <c r="P7" s="932"/>
      <c r="Q7" s="931" t="s">
        <v>683</v>
      </c>
      <c r="R7" s="1248" t="str">
        <f>IF(BO2&gt;0,"",BR4)</f>
        <v/>
      </c>
      <c r="S7" s="1248"/>
      <c r="T7" s="1248"/>
      <c r="U7" s="1248"/>
      <c r="V7" s="1248"/>
      <c r="W7" s="787"/>
      <c r="X7" s="1059" t="s">
        <v>1248</v>
      </c>
      <c r="AD7" s="943"/>
      <c r="AE7" s="1007"/>
      <c r="AF7" s="1007"/>
      <c r="AG7" s="1007"/>
      <c r="AH7" s="1251" t="s">
        <v>1192</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
      </c>
      <c r="BM7" s="767"/>
      <c r="BN7" s="768"/>
      <c r="BO7" s="828" t="s">
        <v>774</v>
      </c>
      <c r="BP7" s="828"/>
      <c r="BQ7" s="828"/>
      <c r="BR7" s="829" t="s">
        <v>780</v>
      </c>
      <c r="BS7" s="825"/>
      <c r="BT7" s="825"/>
      <c r="BU7" s="827"/>
      <c r="BV7" s="827"/>
      <c r="BW7" s="827"/>
      <c r="BX7" s="73"/>
      <c r="BY7" s="73"/>
    </row>
    <row r="8" spans="1:77" s="73" customFormat="1" ht="12.9" customHeight="1">
      <c r="A8" s="138"/>
      <c r="B8" s="410"/>
      <c r="C8" s="943"/>
      <c r="D8" s="943"/>
      <c r="E8" s="997"/>
      <c r="F8" s="943"/>
      <c r="G8" s="943"/>
      <c r="H8" s="1256" t="s">
        <v>1097</v>
      </c>
      <c r="I8" s="1256"/>
      <c r="J8" s="1253" t="s">
        <v>948</v>
      </c>
      <c r="K8" s="1253"/>
      <c r="L8" s="1253"/>
      <c r="M8" s="1253"/>
      <c r="N8" s="1253"/>
      <c r="O8" s="1253"/>
      <c r="P8" s="1254" t="s">
        <v>1096</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687</v>
      </c>
      <c r="BS8" s="823" t="str">
        <f>BR6</f>
        <v>N/A*</v>
      </c>
      <c r="BT8" s="823"/>
      <c r="BU8" s="298"/>
      <c r="BV8" s="298"/>
      <c r="BW8" s="298"/>
    </row>
    <row r="9" spans="1:77" s="73" customFormat="1" ht="12.9"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778</v>
      </c>
      <c r="BP9" s="577">
        <v>25</v>
      </c>
      <c r="BQ9" s="577"/>
      <c r="BR9" s="823" t="s">
        <v>780</v>
      </c>
      <c r="BS9" s="837">
        <f>SUM(BP8:BP12)/150</f>
        <v>1.2666666666666666</v>
      </c>
      <c r="BT9" s="823"/>
      <c r="BU9" s="298"/>
      <c r="BV9" s="298"/>
      <c r="BW9" s="298"/>
    </row>
    <row r="10" spans="1:77" s="73" customFormat="1" ht="12.9" customHeight="1">
      <c r="A10" s="138"/>
      <c r="B10" s="410"/>
      <c r="C10" s="774"/>
      <c r="D10" s="774"/>
      <c r="H10" s="774"/>
      <c r="I10" s="1086" t="s">
        <v>263</v>
      </c>
      <c r="J10" s="774"/>
      <c r="K10" s="774"/>
      <c r="L10" s="774"/>
      <c r="M10" s="774"/>
      <c r="N10" s="774"/>
      <c r="O10" s="1084" t="s">
        <v>264</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
      </c>
      <c r="BM10" s="765"/>
      <c r="BN10" s="769"/>
      <c r="BO10" s="577" t="s">
        <v>779</v>
      </c>
      <c r="BP10" s="577">
        <v>25</v>
      </c>
      <c r="BQ10" s="577"/>
      <c r="BR10" s="823" t="s">
        <v>781</v>
      </c>
      <c r="BS10" s="823">
        <f>SUM(BP8:BP13)-SUM(BS8:BS9)</f>
        <v>198.73333333333332</v>
      </c>
      <c r="BT10" s="823"/>
      <c r="BU10" s="298"/>
      <c r="BV10" s="298"/>
      <c r="BW10" s="298"/>
    </row>
    <row r="11" spans="1:77" s="73" customFormat="1" ht="12.9"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
      </c>
      <c r="BM11" s="765"/>
      <c r="BN11" s="769"/>
      <c r="BO11" s="577" t="s">
        <v>775</v>
      </c>
      <c r="BP11" s="577">
        <v>20</v>
      </c>
      <c r="BQ11" s="577"/>
      <c r="BR11" s="823"/>
      <c r="BS11" s="823"/>
      <c r="BT11" s="823"/>
      <c r="BU11" s="859" t="s">
        <v>1209</v>
      </c>
      <c r="BV11" s="847"/>
      <c r="BW11" s="847"/>
      <c r="BX11" s="847"/>
    </row>
    <row r="12" spans="1:77" s="73" customFormat="1" ht="12.9"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
      </c>
      <c r="BM12" s="765"/>
      <c r="BN12" s="769"/>
      <c r="BO12" s="577" t="s">
        <v>776</v>
      </c>
      <c r="BP12" s="577">
        <v>20</v>
      </c>
      <c r="BQ12" s="577"/>
      <c r="BR12" s="823"/>
      <c r="BS12" s="823"/>
      <c r="BT12" s="823"/>
      <c r="BU12" s="830" t="s">
        <v>1033</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265</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1206</v>
      </c>
      <c r="BM13" s="765"/>
      <c r="BN13" s="769"/>
      <c r="BO13" s="577" t="s">
        <v>777</v>
      </c>
      <c r="BP13" s="577">
        <v>10</v>
      </c>
      <c r="BQ13" s="577"/>
      <c r="BR13" s="823"/>
      <c r="BS13" s="823"/>
      <c r="BT13" s="823"/>
      <c r="BU13" s="830" t="s">
        <v>1034</v>
      </c>
      <c r="BV13" s="830"/>
      <c r="BW13" s="830"/>
    </row>
    <row r="14" spans="1:77" s="73" customFormat="1" ht="15" customHeight="1">
      <c r="A14" s="138"/>
      <c r="B14" s="410"/>
      <c r="D14" s="789"/>
      <c r="E14" s="996"/>
      <c r="F14" s="789"/>
      <c r="G14" s="789"/>
      <c r="H14" s="789"/>
      <c r="I14" s="1227"/>
      <c r="J14" s="1227"/>
      <c r="K14" s="1227"/>
      <c r="L14" s="1227"/>
      <c r="M14" s="1227"/>
      <c r="N14" s="1227"/>
      <c r="O14" s="1227"/>
      <c r="P14" s="789"/>
      <c r="Q14" s="789"/>
      <c r="R14" s="789"/>
      <c r="S14" s="789"/>
      <c r="T14" s="789"/>
      <c r="U14" s="789"/>
      <c r="V14" s="789"/>
      <c r="W14" s="788"/>
      <c r="X14" s="788"/>
      <c r="Y14" s="788"/>
      <c r="Z14" s="788"/>
      <c r="AA14" s="788"/>
      <c r="AB14" s="1234" t="str">
        <f>IF(BS15&lt;0,"negative result check inputs",IF($BS$16=0,"result is below 10th %ile",IF($BS$15&gt;$BS$16,"result is above 90th %ile","")))</f>
        <v/>
      </c>
      <c r="AC14" s="1234"/>
      <c r="AD14" s="1234"/>
      <c r="AE14" s="1234"/>
      <c r="AF14" s="794"/>
      <c r="AG14" s="790"/>
      <c r="AH14" s="792"/>
      <c r="AI14" s="792"/>
      <c r="AJ14" s="788"/>
      <c r="AK14" s="788"/>
      <c r="AL14" s="1234" t="str">
        <f>IF(BS22&lt;0,"negative result check inputs",IF($BS$23=0,"result is below 10th %ile",IF($BS$22&gt;$BS$23,"result is above 90th %ile","")))</f>
        <v/>
      </c>
      <c r="AM14" s="1234"/>
      <c r="AN14" s="1234"/>
      <c r="AO14" s="1234"/>
      <c r="AP14" s="788"/>
      <c r="AQ14" s="788"/>
      <c r="AR14" s="788"/>
      <c r="AS14" s="788"/>
      <c r="AT14" s="788"/>
      <c r="AU14" s="788"/>
      <c r="AV14" s="1234" t="str">
        <f>IF(BS29&lt;0,"negative result check inputs",IF($BS$30=0,"result is below 10th %ile",IF($BS$29&gt;$BS$30,"result is above 90th %ile","")))</f>
        <v/>
      </c>
      <c r="AW14" s="1234"/>
      <c r="AX14" s="1234"/>
      <c r="AY14" s="1234"/>
      <c r="AZ14" s="789"/>
      <c r="BA14" s="789"/>
      <c r="BB14" s="418"/>
      <c r="BC14" s="138"/>
      <c r="BM14" s="765"/>
      <c r="BN14" s="769"/>
      <c r="BO14" s="577"/>
      <c r="BP14" s="853" t="s">
        <v>1042</v>
      </c>
      <c r="BQ14" s="854" t="s">
        <v>1045</v>
      </c>
      <c r="BR14" s="823"/>
      <c r="BS14" s="823"/>
      <c r="BT14" s="823"/>
      <c r="BU14" s="831" t="s">
        <v>708</v>
      </c>
      <c r="BV14" s="831" t="s">
        <v>709</v>
      </c>
      <c r="BW14" s="831" t="s">
        <v>710</v>
      </c>
    </row>
    <row r="15" spans="1:77" s="73" customFormat="1" ht="15" customHeight="1">
      <c r="A15" s="138"/>
      <c r="B15" s="410"/>
      <c r="E15" s="996"/>
      <c r="F15" s="1085" t="s">
        <v>1257</v>
      </c>
      <c r="G15" s="789"/>
      <c r="H15" s="789"/>
      <c r="I15" s="1227"/>
      <c r="J15" s="1227"/>
      <c r="K15" s="1227"/>
      <c r="L15" s="1227"/>
      <c r="M15" s="1227"/>
      <c r="N15" s="1227"/>
      <c r="O15" s="1227"/>
      <c r="P15" s="789"/>
      <c r="Q15" s="789"/>
      <c r="R15" s="789"/>
      <c r="S15" s="789"/>
      <c r="T15" s="789"/>
      <c r="U15" s="789"/>
      <c r="V15" s="789"/>
      <c r="W15" s="788"/>
      <c r="X15" s="788"/>
      <c r="Y15" s="788"/>
      <c r="Z15" s="788"/>
      <c r="AA15" s="788"/>
      <c r="AB15" s="1234"/>
      <c r="AC15" s="1234"/>
      <c r="AD15" s="1234"/>
      <c r="AE15" s="1234"/>
      <c r="AF15" s="790"/>
      <c r="AG15" s="790"/>
      <c r="AH15" s="789"/>
      <c r="AI15" s="789"/>
      <c r="AJ15" s="789"/>
      <c r="AK15" s="788"/>
      <c r="AL15" s="1234"/>
      <c r="AM15" s="1234"/>
      <c r="AN15" s="1234"/>
      <c r="AO15" s="1234"/>
      <c r="AP15" s="788"/>
      <c r="AQ15" s="788"/>
      <c r="AR15" s="788"/>
      <c r="AS15" s="788"/>
      <c r="AT15" s="788"/>
      <c r="AU15" s="795"/>
      <c r="AV15" s="1234"/>
      <c r="AW15" s="1234"/>
      <c r="AX15" s="1234"/>
      <c r="AY15" s="1234"/>
      <c r="AZ15" s="789"/>
      <c r="BA15" s="789"/>
      <c r="BB15" s="418"/>
      <c r="BC15" s="138"/>
      <c r="BM15" s="765"/>
      <c r="BN15" s="769"/>
      <c r="BO15" s="832" t="s">
        <v>1024</v>
      </c>
      <c r="BP15" s="832"/>
      <c r="BR15" s="817" t="s">
        <v>1049</v>
      </c>
      <c r="BS15" s="848" t="str">
        <f>IF($BO$2&gt;0,"",IFERROR(SUM(N49:N50)/Worksheet!H62,""))</f>
        <v/>
      </c>
      <c r="BT15" s="833"/>
      <c r="BU15" s="945" t="s">
        <v>1045</v>
      </c>
      <c r="BV15" s="834"/>
      <c r="BW15" s="834"/>
      <c r="BX15" s="772"/>
    </row>
    <row r="16" spans="1:77" s="73" customFormat="1" ht="15" customHeight="1">
      <c r="A16" s="138"/>
      <c r="B16" s="410"/>
      <c r="D16" s="789"/>
      <c r="E16" s="996"/>
      <c r="F16" s="789"/>
      <c r="G16" s="789"/>
      <c r="H16" s="789"/>
      <c r="I16" s="1227"/>
      <c r="J16" s="1227"/>
      <c r="K16" s="1227"/>
      <c r="L16" s="1227"/>
      <c r="M16" s="1227"/>
      <c r="N16" s="1227"/>
      <c r="O16" s="1227"/>
      <c r="P16" s="789"/>
      <c r="Q16" s="789"/>
      <c r="R16" s="789"/>
      <c r="S16" s="1084" t="s">
        <v>266</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1044</v>
      </c>
      <c r="BO16" s="833" t="s">
        <v>1043</v>
      </c>
      <c r="BP16" s="835">
        <f>SUM(BP17:BP20)</f>
        <v>57.801400497346833</v>
      </c>
      <c r="BQ16" s="1054">
        <f>IF($BD$7="ML/Yr",BW16,BU16)</f>
        <v>5.075047838800522</v>
      </c>
      <c r="BR16" s="817" t="s">
        <v>1048</v>
      </c>
      <c r="BS16" s="856" t="str">
        <f>IF(BS15="","",IF(BS15&lt;BQ16,0,IF(BS15&gt;BQ20,BQ20,BS15)))</f>
        <v/>
      </c>
      <c r="BT16" s="833" t="s">
        <v>1043</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27"/>
      <c r="J17" s="1227"/>
      <c r="K17" s="1227"/>
      <c r="L17" s="1227"/>
      <c r="M17" s="1227"/>
      <c r="N17" s="1227"/>
      <c r="O17" s="1227"/>
      <c r="P17" s="789"/>
      <c r="Q17" s="789"/>
      <c r="R17" s="789"/>
      <c r="S17" s="789"/>
      <c r="T17" s="789"/>
      <c r="U17" s="789"/>
      <c r="V17" s="789"/>
      <c r="W17" s="788"/>
      <c r="X17" s="788"/>
      <c r="Y17" s="788"/>
      <c r="Z17" s="788"/>
      <c r="AA17" s="788"/>
      <c r="AB17" s="795"/>
      <c r="AC17" s="933" t="s">
        <v>1024</v>
      </c>
      <c r="AD17" s="789"/>
      <c r="AE17" s="933"/>
      <c r="AF17" s="933"/>
      <c r="AG17" s="934"/>
      <c r="AH17" s="926"/>
      <c r="AI17" s="926"/>
      <c r="AJ17" s="933"/>
      <c r="AK17" s="933"/>
      <c r="AL17" s="933"/>
      <c r="AM17" s="933" t="s">
        <v>1025</v>
      </c>
      <c r="AN17" s="789"/>
      <c r="AO17" s="933"/>
      <c r="AP17" s="933"/>
      <c r="AQ17" s="933"/>
      <c r="AR17" s="933"/>
      <c r="AS17" s="933"/>
      <c r="AT17" s="933"/>
      <c r="AU17" s="933"/>
      <c r="AV17" s="933"/>
      <c r="AW17" s="933" t="s">
        <v>1026</v>
      </c>
      <c r="AY17" s="815"/>
      <c r="AZ17" s="815"/>
      <c r="BA17" s="789"/>
      <c r="BB17" s="418"/>
      <c r="BC17" s="138"/>
      <c r="BE17" s="73" t="s">
        <v>711</v>
      </c>
      <c r="BF17" s="73" t="s">
        <v>712</v>
      </c>
      <c r="BM17" s="765"/>
      <c r="BN17" s="766"/>
      <c r="BO17" s="833" t="s">
        <v>1021</v>
      </c>
      <c r="BP17" s="835">
        <f>BQ17</f>
        <v>9.3314489693766607</v>
      </c>
      <c r="BQ17" s="1054">
        <f t="shared" ref="BQ17:BQ20" si="0">IF($BD$7="ML/Yr",BW17,BU17)</f>
        <v>9.3314489693766607</v>
      </c>
      <c r="BR17" s="833" t="s">
        <v>1047</v>
      </c>
      <c r="BS17" s="837">
        <f>SUM(BP16:BP20)/125</f>
        <v>0.92482240795754933</v>
      </c>
      <c r="BT17" s="833" t="s">
        <v>1021</v>
      </c>
      <c r="BU17" s="847">
        <v>9.3314489693766607</v>
      </c>
      <c r="BV17" s="836"/>
      <c r="BW17" s="1058">
        <f>IF($Z$6="",BU17/0.737,BU17/$Z$6)</f>
        <v>12.66139615926277</v>
      </c>
      <c r="BX17" s="73" t="s">
        <v>1030</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42" t="str">
        <f>BS15</f>
        <v/>
      </c>
      <c r="AB18" s="1242"/>
      <c r="AC18" s="1242"/>
      <c r="AD18" s="1020" t="str">
        <f>BD13</f>
        <v>$/conn/year</v>
      </c>
      <c r="AE18" s="1021"/>
      <c r="AF18" s="1022"/>
      <c r="AG18" s="1022"/>
      <c r="AH18" s="1023"/>
      <c r="AI18" s="1023"/>
      <c r="AJ18" s="1021"/>
      <c r="AK18" s="1242" t="str">
        <f>BS22</f>
        <v/>
      </c>
      <c r="AL18" s="1242"/>
      <c r="AM18" s="1242"/>
      <c r="AN18" s="1020" t="str">
        <f>BD13</f>
        <v>$/conn/year</v>
      </c>
      <c r="AO18" s="1021"/>
      <c r="AP18" s="1021"/>
      <c r="AQ18" s="1021"/>
      <c r="AR18" s="1021"/>
      <c r="AS18" s="1021"/>
      <c r="AT18" s="1021"/>
      <c r="AU18" s="1242" t="str">
        <f>BS29</f>
        <v/>
      </c>
      <c r="AV18" s="1242"/>
      <c r="AW18" s="1242"/>
      <c r="AX18" s="1020" t="str">
        <f>BD13</f>
        <v>$/conn/year</v>
      </c>
      <c r="AY18" s="814"/>
      <c r="AZ18" s="789"/>
      <c r="BA18" s="789"/>
      <c r="BB18" s="418"/>
      <c r="BC18" s="138"/>
      <c r="BD18" s="73" t="s">
        <v>708</v>
      </c>
      <c r="BE18" s="290">
        <f>(((5.41*Worksheet!H61)+(0.15*Worksheet!H62)+(7.5*(Worksheet!H62*Worksheet!W67/5280)))*Worksheet!H68)/1000000*365</f>
        <v>0</v>
      </c>
      <c r="BM18" s="765"/>
      <c r="BN18" s="766"/>
      <c r="BO18" s="833" t="s">
        <v>1041</v>
      </c>
      <c r="BP18" s="835">
        <f>BQ18-BQ17</f>
        <v>8.9525318444022357</v>
      </c>
      <c r="BQ18" s="1054">
        <f t="shared" si="0"/>
        <v>18.283980813778896</v>
      </c>
      <c r="BR18" s="833" t="s">
        <v>781</v>
      </c>
      <c r="BS18" s="837">
        <f>SUM(BP16:BP20)-SUM(BS16,BS17)</f>
        <v>114.67797858673612</v>
      </c>
      <c r="BT18" s="833" t="s">
        <v>1041</v>
      </c>
      <c r="BU18" s="847">
        <v>18.283980813778896</v>
      </c>
      <c r="BV18" s="836"/>
      <c r="BW18" s="1058">
        <f>IF($Z$6="",BU18/0.737,BU18/$Z$6)</f>
        <v>24.808657820595517</v>
      </c>
      <c r="BX18" s="73" t="s">
        <v>1207</v>
      </c>
      <c r="BY18" s="833"/>
      <c r="BZ18" s="837"/>
    </row>
    <row r="19" spans="1:78" s="73" customFormat="1" ht="15" customHeight="1">
      <c r="A19" s="138"/>
      <c r="B19" s="410"/>
      <c r="D19" s="789"/>
      <c r="E19" s="996"/>
      <c r="F19" s="789"/>
      <c r="G19" s="789"/>
      <c r="H19" s="789"/>
      <c r="I19" s="789"/>
      <c r="J19" s="789"/>
      <c r="K19" s="789"/>
      <c r="L19" s="944" t="s">
        <v>960</v>
      </c>
      <c r="M19" s="789"/>
      <c r="N19" s="789"/>
      <c r="O19" s="789"/>
      <c r="P19" s="789"/>
      <c r="Q19" s="789"/>
      <c r="R19" s="789"/>
      <c r="S19" s="789"/>
      <c r="T19" s="789"/>
      <c r="U19" s="789"/>
      <c r="V19" s="789"/>
      <c r="W19" s="788"/>
      <c r="X19" s="788"/>
      <c r="Y19" s="788"/>
      <c r="BB19" s="418"/>
      <c r="BC19" s="138"/>
      <c r="BD19" s="73" t="s">
        <v>709</v>
      </c>
      <c r="BE19" s="290">
        <f>BE18*1000000/325851.427242</f>
        <v>0</v>
      </c>
      <c r="BF19" s="289" t="e">
        <f>BE19*325851.427242/Worksheet!H62/365</f>
        <v>#DIV/0!</v>
      </c>
      <c r="BG19" s="73" t="str">
        <f>IF(BD7="Acre-ft/yr",1,"")</f>
        <v/>
      </c>
      <c r="BJ19" s="298"/>
      <c r="BM19" s="765"/>
      <c r="BN19" s="766"/>
      <c r="BO19" s="833" t="s">
        <v>1022</v>
      </c>
      <c r="BP19" s="835">
        <f>BQ19-BQ18</f>
        <v>13.300705385813597</v>
      </c>
      <c r="BQ19" s="1054">
        <f t="shared" si="0"/>
        <v>31.584686199592493</v>
      </c>
      <c r="BR19" s="833"/>
      <c r="BS19" s="833"/>
      <c r="BT19" s="833" t="s">
        <v>1022</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710</v>
      </c>
      <c r="BE20" s="290">
        <f>(((18*Worksheet!H61)+(0.8*Worksheet!H62)+(25*(Worksheet!H62*Worksheet!W67/1000)))*Worksheet!H68)/1000000*365</f>
        <v>0</v>
      </c>
      <c r="BM20" s="765"/>
      <c r="BN20" s="766"/>
      <c r="BO20" s="833" t="s">
        <v>1023</v>
      </c>
      <c r="BP20" s="835">
        <f>BQ20-BQ19</f>
        <v>26.21671429775434</v>
      </c>
      <c r="BQ20" s="1054">
        <f t="shared" si="0"/>
        <v>57.801400497346833</v>
      </c>
      <c r="BR20" s="833"/>
      <c r="BS20" s="833"/>
      <c r="BT20" s="833" t="s">
        <v>1023</v>
      </c>
      <c r="BU20" s="847">
        <v>57.801400497346833</v>
      </c>
      <c r="BV20" s="836"/>
      <c r="BW20" s="1058">
        <f>IF($Z$6="",BU20/0.737,BU20/$Z$6)</f>
        <v>78.427951828150384</v>
      </c>
      <c r="BX20" s="855" t="s">
        <v>1046</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1042</v>
      </c>
      <c r="BQ21" s="854" t="s">
        <v>1045</v>
      </c>
      <c r="BR21" s="814"/>
      <c r="BS21" s="814"/>
      <c r="BT21" s="814"/>
      <c r="BU21" s="838"/>
      <c r="BV21" s="836"/>
      <c r="BW21" s="836"/>
      <c r="BX21" s="772"/>
    </row>
    <row r="22" spans="1:78" s="73" customFormat="1" ht="12.9"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1025</v>
      </c>
      <c r="BP22" s="832"/>
      <c r="BQ22" s="832"/>
      <c r="BR22" s="817" t="s">
        <v>1049</v>
      </c>
      <c r="BS22" s="848" t="str">
        <f>IF($BO$2&gt;0,"",IFERROR(N49/Worksheet!H62,""))</f>
        <v/>
      </c>
      <c r="BT22" s="814"/>
      <c r="BU22" s="945" t="s">
        <v>1045</v>
      </c>
      <c r="BV22" s="836"/>
      <c r="BW22" s="836"/>
      <c r="BX22" s="772"/>
    </row>
    <row r="23" spans="1:78" s="73" customFormat="1" ht="12.9"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1044</v>
      </c>
      <c r="BO23" s="833" t="s">
        <v>1043</v>
      </c>
      <c r="BP23" s="835">
        <f>SUM(BP24:BP27)</f>
        <v>24.233075430263664</v>
      </c>
      <c r="BQ23" s="1054">
        <f>IF($BD$7="ML/Yr",BW23,BU23)</f>
        <v>0.26714599111167436</v>
      </c>
      <c r="BR23" s="817" t="s">
        <v>1048</v>
      </c>
      <c r="BS23" s="856" t="str">
        <f>IF(BS22="","",IF(BS22&lt;BQ23,0,IF(BS22&gt;BQ27,BQ27,BS22)))</f>
        <v/>
      </c>
      <c r="BT23" s="833" t="s">
        <v>1043</v>
      </c>
      <c r="BU23" s="847">
        <v>0.26714599111167436</v>
      </c>
      <c r="BV23" s="836"/>
      <c r="BW23" s="1058">
        <f>IF($Z$6="",BU23/0.737,BU23/$Z$6)</f>
        <v>0.36247759988015515</v>
      </c>
      <c r="BX23" s="772"/>
    </row>
    <row r="24" spans="1:78" s="73" customFormat="1" ht="12.9"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1021</v>
      </c>
      <c r="BP24" s="835">
        <f>BQ24</f>
        <v>0.87495347188920114</v>
      </c>
      <c r="BQ24" s="1054">
        <f t="shared" ref="BQ24:BQ27" si="1">IF($BD$7="ML/Yr",BW24,BU24)</f>
        <v>0.87495347188920114</v>
      </c>
      <c r="BR24" s="833" t="s">
        <v>1047</v>
      </c>
      <c r="BS24" s="837">
        <f>SUM(BP23:BP27)/125</f>
        <v>0.38772920688421864</v>
      </c>
      <c r="BT24" s="833" t="s">
        <v>1021</v>
      </c>
      <c r="BU24" s="847">
        <v>0.87495347188920114</v>
      </c>
      <c r="BV24" s="836"/>
      <c r="BW24" s="1058">
        <f>IF($Z$6="",BU24/0.737,BU24/$Z$6)</f>
        <v>1.1871824584656732</v>
      </c>
      <c r="BX24" s="73" t="s">
        <v>1030</v>
      </c>
    </row>
    <row r="25" spans="1:78" s="73" customFormat="1" ht="12.9"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34" t="str">
        <f>IF(BS36&lt;0,"negative result check inputs",IF($BS$37=0,"result is below 10th %ile",IF($BS$36&gt;$BS$37,"result is above 90th %ile","")))</f>
        <v/>
      </c>
      <c r="AC25" s="1234"/>
      <c r="AD25" s="1234"/>
      <c r="AE25" s="1234"/>
      <c r="AF25" s="790"/>
      <c r="AG25" s="790"/>
      <c r="AH25" s="792"/>
      <c r="AI25" s="792"/>
      <c r="AJ25" s="797"/>
      <c r="AK25" s="788"/>
      <c r="AL25" s="1234" t="str">
        <f>IF(BS43&lt;0,"negative result check inputs",IF($BS$44=0,"result is below 10th %ile",IF($BS$43&gt;$BS$44,"result is above 90th %ile","")))</f>
        <v/>
      </c>
      <c r="AM25" s="1234"/>
      <c r="AN25" s="1234"/>
      <c r="AO25" s="1234"/>
      <c r="AP25" s="788"/>
      <c r="AQ25" s="788"/>
      <c r="AR25" s="788"/>
      <c r="AS25" s="788"/>
      <c r="AT25" s="788"/>
      <c r="AU25" s="795"/>
      <c r="AV25" s="1234" t="str">
        <f>IF(BS55&lt;0,"negative result check inputs",IF($BS$56=0,"result is below 10th %ile",IF($BS$55&gt;$BS$56,"result is above 90th %ile","")))</f>
        <v/>
      </c>
      <c r="AW25" s="1234"/>
      <c r="AX25" s="1234"/>
      <c r="AY25" s="1234"/>
      <c r="AZ25" s="789"/>
      <c r="BA25" s="789"/>
      <c r="BB25" s="412"/>
      <c r="BC25" s="138"/>
      <c r="BM25" s="765"/>
      <c r="BN25" s="766"/>
      <c r="BO25" s="833" t="s">
        <v>1041</v>
      </c>
      <c r="BP25" s="835">
        <f>BQ25-BQ24</f>
        <v>5.2798362211473915</v>
      </c>
      <c r="BQ25" s="1054">
        <f t="shared" si="1"/>
        <v>6.1547896930365926</v>
      </c>
      <c r="BR25" s="833" t="s">
        <v>781</v>
      </c>
      <c r="BS25" s="837">
        <f>SUM(BP23:BP27)-SUM(BS23,BS24)</f>
        <v>48.078421653643112</v>
      </c>
      <c r="BT25" s="833" t="s">
        <v>1041</v>
      </c>
      <c r="BU25" s="847">
        <v>6.1547896930365926</v>
      </c>
      <c r="BV25" s="836"/>
      <c r="BW25" s="1058">
        <f>IF($Z$6="",BU25/0.737,BU25/$Z$6)</f>
        <v>8.3511393392626765</v>
      </c>
      <c r="BX25" s="73" t="s">
        <v>1207</v>
      </c>
    </row>
    <row r="26" spans="1:78" s="73" customFormat="1" ht="12.9"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34"/>
      <c r="AC26" s="1234"/>
      <c r="AD26" s="1234"/>
      <c r="AE26" s="1234"/>
      <c r="AF26" s="790"/>
      <c r="AG26" s="790"/>
      <c r="AH26" s="792"/>
      <c r="AI26" s="792"/>
      <c r="AJ26" s="797"/>
      <c r="AK26" s="788"/>
      <c r="AL26" s="1234"/>
      <c r="AM26" s="1234"/>
      <c r="AN26" s="1234"/>
      <c r="AO26" s="1234"/>
      <c r="AP26" s="788"/>
      <c r="AQ26" s="788"/>
      <c r="AR26" s="788"/>
      <c r="AS26" s="788"/>
      <c r="AT26" s="788"/>
      <c r="AU26" s="795"/>
      <c r="AV26" s="1234"/>
      <c r="AW26" s="1234"/>
      <c r="AX26" s="1234"/>
      <c r="AY26" s="1234"/>
      <c r="AZ26" s="789"/>
      <c r="BA26" s="789"/>
      <c r="BB26" s="412"/>
      <c r="BC26" s="138"/>
      <c r="BM26" s="765"/>
      <c r="BN26" s="766"/>
      <c r="BO26" s="833" t="s">
        <v>1022</v>
      </c>
      <c r="BP26" s="835">
        <f>BQ26-BQ25</f>
        <v>7.97433526183511</v>
      </c>
      <c r="BQ26" s="1054">
        <f t="shared" si="1"/>
        <v>14.129124954871703</v>
      </c>
      <c r="BR26" s="833"/>
      <c r="BS26" s="833"/>
      <c r="BT26" s="833" t="s">
        <v>1022</v>
      </c>
      <c r="BU26" s="847">
        <v>14.129124954871703</v>
      </c>
      <c r="BV26" s="836"/>
      <c r="BW26" s="1058">
        <f>IF($Z$6="",BU26/0.737,BU26/$Z$6)</f>
        <v>19.17113291027368</v>
      </c>
    </row>
    <row r="27" spans="1:78" s="73" customFormat="1" ht="12.9"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7</v>
      </c>
      <c r="BE27" s="282" t="s">
        <v>163</v>
      </c>
      <c r="BM27" s="765"/>
      <c r="BN27" s="766"/>
      <c r="BO27" s="833" t="s">
        <v>1023</v>
      </c>
      <c r="BP27" s="835">
        <f>BQ27-BQ26</f>
        <v>10.103950475391962</v>
      </c>
      <c r="BQ27" s="1054">
        <f t="shared" si="1"/>
        <v>24.233075430263664</v>
      </c>
      <c r="BR27" s="833"/>
      <c r="BS27" s="833"/>
      <c r="BT27" s="833" t="s">
        <v>1023</v>
      </c>
      <c r="BU27" s="847">
        <v>24.233075430263664</v>
      </c>
      <c r="BV27" s="836"/>
      <c r="BW27" s="1058">
        <f>IF($Z$6="",BU27/0.737,BU27/$Z$6)</f>
        <v>32.880699362637266</v>
      </c>
      <c r="BX27" s="855" t="s">
        <v>1046</v>
      </c>
    </row>
    <row r="28" spans="1:78" s="73" customFormat="1" ht="12.9"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1020</v>
      </c>
      <c r="AD28" s="935"/>
      <c r="AE28" s="936"/>
      <c r="AF28" s="936"/>
      <c r="AG28" s="935"/>
      <c r="AH28" s="935"/>
      <c r="AI28" s="935"/>
      <c r="AJ28" s="935"/>
      <c r="AK28" s="935"/>
      <c r="AL28" s="935"/>
      <c r="AM28" s="933" t="s">
        <v>957</v>
      </c>
      <c r="AN28" s="936"/>
      <c r="AO28" s="936"/>
      <c r="AP28" s="936"/>
      <c r="AQ28" s="936"/>
      <c r="AR28" s="936"/>
      <c r="AS28" s="936"/>
      <c r="AT28" s="936"/>
      <c r="AU28" s="936"/>
      <c r="AV28" s="937"/>
      <c r="AW28" s="933" t="s">
        <v>1181</v>
      </c>
      <c r="AX28" s="789"/>
      <c r="AY28" s="789"/>
      <c r="AZ28" s="789"/>
      <c r="BA28" s="789"/>
      <c r="BB28" s="412"/>
      <c r="BC28" s="138"/>
      <c r="BD28" s="73">
        <f>IF(ISBLANK('Start Page'!$AB$22),0,1)</f>
        <v>0</v>
      </c>
      <c r="BE28" s="282" t="s">
        <v>164</v>
      </c>
      <c r="BM28" s="765"/>
      <c r="BN28" s="766"/>
      <c r="BP28" s="853" t="s">
        <v>1042</v>
      </c>
      <c r="BQ28" s="854" t="s">
        <v>1045</v>
      </c>
      <c r="BV28" s="836"/>
      <c r="BW28" s="836"/>
      <c r="BX28" s="772"/>
    </row>
    <row r="29" spans="1:78" s="73" customFormat="1" ht="12.9"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43" t="str">
        <f>BS36</f>
        <v/>
      </c>
      <c r="AB29" s="1243"/>
      <c r="AC29" s="1243"/>
      <c r="AD29" s="1019" t="str">
        <f>BD10</f>
        <v/>
      </c>
      <c r="AE29" s="1019"/>
      <c r="AF29" s="1024"/>
      <c r="AG29" s="1024"/>
      <c r="AH29" s="813"/>
      <c r="AI29" s="813"/>
      <c r="AJ29" s="813"/>
      <c r="AK29" s="1243" t="str">
        <f>BS43</f>
        <v/>
      </c>
      <c r="AL29" s="1243"/>
      <c r="AM29" s="1243"/>
      <c r="AN29" s="1020" t="str">
        <f>BD10</f>
        <v/>
      </c>
      <c r="AO29" s="813"/>
      <c r="AP29" s="813"/>
      <c r="AQ29" s="813"/>
      <c r="AR29" s="813"/>
      <c r="AS29" s="813"/>
      <c r="AT29" s="813"/>
      <c r="AU29" s="1238" t="str">
        <f>BS55</f>
        <v/>
      </c>
      <c r="AV29" s="1238"/>
      <c r="AW29" s="1238"/>
      <c r="AX29" s="1020" t="str">
        <f>BD10</f>
        <v/>
      </c>
      <c r="AY29" s="813"/>
      <c r="AZ29" s="789"/>
      <c r="BA29" s="789"/>
      <c r="BB29" s="412"/>
      <c r="BC29" s="138"/>
      <c r="BD29" s="1027" t="b">
        <f>IF('Interactive Data Grading'!D465=VPC!C28,TRUE,FALSE)</f>
        <v>0</v>
      </c>
      <c r="BE29" s="73" t="s">
        <v>142</v>
      </c>
      <c r="BM29" s="765"/>
      <c r="BN29" s="765"/>
      <c r="BO29" s="832" t="s">
        <v>1026</v>
      </c>
      <c r="BP29" s="832"/>
      <c r="BQ29" s="832"/>
      <c r="BR29" s="817" t="s">
        <v>1049</v>
      </c>
      <c r="BS29" s="848" t="str">
        <f>IF($BO$2&gt;0,"",IFERROR(N50/Worksheet!H62,""))</f>
        <v/>
      </c>
      <c r="BT29" s="814"/>
      <c r="BU29" s="945" t="s">
        <v>1045</v>
      </c>
      <c r="BV29" s="836"/>
      <c r="BW29" s="836"/>
      <c r="BX29" s="772"/>
    </row>
    <row r="30" spans="1:78" s="73" customFormat="1" ht="12.9"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139</v>
      </c>
      <c r="BM30" s="765"/>
      <c r="BN30" s="851" t="s">
        <v>1044</v>
      </c>
      <c r="BO30" s="833" t="s">
        <v>1043</v>
      </c>
      <c r="BP30" s="835">
        <f>SUM(BP31:BP34)</f>
        <v>35.54734395994759</v>
      </c>
      <c r="BQ30" s="1054">
        <f>IF($BD$7="ML/Yr",BW30,BU30)</f>
        <v>1.9039650877460725</v>
      </c>
      <c r="BR30" s="817" t="s">
        <v>1048</v>
      </c>
      <c r="BS30" s="856" t="str">
        <f>IF(BS29="","",IF(BS29&lt;BQ30,0,IF(BS29&gt;BQ34,BQ34,BS29)))</f>
        <v/>
      </c>
      <c r="BT30" s="833" t="s">
        <v>1043</v>
      </c>
      <c r="BU30" s="847">
        <v>1.9039650877460725</v>
      </c>
      <c r="BV30" s="836"/>
      <c r="BW30" s="1058">
        <f>IF($Z$6="",BU30/0.737,BU30/$Z$6)</f>
        <v>2.5833990335767605</v>
      </c>
      <c r="BX30" s="772"/>
    </row>
    <row r="31" spans="1:78" s="73" customFormat="1" ht="12.9"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599</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302</v>
      </c>
      <c r="BM31" s="765"/>
      <c r="BN31" s="766"/>
      <c r="BO31" s="833" t="s">
        <v>1021</v>
      </c>
      <c r="BP31" s="835">
        <f>BQ31</f>
        <v>3.7255465834551216</v>
      </c>
      <c r="BQ31" s="1054">
        <f t="shared" ref="BQ31:BQ34" si="2">IF($BD$7="ML/Yr",BW31,BU31)</f>
        <v>3.7255465834551216</v>
      </c>
      <c r="BR31" s="833" t="s">
        <v>1047</v>
      </c>
      <c r="BS31" s="837">
        <f>SUM(BP30:BP34)/125</f>
        <v>0.56875750335916142</v>
      </c>
      <c r="BT31" s="833" t="s">
        <v>1021</v>
      </c>
      <c r="BU31" s="847">
        <v>3.7255465834551216</v>
      </c>
      <c r="BV31" s="836"/>
      <c r="BW31" s="1058">
        <f>IF($Z$6="",BU31/0.737,BU31/$Z$6)</f>
        <v>5.0550157170354435</v>
      </c>
      <c r="BX31" s="73" t="s">
        <v>1030</v>
      </c>
    </row>
    <row r="32" spans="1:78" s="73" customFormat="1" ht="12.9"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39" t="str">
        <f>IF(input_AOP="","",input_AOP)</f>
        <v/>
      </c>
      <c r="Y32" s="1239"/>
      <c r="Z32" s="1077" t="str">
        <f>Worksheet!J68</f>
        <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1041</v>
      </c>
      <c r="BP32" s="835">
        <f>BQ32-BQ31</f>
        <v>4.2242209408171547</v>
      </c>
      <c r="BQ32" s="1054">
        <f t="shared" si="2"/>
        <v>7.9497675242722758</v>
      </c>
      <c r="BR32" s="833" t="s">
        <v>781</v>
      </c>
      <c r="BS32" s="837">
        <f>SUM(BP30:BP34)-SUM(BS30,BS31)</f>
        <v>70.525930416536013</v>
      </c>
      <c r="BT32" s="833" t="s">
        <v>1041</v>
      </c>
      <c r="BU32" s="847">
        <v>7.9497675242722758</v>
      </c>
      <c r="BV32" s="836"/>
      <c r="BW32" s="1058">
        <f>IF($Z$6="",BU32/0.737,BU32/$Z$6)</f>
        <v>10.786658784629953</v>
      </c>
      <c r="BX32" s="73" t="s">
        <v>1207</v>
      </c>
    </row>
    <row r="33" spans="1:78" s="73" customFormat="1" ht="12.9"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40" t="str">
        <f>IF(BQ83=0,"",IF(BQ83&lt;BQ78,"AOP is below 10th %ile",IF(BQ83&gt;BQ82,"AOP is above 90th %ile","")))</f>
        <v/>
      </c>
      <c r="AC33" s="1240"/>
      <c r="AD33" s="1240"/>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1022</v>
      </c>
      <c r="BP33" s="835">
        <f>BQ33-BQ32</f>
        <v>8.3367570590545697</v>
      </c>
      <c r="BQ33" s="1054">
        <f t="shared" si="2"/>
        <v>16.286524583326845</v>
      </c>
      <c r="BR33" s="833"/>
      <c r="BS33" s="833"/>
      <c r="BT33" s="833" t="s">
        <v>1022</v>
      </c>
      <c r="BU33" s="847">
        <v>16.286524583326845</v>
      </c>
      <c r="BV33" s="836"/>
      <c r="BW33" s="1058">
        <f>IF($Z$6="",BU33/0.737,BU33/$Z$6)</f>
        <v>22.098405133414985</v>
      </c>
    </row>
    <row r="34" spans="1:78" s="73" customFormat="1" ht="12.9"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40"/>
      <c r="AC34" s="1240"/>
      <c r="AD34" s="1240"/>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1023</v>
      </c>
      <c r="BP34" s="835">
        <f>BQ34-BQ33</f>
        <v>19.260819376620745</v>
      </c>
      <c r="BQ34" s="1054">
        <f t="shared" si="2"/>
        <v>35.54734395994759</v>
      </c>
      <c r="BR34" s="833"/>
      <c r="BS34" s="833"/>
      <c r="BT34" s="833" t="s">
        <v>1023</v>
      </c>
      <c r="BU34" s="847">
        <v>35.54734395994759</v>
      </c>
      <c r="BV34" s="836"/>
      <c r="BW34" s="1058">
        <f>IF($Z$6="",BU34/0.737,BU34/$Z$6)</f>
        <v>48.232488412411925</v>
      </c>
      <c r="BX34" s="855" t="s">
        <v>1046</v>
      </c>
    </row>
    <row r="35" spans="1:78" s="73" customFormat="1" ht="12.9"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1042</v>
      </c>
      <c r="BQ35" s="854" t="s">
        <v>1045</v>
      </c>
      <c r="BR35" s="814"/>
      <c r="BS35" s="814"/>
      <c r="BT35" s="833"/>
      <c r="BU35" s="834"/>
      <c r="BV35" s="836"/>
      <c r="BW35" s="836"/>
      <c r="BX35" s="772"/>
    </row>
    <row r="36" spans="1:78" s="73" customFormat="1" ht="12.9"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1020</v>
      </c>
      <c r="BP36" s="832"/>
      <c r="BQ36" s="832"/>
      <c r="BR36" s="817" t="s">
        <v>1049</v>
      </c>
      <c r="BS36" s="849" t="str">
        <f>IF($BO$2&gt;0,"",IFERROR((BS55+BS43),""))</f>
        <v/>
      </c>
      <c r="BT36" s="833"/>
      <c r="BU36" s="945" t="s">
        <v>1045</v>
      </c>
      <c r="BV36" s="834"/>
      <c r="BW36" s="834"/>
      <c r="BX36" s="772"/>
      <c r="BY36" s="73" t="s">
        <v>1160</v>
      </c>
      <c r="BZ36" s="73" t="str">
        <f>IF(OR(Worksheet!S89=0,Worksheet!S89="",BO2&gt;0),"",Worksheet!S89)</f>
        <v/>
      </c>
    </row>
    <row r="37" spans="1:78" s="73" customFormat="1" ht="12.9"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34" t="str">
        <f>IF(BS62&lt;0,"negative result check inputs",IF($BS$63=0,"result is below 10th %ile",IF($BS$62&gt;$BS$63,"result is above 90th %ile","")))</f>
        <v/>
      </c>
      <c r="AJ37" s="1234"/>
      <c r="AK37" s="1234"/>
      <c r="AL37" s="1234"/>
      <c r="AM37" s="788"/>
      <c r="AN37" s="788"/>
      <c r="AO37" s="788"/>
      <c r="AP37" s="788"/>
      <c r="AQ37" s="788"/>
      <c r="AR37" s="788"/>
      <c r="AS37" s="788"/>
      <c r="AT37" s="1234" t="str">
        <f>IF(BS69&lt;0,"negative result check inputs",IF($BS$70=0,"result is below 10th %ile",IF($BS$69&gt;$BS$70,"result is above 90th %ile","")))</f>
        <v/>
      </c>
      <c r="AU37" s="1234"/>
      <c r="AV37" s="1234"/>
      <c r="AW37" s="1234"/>
      <c r="AX37" s="789"/>
      <c r="AY37" s="789"/>
      <c r="AZ37" s="789"/>
      <c r="BA37" s="789"/>
      <c r="BB37" s="412"/>
      <c r="BC37" s="138"/>
      <c r="BD37" s="286"/>
      <c r="BF37" s="285"/>
      <c r="BM37" s="765"/>
      <c r="BN37" s="851" t="s">
        <v>1044</v>
      </c>
      <c r="BO37" s="833" t="s">
        <v>1043</v>
      </c>
      <c r="BP37" s="834">
        <f>SUM(BP38:BP41)</f>
        <v>125.15100211248117</v>
      </c>
      <c r="BQ37" s="855">
        <f>IF($BD$7="ML/Yr",BW37,BU37)</f>
        <v>21.095211492757553</v>
      </c>
      <c r="BR37" s="817" t="s">
        <v>1048</v>
      </c>
      <c r="BS37" s="857" t="str">
        <f>IF(BS36="","",IF(BS36&lt;BQ37,0,IF(BS36&gt;BQ41,BQ41,BS36)))</f>
        <v/>
      </c>
      <c r="BT37" s="833" t="s">
        <v>1043</v>
      </c>
      <c r="BU37" s="845">
        <v>21.095211492757553</v>
      </c>
      <c r="BV37" s="834"/>
      <c r="BW37" s="839">
        <f>BU37*3.78541</f>
        <v>79.854024536799372</v>
      </c>
      <c r="BX37" s="773"/>
      <c r="BY37" s="73" t="s">
        <v>1161</v>
      </c>
      <c r="BZ37" s="73" t="str">
        <f>IF(BZ36="","",IF(BZ36&lt;BQ37,0,IF(BZ36&gt;BQ41,BQ41,BZ36)))</f>
        <v/>
      </c>
    </row>
    <row r="38" spans="1:78" s="73" customFormat="1" ht="12.9"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34"/>
      <c r="AJ38" s="1234"/>
      <c r="AK38" s="1234"/>
      <c r="AL38" s="1234"/>
      <c r="AM38" s="788"/>
      <c r="AN38" s="788"/>
      <c r="AO38" s="788"/>
      <c r="AP38" s="788"/>
      <c r="AQ38" s="788"/>
      <c r="AR38" s="788"/>
      <c r="AS38" s="788"/>
      <c r="AT38" s="1234"/>
      <c r="AU38" s="1234"/>
      <c r="AV38" s="1234"/>
      <c r="AW38" s="1234"/>
      <c r="AX38" s="789"/>
      <c r="AY38" s="789"/>
      <c r="AZ38" s="789"/>
      <c r="BA38" s="789"/>
      <c r="BB38" s="412"/>
      <c r="BC38" s="138"/>
      <c r="BD38" s="286"/>
      <c r="BF38" s="285"/>
      <c r="BM38" s="765"/>
      <c r="BN38" s="765"/>
      <c r="BO38" s="833" t="s">
        <v>1021</v>
      </c>
      <c r="BP38" s="830">
        <f>BQ38</f>
        <v>29.480551398162277</v>
      </c>
      <c r="BQ38" s="855">
        <f t="shared" ref="BQ38:BQ41" si="3">IF($BD$7="ML/Yr",BW38,BU38)</f>
        <v>29.480551398162277</v>
      </c>
      <c r="BR38" s="833" t="s">
        <v>1047</v>
      </c>
      <c r="BS38" s="837">
        <f>SUM(BP37:BP41)/125</f>
        <v>2.0024160337996988</v>
      </c>
      <c r="BT38" s="833" t="s">
        <v>1021</v>
      </c>
      <c r="BU38" s="846">
        <v>29.480551398162277</v>
      </c>
      <c r="BV38" s="834"/>
      <c r="BW38" s="839">
        <f>BU38*3.78541</f>
        <v>111.59597406811747</v>
      </c>
      <c r="BX38" s="73" t="s">
        <v>1029</v>
      </c>
      <c r="BY38" s="833" t="s">
        <v>1047</v>
      </c>
      <c r="BZ38" s="837" t="str">
        <f>IF(BZ37="","",SUM(BP37:BP41)/250)</f>
        <v/>
      </c>
    </row>
    <row r="39" spans="1:78" s="73" customFormat="1" ht="12.9"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1041</v>
      </c>
      <c r="BP39" s="830">
        <f>BQ39-BQ38</f>
        <v>15.908823434416718</v>
      </c>
      <c r="BQ39" s="855">
        <f t="shared" si="3"/>
        <v>45.389374832578994</v>
      </c>
      <c r="BR39" s="833" t="s">
        <v>781</v>
      </c>
      <c r="BS39" s="837">
        <f>SUM(BP37:BP41)-SUM(BS37,BS38)</f>
        <v>248.29958819116263</v>
      </c>
      <c r="BT39" s="833" t="s">
        <v>1041</v>
      </c>
      <c r="BU39" s="846">
        <v>45.389374832578994</v>
      </c>
      <c r="BV39" s="834"/>
      <c r="BW39" s="839">
        <f t="shared" ref="BW39:BW41" si="4">BU39*3.78541</f>
        <v>171.81739338499287</v>
      </c>
      <c r="BX39" s="73" t="s">
        <v>1035</v>
      </c>
      <c r="BY39" s="833" t="s">
        <v>781</v>
      </c>
      <c r="BZ39" s="837" t="str">
        <f>IF(BZ38="","",SUM(BP37:BP41)-SUM(BZ37,BZ38))</f>
        <v/>
      </c>
    </row>
    <row r="40" spans="1:78" s="73" customFormat="1" ht="12.9"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1182</v>
      </c>
      <c r="AV40" s="815"/>
      <c r="AW40" s="789"/>
      <c r="AX40" s="789"/>
      <c r="AY40" s="789"/>
      <c r="AZ40" s="789"/>
      <c r="BA40" s="789"/>
      <c r="BB40" s="412"/>
      <c r="BC40" s="138"/>
      <c r="BD40" s="286"/>
      <c r="BE40" s="286"/>
      <c r="BF40" s="286"/>
      <c r="BG40" s="286"/>
      <c r="BM40" s="765"/>
      <c r="BN40" s="765"/>
      <c r="BO40" s="833" t="s">
        <v>1022</v>
      </c>
      <c r="BP40" s="830">
        <f>BQ40-BQ39</f>
        <v>30.842317024915928</v>
      </c>
      <c r="BQ40" s="855">
        <f t="shared" si="3"/>
        <v>76.231691857494923</v>
      </c>
      <c r="BR40" s="833"/>
      <c r="BS40" s="833"/>
      <c r="BT40" s="833" t="s">
        <v>1022</v>
      </c>
      <c r="BU40" s="846">
        <v>76.231691857494923</v>
      </c>
      <c r="BV40" s="834"/>
      <c r="BW40" s="839">
        <f t="shared" si="4"/>
        <v>288.56820867427984</v>
      </c>
      <c r="BX40" s="73" t="s">
        <v>1036</v>
      </c>
    </row>
    <row r="41" spans="1:78" s="73" customFormat="1" ht="12.9"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37" t="str">
        <f>BS62</f>
        <v/>
      </c>
      <c r="AI41" s="1237"/>
      <c r="AJ41" s="1237"/>
      <c r="AK41" s="1019" t="s">
        <v>1050</v>
      </c>
      <c r="AL41" s="938"/>
      <c r="AM41" s="939"/>
      <c r="AN41" s="940"/>
      <c r="AO41" s="940"/>
      <c r="AP41" s="940"/>
      <c r="AQ41" s="940"/>
      <c r="AR41" s="940"/>
      <c r="AS41" s="1236" t="str">
        <f>BS69</f>
        <v/>
      </c>
      <c r="AT41" s="1236"/>
      <c r="AU41" s="1236"/>
      <c r="AV41" s="1019" t="str">
        <f>BD11</f>
        <v/>
      </c>
      <c r="AW41" s="789"/>
      <c r="AX41" s="789"/>
      <c r="AY41" s="789"/>
      <c r="AZ41" s="789"/>
      <c r="BA41" s="789"/>
      <c r="BB41" s="412"/>
      <c r="BC41" s="138"/>
      <c r="BD41" s="286"/>
      <c r="BE41" s="286"/>
      <c r="BF41" s="286"/>
      <c r="BG41" s="286"/>
      <c r="BM41" s="765"/>
      <c r="BN41" s="765"/>
      <c r="BO41" s="833" t="s">
        <v>1023</v>
      </c>
      <c r="BP41" s="830">
        <f>BQ41-BQ40</f>
        <v>48.919310254986243</v>
      </c>
      <c r="BQ41" s="855">
        <f t="shared" si="3"/>
        <v>125.15100211248117</v>
      </c>
      <c r="BR41" s="833"/>
      <c r="BS41" s="833"/>
      <c r="BT41" s="833" t="s">
        <v>1023</v>
      </c>
      <c r="BU41" s="846">
        <v>125.15100211248117</v>
      </c>
      <c r="BV41" s="834"/>
      <c r="BW41" s="839">
        <f t="shared" si="4"/>
        <v>473.74785490660736</v>
      </c>
      <c r="BX41" s="73" t="s">
        <v>1038</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1228</v>
      </c>
      <c r="BB42" s="412"/>
      <c r="BC42" s="138"/>
      <c r="BD42" s="286"/>
      <c r="BE42" s="286"/>
      <c r="BF42" s="286"/>
      <c r="BG42" s="286"/>
      <c r="BM42" s="765"/>
      <c r="BN42" s="765"/>
      <c r="BO42" s="833"/>
      <c r="BP42" s="853" t="s">
        <v>1042</v>
      </c>
      <c r="BQ42" s="854" t="s">
        <v>1045</v>
      </c>
      <c r="BR42" s="833"/>
      <c r="BS42" s="833"/>
      <c r="BT42" s="833"/>
      <c r="BU42" s="834"/>
      <c r="BV42" s="834"/>
      <c r="BW42" s="834"/>
      <c r="BX42" s="843" t="s">
        <v>1037</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33" t="s">
        <v>1200</v>
      </c>
      <c r="AA43" s="1233"/>
      <c r="AB43" s="1233"/>
      <c r="AC43" s="1233"/>
      <c r="AD43" s="1233"/>
      <c r="AE43" s="1233"/>
      <c r="AF43" s="1233"/>
      <c r="AG43" s="1233"/>
      <c r="AH43" s="1233"/>
      <c r="AI43" s="1233"/>
      <c r="AJ43" s="1233"/>
      <c r="AK43" s="1235" t="str">
        <f>IF(OR(ISBLANK('Start Page'!$AB$22),LEN(Worksheet!C70)&gt;0),"",VLOOKUP(BD7,BD18:BE20,2,FALSE))</f>
        <v/>
      </c>
      <c r="AL43" s="1235"/>
      <c r="AM43" s="1235"/>
      <c r="AN43" s="1235"/>
      <c r="AO43" s="1071" t="str">
        <f>BD7</f>
        <v/>
      </c>
      <c r="AP43" s="813"/>
      <c r="AQ43" s="813"/>
      <c r="AR43" s="813"/>
      <c r="AS43" s="1235" t="str">
        <f>IF(BG19=1,BF19,IFERROR(AK43*1000000/Worksheet!H62/365,""))</f>
        <v/>
      </c>
      <c r="AT43" s="1235"/>
      <c r="AU43" s="1235"/>
      <c r="AV43" s="1235"/>
      <c r="AW43" s="810" t="str">
        <f>BD10</f>
        <v/>
      </c>
      <c r="AX43" s="813"/>
      <c r="AY43" s="813"/>
      <c r="AZ43" s="813"/>
      <c r="BA43" s="789"/>
      <c r="BB43" s="412"/>
      <c r="BC43" s="138"/>
      <c r="BD43" s="284"/>
      <c r="BM43" s="765"/>
      <c r="BN43" s="765"/>
      <c r="BO43" s="832" t="s">
        <v>957</v>
      </c>
      <c r="BP43" s="832"/>
      <c r="BQ43" s="832"/>
      <c r="BR43" s="817" t="s">
        <v>1049</v>
      </c>
      <c r="BS43" s="849" t="str">
        <f>IF($BO$2&gt;0,"",IF(ISERROR(1/Worksheet!H62),"",IF('Start Page'!$AB$22="Acre-feet",Worksheet!H46*325851/1000000,Worksheet!H46)*1000000/365/Worksheet!H62))</f>
        <v/>
      </c>
      <c r="BT43" s="833"/>
      <c r="BU43" s="945" t="s">
        <v>1045</v>
      </c>
      <c r="BV43" s="834"/>
      <c r="BW43" s="834"/>
      <c r="BX43" s="855" t="s">
        <v>1046</v>
      </c>
      <c r="BY43" s="73" t="s">
        <v>1160</v>
      </c>
      <c r="BZ43" s="73" t="str">
        <f>IF(OR(Worksheet!S90=0,Worksheet!S90="",BO2&gt;0),"",Worksheet!S90)</f>
        <v/>
      </c>
    </row>
    <row r="44" spans="1:78" s="73" customFormat="1" ht="15" customHeight="1">
      <c r="A44" s="138"/>
      <c r="B44" s="711"/>
      <c r="C44" s="771"/>
      <c r="D44" s="771"/>
      <c r="E44" s="411" t="s">
        <v>68</v>
      </c>
      <c r="G44" s="78"/>
      <c r="H44" s="78"/>
      <c r="M44" s="303"/>
      <c r="N44" s="303"/>
      <c r="O44" s="411" t="s">
        <v>1259</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1044</v>
      </c>
      <c r="BO44" s="833" t="s">
        <v>1043</v>
      </c>
      <c r="BP44" s="834">
        <f>SUM(BP45:BP48)</f>
        <v>16.320999291962284</v>
      </c>
      <c r="BQ44" s="855">
        <f>IF($BD$7="ML/Yr",BW44,BU44)</f>
        <v>1.1863793690124249</v>
      </c>
      <c r="BR44" s="817" t="s">
        <v>1048</v>
      </c>
      <c r="BS44" s="857" t="str">
        <f>IF(BS43="","",IF(BS43&lt;BQ44,0,IF(BS43&gt;BQ48,BQ48,BS43)))</f>
        <v/>
      </c>
      <c r="BT44" s="833" t="s">
        <v>1043</v>
      </c>
      <c r="BU44" s="846">
        <v>1.1863793690124249</v>
      </c>
      <c r="BV44" s="834"/>
      <c r="BW44" s="839">
        <f>BU44*3.78541</f>
        <v>4.4909323272533239</v>
      </c>
      <c r="BX44" s="773"/>
      <c r="BY44" s="73" t="s">
        <v>1161</v>
      </c>
      <c r="BZ44" s="73" t="str">
        <f>IF(BZ43="","",IF(BZ43&lt;BQ44,0,IF(BZ43&gt;BQ48,BQ48,BZ43)))</f>
        <v/>
      </c>
    </row>
    <row r="45" spans="1:78" s="73" customFormat="1" ht="15" customHeight="1">
      <c r="A45" s="138"/>
      <c r="B45" s="711"/>
      <c r="C45" s="764"/>
      <c r="D45" s="764"/>
      <c r="E45" s="411" t="s">
        <v>8</v>
      </c>
      <c r="F45" s="78"/>
      <c r="G45" s="78"/>
      <c r="H45" s="78"/>
      <c r="M45" s="1068"/>
      <c r="N45" s="1068"/>
      <c r="O45" s="411" t="s">
        <v>1260</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1021</v>
      </c>
      <c r="BP45" s="830">
        <f>BQ45</f>
        <v>2.7528558495753783</v>
      </c>
      <c r="BQ45" s="855">
        <f t="shared" ref="BQ45:BQ48" si="5">IF($BD$7="ML/Yr",BW45,BU45)</f>
        <v>2.7528558495753783</v>
      </c>
      <c r="BR45" s="833" t="s">
        <v>1047</v>
      </c>
      <c r="BS45" s="837">
        <f>SUM(BP44:BP48)/125</f>
        <v>0.26113598867139654</v>
      </c>
      <c r="BT45" s="833" t="s">
        <v>1021</v>
      </c>
      <c r="BU45" s="846">
        <v>2.7528558495753783</v>
      </c>
      <c r="BV45" s="834"/>
      <c r="BW45" s="839">
        <f t="shared" ref="BW45:BW48" si="6">BU45*3.78541</f>
        <v>10.420688061541133</v>
      </c>
      <c r="BX45" s="73" t="s">
        <v>1029</v>
      </c>
      <c r="BY45" s="833" t="s">
        <v>1047</v>
      </c>
      <c r="BZ45" s="837" t="str">
        <f>IF(BZ44="","",SUM(BP44:BP48)/250)</f>
        <v/>
      </c>
    </row>
    <row r="46" spans="1:78" s="73" customFormat="1" ht="12.9"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1041</v>
      </c>
      <c r="BP46" s="830">
        <f>BQ46-BQ45</f>
        <v>2.5474471374368308</v>
      </c>
      <c r="BQ46" s="855">
        <f t="shared" si="5"/>
        <v>5.3003029870122091</v>
      </c>
      <c r="BR46" s="833" t="s">
        <v>781</v>
      </c>
      <c r="BS46" s="837">
        <f>SUM(BP44:BP48)-SUM(BS44,BS45)</f>
        <v>32.38086259525317</v>
      </c>
      <c r="BT46" s="833" t="s">
        <v>1041</v>
      </c>
      <c r="BU46" s="846">
        <v>5.3003029870122091</v>
      </c>
      <c r="BV46" s="834"/>
      <c r="BW46" s="839">
        <f t="shared" si="6"/>
        <v>20.063819930065886</v>
      </c>
      <c r="BX46" s="73" t="s">
        <v>1035</v>
      </c>
      <c r="BY46" s="833" t="s">
        <v>781</v>
      </c>
      <c r="BZ46" s="837" t="str">
        <f>IF(BZ45="","",SUM(BP44:BP48)-SUM(BZ44,BZ45))</f>
        <v/>
      </c>
    </row>
    <row r="47" spans="1:78" s="73" customFormat="1" ht="12.9" customHeight="1">
      <c r="A47" s="138"/>
      <c r="B47" s="711"/>
      <c r="D47" s="789"/>
      <c r="E47" s="996"/>
      <c r="F47" s="789"/>
      <c r="G47" s="789"/>
      <c r="H47" s="789"/>
      <c r="I47" s="1232" t="s">
        <v>686</v>
      </c>
      <c r="J47" s="1232"/>
      <c r="K47" s="1232"/>
      <c r="L47" s="1232"/>
      <c r="M47" s="810"/>
      <c r="N47" s="1232" t="s">
        <v>687</v>
      </c>
      <c r="O47" s="1232"/>
      <c r="P47" s="1232"/>
      <c r="Q47" s="1232"/>
      <c r="R47" s="1241" t="s">
        <v>958</v>
      </c>
      <c r="S47" s="1241"/>
      <c r="T47" s="1241"/>
      <c r="U47" s="1241"/>
      <c r="V47" s="1241"/>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1022</v>
      </c>
      <c r="BP47" s="830">
        <f>BQ47-BQ46</f>
        <v>4.0544051080008483</v>
      </c>
      <c r="BQ47" s="855">
        <f t="shared" si="5"/>
        <v>9.3547080950130574</v>
      </c>
      <c r="BR47" s="833"/>
      <c r="BS47" s="833"/>
      <c r="BT47" s="833" t="s">
        <v>1022</v>
      </c>
      <c r="BU47" s="846">
        <v>9.3547080950130574</v>
      </c>
      <c r="BV47" s="834"/>
      <c r="BW47" s="839">
        <f t="shared" si="6"/>
        <v>35.411405569943376</v>
      </c>
      <c r="BX47" s="73" t="s">
        <v>1036</v>
      </c>
    </row>
    <row r="48" spans="1:78" s="73" customFormat="1" ht="15" customHeight="1">
      <c r="A48" s="138"/>
      <c r="B48" s="711"/>
      <c r="C48" s="318"/>
      <c r="D48" s="318"/>
      <c r="E48" s="998"/>
      <c r="F48" s="318"/>
      <c r="G48" s="318"/>
      <c r="H48" s="318"/>
      <c r="I48" s="1232" t="str">
        <f>BD7</f>
        <v/>
      </c>
      <c r="J48" s="1232"/>
      <c r="K48" s="1232"/>
      <c r="L48" s="1232"/>
      <c r="M48" s="810"/>
      <c r="N48" s="1232" t="s">
        <v>685</v>
      </c>
      <c r="O48" s="1232"/>
      <c r="P48" s="1232"/>
      <c r="Q48" s="1232"/>
      <c r="R48" s="1241"/>
      <c r="S48" s="1241"/>
      <c r="T48" s="1241"/>
      <c r="U48" s="1241"/>
      <c r="V48" s="1241"/>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1023</v>
      </c>
      <c r="BP48" s="830">
        <f>BQ48-BQ47</f>
        <v>6.9662911969492267</v>
      </c>
      <c r="BQ48" s="855">
        <f t="shared" si="5"/>
        <v>16.320999291962284</v>
      </c>
      <c r="BR48" s="833"/>
      <c r="BS48" s="833"/>
      <c r="BT48" s="833" t="s">
        <v>1023</v>
      </c>
      <c r="BU48" s="846">
        <v>16.320999291962284</v>
      </c>
      <c r="BV48" s="834"/>
      <c r="BW48" s="839">
        <f t="shared" si="6"/>
        <v>61.781673929786955</v>
      </c>
      <c r="BX48" s="73" t="s">
        <v>1038</v>
      </c>
    </row>
    <row r="49" spans="1:78" s="73" customFormat="1" ht="15" customHeight="1">
      <c r="A49" s="138"/>
      <c r="B49" s="711"/>
      <c r="C49" s="318"/>
      <c r="D49" s="318"/>
      <c r="E49" s="998"/>
      <c r="F49" s="318"/>
      <c r="G49" s="318"/>
      <c r="H49" s="288" t="s">
        <v>52</v>
      </c>
      <c r="I49" s="1229" t="str">
        <f>IF(ISBLANK('Start Page'!$AB$22),"",Worksheet!H46)</f>
        <v/>
      </c>
      <c r="J49" s="1229"/>
      <c r="K49" s="1229"/>
      <c r="L49" s="1229"/>
      <c r="M49" s="795"/>
      <c r="N49" s="1230" t="str">
        <f>IF(OR(ISBLANK('Start Page'!$AB$22),ISBLANK(Worksheet!J76)),"",(SUM(Worksheet!H43+Worksheet!H39+Worksheet!X50)*Worksheet!H76)*INDEX(Sheet1!B2:D4,MATCH('Start Page'!AB22,Sheet1!A2:A4,0),MATCH(Worksheet!J76,Sheet1!B1:D1,0))+Worksheet!Y50*Worksheet!H77)</f>
        <v/>
      </c>
      <c r="O49" s="1230"/>
      <c r="P49" s="1230"/>
      <c r="Q49" s="1230"/>
      <c r="R49" s="1231" t="s">
        <v>914</v>
      </c>
      <c r="S49" s="1231"/>
      <c r="T49" s="1231"/>
      <c r="U49" s="1231"/>
      <c r="V49" s="1231"/>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1037</v>
      </c>
    </row>
    <row r="50" spans="1:78" s="73" customFormat="1" ht="15" customHeight="1">
      <c r="A50" s="138"/>
      <c r="B50" s="711"/>
      <c r="C50" s="318"/>
      <c r="D50" s="318"/>
      <c r="E50" s="998"/>
      <c r="F50" s="318"/>
      <c r="G50" s="318"/>
      <c r="H50" s="288" t="s">
        <v>53</v>
      </c>
      <c r="I50" s="1229" t="str">
        <f>IF(ISBLANK('Start Page'!$AB$22),"",Worksheet!H51)</f>
        <v/>
      </c>
      <c r="J50" s="1229"/>
      <c r="K50" s="1229"/>
      <c r="L50" s="1229"/>
      <c r="M50" s="795"/>
      <c r="N50" s="1230" t="str">
        <f>IFERROR(IF(Worksheet!H41="Select under/over","",IF(ISBLANK('Start Page'!AB22),"",Worksheet!H51*(IF(BD29=FALSE,Worksheet!H77,IF(BD29=TRUE,Worksheet!H76*INDEX(Sheet1!B2:D4,MATCH('Start Page'!AB22,Sheet1!A2:A4,0),MATCH(Worksheet!J76,Sheet1!B1:D1,0)),""))))),"")</f>
        <v/>
      </c>
      <c r="O50" s="1230"/>
      <c r="P50" s="1230"/>
      <c r="Q50" s="1230"/>
      <c r="R50" s="1231" t="str">
        <f>IF(BD29=FALSE,"VPC",R49)</f>
        <v>VPC</v>
      </c>
      <c r="S50" s="1231"/>
      <c r="T50" s="1231"/>
      <c r="U50" s="1231"/>
      <c r="V50" s="1231"/>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1046</v>
      </c>
    </row>
    <row r="51" spans="1:78" s="73" customFormat="1" ht="15" customHeight="1">
      <c r="A51" s="138"/>
      <c r="B51" s="711"/>
      <c r="C51" s="318"/>
      <c r="D51" s="318"/>
      <c r="E51" s="998"/>
      <c r="F51" s="318"/>
      <c r="G51" s="318"/>
      <c r="H51" s="288" t="s">
        <v>1261</v>
      </c>
      <c r="I51" s="1229" t="str">
        <f>IF(ISBLANK('Start Page'!$AB$22),"",SUM(Worksheet!H25:H26))</f>
        <v/>
      </c>
      <c r="J51" s="1229"/>
      <c r="K51" s="1229"/>
      <c r="L51" s="1229"/>
      <c r="M51" s="795"/>
      <c r="N51" s="1230" t="str">
        <f>IFERROR(IF(SUM(Sheet1!D90:D91)=0,"",SUM(Sheet1!D90:D91)),"")</f>
        <v/>
      </c>
      <c r="O51" s="1230"/>
      <c r="P51" s="1230"/>
      <c r="Q51" s="1230"/>
      <c r="R51" s="1231" t="str">
        <f>IF(BD29=FALSE,"VPC",R49)</f>
        <v>VPC</v>
      </c>
      <c r="S51" s="1231"/>
      <c r="T51" s="1231"/>
      <c r="U51" s="1231"/>
      <c r="V51" s="1231"/>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684</v>
      </c>
      <c r="I52" s="1229" t="str">
        <f>IF(SUM(I49:I51)=0,"",SUM(I49:I51))</f>
        <v/>
      </c>
      <c r="J52" s="1229"/>
      <c r="K52" s="1229"/>
      <c r="L52" s="1229"/>
      <c r="M52" s="795"/>
      <c r="N52" s="1230" t="str">
        <f>IF(SUM(N49:N51)=0,"",SUM(N49:N51))</f>
        <v/>
      </c>
      <c r="O52" s="1230"/>
      <c r="P52" s="1230"/>
      <c r="Q52" s="1230"/>
      <c r="R52" s="1228" t="str">
        <f>IF(BD29=FALSE,"Blended",R49)</f>
        <v>Blended</v>
      </c>
      <c r="S52" s="1228"/>
      <c r="T52" s="1228"/>
      <c r="U52" s="1228"/>
      <c r="V52" s="1228"/>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1042</v>
      </c>
      <c r="BQ53" s="854" t="s">
        <v>1045</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1196</v>
      </c>
      <c r="BP55" s="832"/>
      <c r="BQ55" s="832"/>
      <c r="BR55" s="817" t="s">
        <v>1049</v>
      </c>
      <c r="BS55" s="849" t="str">
        <f>IF($BO$2&gt;0,"",IF(Worksheet!H51="","",IF(ISERROR(1/Worksheet!H62),"",IF('Start Page'!$AB$22="Megalitres (thousand cubic metres)",Worksheet!H51*1000000/365/Worksheet!H62,IF('Start Page'!$AB$22="Million gallons (US)",Worksheet!H51*1000000,Worksheet!H51*325851)/365/Worksheet!H62))))</f>
        <v/>
      </c>
      <c r="BT55" s="833"/>
      <c r="BU55" s="945" t="s">
        <v>1045</v>
      </c>
      <c r="BV55" s="834"/>
      <c r="BW55" s="834"/>
      <c r="BX55" s="773"/>
      <c r="BY55" s="73" t="s">
        <v>1160</v>
      </c>
      <c r="BZ55" s="73" t="str">
        <f>IF(OR(Worksheet!S91=0,Worksheet!S91="",BO2&gt;0),"",Worksheet!S91)</f>
        <v/>
      </c>
    </row>
    <row r="56" spans="1:78" ht="12.9"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1044</v>
      </c>
      <c r="BO56" s="833" t="s">
        <v>1043</v>
      </c>
      <c r="BP56" s="834">
        <f>SUM(BP57:BP60)</f>
        <v>115.43298001472428</v>
      </c>
      <c r="BQ56" s="855">
        <f>IF($BD$7="ML/Yr",BW56,BU56)</f>
        <v>16.277522142556361</v>
      </c>
      <c r="BR56" s="817" t="s">
        <v>1048</v>
      </c>
      <c r="BS56" s="857" t="str">
        <f>IF(BS55="","",IF(BS55&lt;BQ56,0,IF(BS55&gt;BQ60,BQ60,BS55)))</f>
        <v/>
      </c>
      <c r="BT56" s="833" t="s">
        <v>1043</v>
      </c>
      <c r="BU56" s="845">
        <v>16.277522142556361</v>
      </c>
      <c r="BV56" s="834"/>
      <c r="BW56" s="839">
        <f t="shared" ref="BW56:BW60" si="7">BU56*3.78541</f>
        <v>61.617095093654278</v>
      </c>
      <c r="BX56" s="773"/>
      <c r="BY56" s="73" t="s">
        <v>1161</v>
      </c>
      <c r="BZ56" s="73" t="str">
        <f>IF(BZ55="","",IF(BZ55&lt;BQ56,0,IF(BZ55&gt;BQ60,BQ60,BZ55)))</f>
        <v/>
      </c>
    </row>
    <row r="57" spans="1:78" ht="12.9"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1021</v>
      </c>
      <c r="BP57" s="830">
        <f>BQ57</f>
        <v>22.721688432860574</v>
      </c>
      <c r="BQ57" s="855">
        <f t="shared" ref="BQ57:BQ60" si="8">IF($BD$7="ML/Yr",BW57,BU57)</f>
        <v>22.721688432860574</v>
      </c>
      <c r="BR57" s="833" t="s">
        <v>1047</v>
      </c>
      <c r="BS57" s="837">
        <f>SUM(BP56:BP60)/125</f>
        <v>1.8469276802355887</v>
      </c>
      <c r="BT57" s="833" t="s">
        <v>1021</v>
      </c>
      <c r="BU57" s="845">
        <v>22.721688432860574</v>
      </c>
      <c r="BV57" s="834"/>
      <c r="BW57" s="839">
        <f t="shared" si="7"/>
        <v>86.010906610634748</v>
      </c>
      <c r="BX57" s="73" t="s">
        <v>1029</v>
      </c>
      <c r="BY57" s="833" t="s">
        <v>1047</v>
      </c>
      <c r="BZ57" s="837" t="str">
        <f>IF(BZ56="","",SUM(BP56:BP60)/250)</f>
        <v/>
      </c>
    </row>
    <row r="58" spans="1:78" ht="12.9"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1041</v>
      </c>
      <c r="BP58" s="830">
        <f>BQ58-BQ57</f>
        <v>14.053484230273789</v>
      </c>
      <c r="BQ58" s="855">
        <f t="shared" si="8"/>
        <v>36.775172663134363</v>
      </c>
      <c r="BR58" s="833" t="s">
        <v>781</v>
      </c>
      <c r="BS58" s="837">
        <f>SUM(BP56:BP60)-SUM(BS56,BS57)</f>
        <v>229.01903234921301</v>
      </c>
      <c r="BT58" s="833" t="s">
        <v>1041</v>
      </c>
      <c r="BU58" s="845">
        <v>36.775172663134363</v>
      </c>
      <c r="BV58" s="834"/>
      <c r="BW58" s="839">
        <f t="shared" si="7"/>
        <v>139.20910635075546</v>
      </c>
      <c r="BX58" s="73" t="s">
        <v>1035</v>
      </c>
      <c r="BY58" s="833" t="s">
        <v>781</v>
      </c>
      <c r="BZ58" s="837" t="str">
        <f>IF(BZ57="","",SUM(BP56:BP60)-SUM(BZ56,BZ57))</f>
        <v/>
      </c>
    </row>
    <row r="59" spans="1:78" ht="12.9"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1022</v>
      </c>
      <c r="BP59" s="830">
        <f>BQ59-BQ58</f>
        <v>29.603369869319486</v>
      </c>
      <c r="BQ59" s="855">
        <f t="shared" si="8"/>
        <v>66.378542532453849</v>
      </c>
      <c r="BR59" s="833"/>
      <c r="BS59" s="833"/>
      <c r="BT59" s="833" t="s">
        <v>1022</v>
      </c>
      <c r="BU59" s="845">
        <v>66.378542532453849</v>
      </c>
      <c r="BV59" s="834"/>
      <c r="BW59" s="839">
        <f t="shared" si="7"/>
        <v>251.26999868777614</v>
      </c>
      <c r="BX59" s="73" t="s">
        <v>1036</v>
      </c>
    </row>
    <row r="60" spans="1:78" ht="12.9"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1023</v>
      </c>
      <c r="BP60" s="830">
        <f>BQ60-BQ59</f>
        <v>49.05443748227043</v>
      </c>
      <c r="BQ60" s="855">
        <f t="shared" si="8"/>
        <v>115.43298001472428</v>
      </c>
      <c r="BR60" s="833"/>
      <c r="BS60" s="833"/>
      <c r="BT60" s="833" t="s">
        <v>1023</v>
      </c>
      <c r="BU60" s="845">
        <v>115.43298001472428</v>
      </c>
      <c r="BV60" s="834"/>
      <c r="BW60" s="839">
        <f t="shared" si="7"/>
        <v>436.96115687753746</v>
      </c>
      <c r="BX60" s="73" t="s">
        <v>1038</v>
      </c>
    </row>
    <row r="61" spans="1:78" ht="12.9"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1042</v>
      </c>
      <c r="BQ61" s="854" t="s">
        <v>1045</v>
      </c>
      <c r="BR61" s="814"/>
      <c r="BS61" s="814"/>
      <c r="BT61" s="814"/>
      <c r="BU61" s="836"/>
      <c r="BV61" s="834"/>
      <c r="BW61" s="836"/>
      <c r="BX61" s="843" t="s">
        <v>1037</v>
      </c>
    </row>
    <row r="62" spans="1:78" ht="12.9"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1027</v>
      </c>
      <c r="BP62" s="832"/>
      <c r="BQ62" s="832"/>
      <c r="BR62" s="817" t="s">
        <v>1049</v>
      </c>
      <c r="BS62" s="849" t="str">
        <f>IF($BO$2&gt;0,"",IFERROR(IF(ISERROR(1/AK43),"",I50/AK43),""))</f>
        <v/>
      </c>
      <c r="BT62" s="814"/>
      <c r="BU62" s="945" t="s">
        <v>1045</v>
      </c>
      <c r="BV62" s="836"/>
      <c r="BW62" s="836"/>
      <c r="BX62" s="855" t="s">
        <v>1046</v>
      </c>
      <c r="BY62" s="73"/>
      <c r="BZ62" s="73"/>
    </row>
    <row r="63" spans="1:78" ht="15.6">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1044</v>
      </c>
      <c r="BO63" s="833" t="s">
        <v>1043</v>
      </c>
      <c r="BP63" s="834">
        <f>SUM(BP64:BP67)</f>
        <v>5.6785169995812712</v>
      </c>
      <c r="BQ63" s="834">
        <f>BU63</f>
        <v>0.88524096981003719</v>
      </c>
      <c r="BR63" s="817" t="s">
        <v>1048</v>
      </c>
      <c r="BS63" s="857" t="str">
        <f>IF(BS62="","",IF(BS62&lt;BQ63,0,IF(BS62&gt;BQ67,BQ67,BS62)))</f>
        <v/>
      </c>
      <c r="BT63" s="833" t="s">
        <v>1043</v>
      </c>
      <c r="BU63" s="845">
        <v>0.88524096981003719</v>
      </c>
      <c r="BV63" s="836"/>
      <c r="BW63" s="836"/>
      <c r="BX63" s="773"/>
      <c r="BY63" s="73"/>
      <c r="BZ63" s="73"/>
    </row>
    <row r="64" spans="1:78" ht="15.6">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1021</v>
      </c>
      <c r="BP64" s="834">
        <f>BQ64</f>
        <v>1.1802115431372406</v>
      </c>
      <c r="BQ64" s="834">
        <f t="shared" ref="BQ64:BQ67" si="9">BU64</f>
        <v>1.1802115431372406</v>
      </c>
      <c r="BR64" s="833" t="s">
        <v>1047</v>
      </c>
      <c r="BS64" s="837">
        <f>SUM(BP63:BP67)/125</f>
        <v>9.0856271993300333E-2</v>
      </c>
      <c r="BT64" s="833" t="s">
        <v>1021</v>
      </c>
      <c r="BU64" s="845">
        <v>1.1802115431372406</v>
      </c>
      <c r="BV64" s="836"/>
      <c r="BW64" s="836"/>
      <c r="BX64" s="78" t="s">
        <v>1031</v>
      </c>
      <c r="BY64" s="833"/>
      <c r="BZ64" s="837"/>
    </row>
    <row r="65" spans="1:78" ht="15.6">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1041</v>
      </c>
      <c r="BP65" s="834">
        <f>BQ65-BQ64</f>
        <v>0.66786196495481698</v>
      </c>
      <c r="BQ65" s="834">
        <f t="shared" si="9"/>
        <v>1.8480735080920576</v>
      </c>
      <c r="BR65" s="833" t="s">
        <v>781</v>
      </c>
      <c r="BS65" s="837">
        <f>SUM(BP63:BP67)-SUM(BS63,BS64)</f>
        <v>11.266177727169243</v>
      </c>
      <c r="BT65" s="833" t="s">
        <v>1041</v>
      </c>
      <c r="BU65" s="845">
        <v>1.8480735080920576</v>
      </c>
      <c r="BV65" s="836"/>
      <c r="BW65" s="836"/>
      <c r="BY65" s="833"/>
      <c r="BZ65" s="837"/>
    </row>
    <row r="66" spans="1:78" ht="15.6">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1022</v>
      </c>
      <c r="BP66" s="834">
        <f>BQ66-BQ65</f>
        <v>1.3196245561942783</v>
      </c>
      <c r="BQ66" s="834">
        <f t="shared" si="9"/>
        <v>3.1676980642863359</v>
      </c>
      <c r="BR66" s="833"/>
      <c r="BS66" s="833"/>
      <c r="BT66" s="833" t="s">
        <v>1022</v>
      </c>
      <c r="BU66" s="845">
        <v>3.1676980642863359</v>
      </c>
      <c r="BV66" s="836"/>
      <c r="BW66" s="836"/>
    </row>
    <row r="67" spans="1:78" ht="15.6">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1023</v>
      </c>
      <c r="BP67" s="834">
        <f>BQ67-BQ66</f>
        <v>2.5108189352949353</v>
      </c>
      <c r="BQ67" s="834">
        <f t="shared" si="9"/>
        <v>5.6785169995812712</v>
      </c>
      <c r="BR67" s="833"/>
      <c r="BS67" s="833"/>
      <c r="BT67" s="833" t="s">
        <v>1023</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1042</v>
      </c>
      <c r="BQ68" s="854" t="s">
        <v>1045</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1197</v>
      </c>
      <c r="BP69" s="832"/>
      <c r="BQ69" s="832"/>
      <c r="BR69" s="817" t="s">
        <v>1049</v>
      </c>
      <c r="BS69" s="850" t="str">
        <f>IF($BO$2&gt;0,"",IF(Worksheet!H51="","",IF(ISERROR(1/Worksheet!H61),"",IF('Start Page'!$AB$22="Acre-feet",Worksheet!H51*325851/1000000,Worksheet!H51)*1000000/365/Worksheet!H61)))</f>
        <v/>
      </c>
      <c r="BT69" s="814"/>
      <c r="BU69" s="945" t="s">
        <v>1045</v>
      </c>
      <c r="BV69" s="836"/>
      <c r="BW69" s="836"/>
      <c r="BX69" s="773"/>
      <c r="BY69" s="73" t="s">
        <v>1160</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1044</v>
      </c>
      <c r="BO70" s="833" t="s">
        <v>1043</v>
      </c>
      <c r="BP70" s="842">
        <f>SUM(BP71:BP74)</f>
        <v>6074.127474647431</v>
      </c>
      <c r="BQ70" s="855">
        <f>IF($BD$7="ML/Yr",BW70,BU70)</f>
        <v>879.72156275907298</v>
      </c>
      <c r="BR70" s="817" t="s">
        <v>1048</v>
      </c>
      <c r="BS70" s="858" t="str">
        <f>IF(BS69="","",IF(BS69&lt;BQ70,0,IF(BS69&gt;BQ74,BQ74,BS69)))</f>
        <v/>
      </c>
      <c r="BT70" s="833" t="s">
        <v>1043</v>
      </c>
      <c r="BU70" s="844">
        <v>879.72156275907298</v>
      </c>
      <c r="BV70" s="836"/>
      <c r="BW70" s="840">
        <f>BU70*3.78541/1.60934</f>
        <v>2069.2375762013139</v>
      </c>
      <c r="BX70" s="773"/>
      <c r="BY70" s="73" t="s">
        <v>1161</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1021</v>
      </c>
      <c r="BP71" s="858">
        <f>BQ71</f>
        <v>1289.3731309804823</v>
      </c>
      <c r="BQ71" s="855">
        <f t="shared" ref="BQ71:BQ74" si="10">IF($BD$7="ML/Yr",BW71,BU71)</f>
        <v>1289.3731309804823</v>
      </c>
      <c r="BR71" s="833" t="s">
        <v>1047</v>
      </c>
      <c r="BS71" s="837">
        <f>SUM(BP70:BP74)/125</f>
        <v>97.186039594358903</v>
      </c>
      <c r="BT71" s="833" t="s">
        <v>1021</v>
      </c>
      <c r="BU71" s="844">
        <v>1289.3731309804823</v>
      </c>
      <c r="BV71" s="836"/>
      <c r="BW71" s="840">
        <f>BU71*3.78541/1.60934</f>
        <v>3032.799746321366</v>
      </c>
      <c r="BX71" s="73" t="s">
        <v>1032</v>
      </c>
      <c r="BY71" s="833" t="s">
        <v>1047</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1041</v>
      </c>
      <c r="BP72" s="858">
        <f>BQ72-BQ71</f>
        <v>759.55275547112319</v>
      </c>
      <c r="BQ72" s="855">
        <f t="shared" si="10"/>
        <v>2048.9258864516055</v>
      </c>
      <c r="BR72" s="833" t="s">
        <v>781</v>
      </c>
      <c r="BS72" s="842">
        <f>SUM(BP70:BP74)-SUM(BS70,BS71)</f>
        <v>12051.068909700503</v>
      </c>
      <c r="BT72" s="833" t="s">
        <v>1041</v>
      </c>
      <c r="BU72" s="844">
        <v>2048.9258864516055</v>
      </c>
      <c r="BV72" s="836"/>
      <c r="BW72" s="840">
        <f t="shared" ref="BW72:BW74" si="11">BU72*3.78541/1.60934</f>
        <v>4819.3821938389483</v>
      </c>
      <c r="BX72" s="73" t="s">
        <v>1035</v>
      </c>
      <c r="BY72" s="833" t="s">
        <v>781</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1022</v>
      </c>
      <c r="BP73" s="858">
        <f>BQ73-BQ72</f>
        <v>1590.6845140948462</v>
      </c>
      <c r="BQ73" s="855">
        <f t="shared" si="10"/>
        <v>3639.6104005464517</v>
      </c>
      <c r="BR73" s="833"/>
      <c r="BS73" s="833"/>
      <c r="BT73" s="833" t="s">
        <v>1022</v>
      </c>
      <c r="BU73" s="844">
        <v>3639.6104005464517</v>
      </c>
      <c r="BV73" s="836"/>
      <c r="BW73" s="840">
        <f t="shared" si="11"/>
        <v>8560.9116820140825</v>
      </c>
      <c r="BX73" s="73" t="s">
        <v>1036</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1023</v>
      </c>
      <c r="BP74" s="858">
        <f>BQ74-BQ73</f>
        <v>2434.5170741009792</v>
      </c>
      <c r="BQ74" s="855">
        <f t="shared" si="10"/>
        <v>6074.127474647431</v>
      </c>
      <c r="BR74" s="833"/>
      <c r="BS74" s="833"/>
      <c r="BT74" s="833" t="s">
        <v>1023</v>
      </c>
      <c r="BU74" s="844">
        <v>6074.127474647431</v>
      </c>
      <c r="BV74" s="836"/>
      <c r="BW74" s="840">
        <f t="shared" si="11"/>
        <v>14287.262408071094</v>
      </c>
      <c r="BX74" s="78" t="s">
        <v>1039</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1040</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1042</v>
      </c>
      <c r="BQ76" s="854" t="s">
        <v>1045</v>
      </c>
      <c r="BR76" s="814"/>
      <c r="BS76" s="814"/>
      <c r="BT76" s="814"/>
      <c r="BU76" s="836"/>
      <c r="BV76" s="836"/>
      <c r="BW76" s="836"/>
      <c r="BX76" s="855" t="s">
        <v>1046</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1227</v>
      </c>
      <c r="BP77" s="832"/>
      <c r="BT77" s="814"/>
      <c r="BU77" s="945" t="s">
        <v>1045</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1044</v>
      </c>
      <c r="BO78" s="833" t="s">
        <v>1043</v>
      </c>
      <c r="BP78" s="842">
        <v>0</v>
      </c>
      <c r="BQ78" s="1063">
        <f>IF($BD$7="ML/Yr",BW78,BU78)</f>
        <v>52.334191473572488</v>
      </c>
      <c r="BS78" s="858"/>
      <c r="BT78" s="833" t="s">
        <v>1043</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1021</v>
      </c>
      <c r="BP79" s="858">
        <f>BQ79-BQ78</f>
        <v>7.6622700288460379</v>
      </c>
      <c r="BQ79" s="1063">
        <f>IF($BD$7="ML/Yr",BW79,BU79)</f>
        <v>59.996461502418526</v>
      </c>
      <c r="BS79" s="837"/>
      <c r="BT79" s="833" t="s">
        <v>1021</v>
      </c>
      <c r="BU79" s="844">
        <v>59.996461502418526</v>
      </c>
      <c r="BV79" s="836"/>
      <c r="BW79" s="840">
        <f t="shared" ref="BW79:BW82" si="12">BU79*0.70324961490205</f>
        <v>42.192488447061493</v>
      </c>
      <c r="BX79" s="78" t="s">
        <v>1224</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1041</v>
      </c>
      <c r="BP80" s="858">
        <f>BQ80-BQ79</f>
        <v>10.003538497581474</v>
      </c>
      <c r="BQ80" s="1063">
        <f>IF($BD$7="ML/Yr",BW80,BU80)</f>
        <v>70</v>
      </c>
      <c r="BS80" s="842"/>
      <c r="BT80" s="833" t="s">
        <v>1041</v>
      </c>
      <c r="BU80" s="844">
        <v>70</v>
      </c>
      <c r="BV80" s="836"/>
      <c r="BW80" s="840">
        <f t="shared" si="12"/>
        <v>49.227473043143497</v>
      </c>
      <c r="BX80" s="73" t="s">
        <v>1036</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1022</v>
      </c>
      <c r="BP81" s="858">
        <f>BQ81-BQ80</f>
        <v>11.988291197308087</v>
      </c>
      <c r="BQ81" s="1063">
        <f>IF($BD$7="ML/Yr",BW81,BU81)</f>
        <v>81.988291197308087</v>
      </c>
      <c r="BS81" s="833"/>
      <c r="BT81" s="833" t="s">
        <v>1022</v>
      </c>
      <c r="BU81" s="844">
        <v>81.988291197308087</v>
      </c>
      <c r="BV81" s="836"/>
      <c r="BW81" s="840">
        <f t="shared" si="12"/>
        <v>57.658234210984041</v>
      </c>
      <c r="BX81" s="73" t="s">
        <v>1225</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1023</v>
      </c>
      <c r="BP82" s="858">
        <f>BQ82-BQ81</f>
        <v>15.011708802691913</v>
      </c>
      <c r="BQ82" s="1063">
        <f>IF($BD$7="ML/Yr",BW82,BU82)</f>
        <v>97</v>
      </c>
      <c r="BS82" s="833"/>
      <c r="BT82" s="833" t="s">
        <v>1023</v>
      </c>
      <c r="BU82" s="844">
        <v>97</v>
      </c>
      <c r="BV82" s="836"/>
      <c r="BW82" s="840">
        <f t="shared" si="12"/>
        <v>68.215212645498852</v>
      </c>
      <c r="BX82" s="843" t="s">
        <v>1226</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917</v>
      </c>
      <c r="BP83" s="858">
        <f>input_AOP-BQ78</f>
        <v>-52.334191473572488</v>
      </c>
      <c r="BQ83" s="850">
        <f>BP83+BQ78</f>
        <v>0</v>
      </c>
      <c r="BX83" s="855" t="s">
        <v>1046</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row r="143" spans="1:55" ht="0" hidden="1" customHeight="1"/>
    <row r="144" spans="1:55" ht="0" hidden="1" customHeight="1"/>
    <row r="145" ht="0" hidden="1" customHeight="1"/>
    <row r="146" ht="0" hidden="1" customHeight="1"/>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39" activePane="bottomLeft" state="frozen"/>
      <selection activeCell="F138" sqref="F138"/>
      <selection pane="bottomLeft" activeCell="G52" sqref="G52:G54"/>
    </sheetView>
  </sheetViews>
  <sheetFormatPr defaultColWidth="0" defaultRowHeight="13.2"/>
  <cols>
    <col min="1" max="1" width="1.109375" style="64" customWidth="1"/>
    <col min="2" max="2" width="8.88671875" style="980" customWidth="1"/>
    <col min="3" max="3" width="1.5546875" style="64" customWidth="1"/>
    <col min="4" max="4" width="7.109375" style="980" customWidth="1"/>
    <col min="5" max="5" width="1.44140625" style="64" customWidth="1"/>
    <col min="6" max="6" width="16.6640625" style="64" customWidth="1"/>
    <col min="7" max="8" width="66" style="64" customWidth="1"/>
    <col min="9" max="9" width="1.5546875" style="64" customWidth="1"/>
    <col min="10" max="16384" width="0" style="64" hidden="1"/>
  </cols>
  <sheetData>
    <row r="1" spans="2:21" ht="7.35" customHeight="1"/>
    <row r="2" spans="2:21" s="65" customFormat="1" ht="42" customHeight="1">
      <c r="B2" s="1271" t="s">
        <v>885</v>
      </c>
      <c r="C2" s="1271"/>
      <c r="D2" s="1271"/>
      <c r="E2" s="1271"/>
      <c r="F2" s="1271"/>
      <c r="G2" s="1271"/>
      <c r="H2" s="1271"/>
    </row>
    <row r="3" spans="2:21" ht="6.6" customHeight="1">
      <c r="F3" s="720"/>
      <c r="G3" s="720"/>
      <c r="H3" s="720"/>
    </row>
    <row r="4" spans="2:21" ht="13.35" customHeight="1">
      <c r="F4" s="323" t="s">
        <v>66</v>
      </c>
      <c r="G4" s="1039" t="str">
        <f>IF(ISBLANK('Start Page'!AB9),"&lt;&lt; Please enter system details on the Start Page &gt;&gt;",'Start Page'!AB9&amp;IF(ISBLANK('Start Page'!AM28),"","  ("&amp;'Start Page'!AM28&amp;")"))</f>
        <v>&lt;&lt; Please enter system details on the Start Page &gt;&gt;</v>
      </c>
      <c r="H4" s="1040" t="str">
        <f>IF(ISBLANK('Start Page'!AB19),"",'Start Page'!AB19)</f>
        <v/>
      </c>
    </row>
    <row r="5" spans="2:21" ht="13.35" customHeight="1">
      <c r="F5" s="323" t="s">
        <v>716</v>
      </c>
      <c r="G5" s="1040" t="str">
        <f>IF(ISBLANK('Start Page'!AB18),"",'Start Page'!AB18)</f>
        <v/>
      </c>
      <c r="H5" s="1040" t="str">
        <f>IF(ISBLANK('Start Page'!AB20),"",TEXT('Start Page'!AB20,"mmm dd yyyy")&amp;" - "&amp;TEXT('Start Page'!AB21,"mmm dd yyyy"))</f>
        <v/>
      </c>
    </row>
    <row r="6" spans="2:21" ht="7.35" customHeight="1">
      <c r="F6" s="721"/>
      <c r="G6" s="721"/>
      <c r="H6" s="721"/>
    </row>
    <row r="7" spans="2:21" ht="56.4" customHeight="1">
      <c r="F7" s="605" t="s">
        <v>886</v>
      </c>
      <c r="G7" s="1270"/>
      <c r="H7" s="1270"/>
    </row>
    <row r="8" spans="2:21" ht="5.4" customHeight="1">
      <c r="F8" s="419"/>
      <c r="G8" s="419"/>
      <c r="H8" s="604"/>
    </row>
    <row r="9" spans="2:21" ht="16.350000000000001" customHeight="1">
      <c r="F9" s="606" t="s">
        <v>141</v>
      </c>
      <c r="G9" s="606" t="s">
        <v>887</v>
      </c>
      <c r="H9" s="606" t="s">
        <v>888</v>
      </c>
    </row>
    <row r="10" spans="2:21" ht="28.95" customHeight="1">
      <c r="B10" s="987"/>
      <c r="C10" s="988"/>
      <c r="D10" s="987"/>
      <c r="F10" s="1264" t="s">
        <v>1139</v>
      </c>
      <c r="G10" s="1267"/>
      <c r="H10" s="1267"/>
    </row>
    <row r="11" spans="2:21" ht="28.95" customHeight="1">
      <c r="B11" s="989" t="s">
        <v>1156</v>
      </c>
      <c r="C11" s="988"/>
      <c r="D11" s="989" t="s">
        <v>1157</v>
      </c>
      <c r="F11" s="1265"/>
      <c r="G11" s="1268"/>
      <c r="H11" s="1268"/>
      <c r="J11" s="420"/>
      <c r="K11" s="420"/>
      <c r="L11" s="420"/>
      <c r="M11" s="420"/>
      <c r="N11" s="420"/>
      <c r="O11" s="420"/>
      <c r="P11" s="420"/>
      <c r="Q11" s="420"/>
      <c r="R11" s="420"/>
      <c r="S11" s="420"/>
      <c r="T11" s="420"/>
      <c r="U11" s="421"/>
    </row>
    <row r="12" spans="2:21" ht="28.95" customHeight="1">
      <c r="B12" s="987"/>
      <c r="C12" s="988"/>
      <c r="D12" s="987"/>
      <c r="F12" s="1266"/>
      <c r="G12" s="1269"/>
      <c r="H12" s="1269"/>
      <c r="J12" s="979"/>
      <c r="K12" s="979"/>
      <c r="L12" s="979"/>
      <c r="M12" s="979"/>
      <c r="N12" s="979"/>
      <c r="O12" s="979"/>
      <c r="P12" s="979"/>
      <c r="Q12" s="979"/>
      <c r="R12" s="979"/>
      <c r="S12" s="979"/>
      <c r="T12" s="979"/>
      <c r="U12" s="979"/>
    </row>
    <row r="13" spans="2:21" ht="28.95" customHeight="1">
      <c r="B13" s="987"/>
      <c r="C13" s="988"/>
      <c r="D13" s="987"/>
      <c r="F13" s="1264" t="s">
        <v>1140</v>
      </c>
      <c r="G13" s="1267"/>
      <c r="H13" s="1267"/>
      <c r="J13" s="979"/>
      <c r="K13" s="979"/>
      <c r="L13" s="979"/>
      <c r="M13" s="979"/>
      <c r="N13" s="979"/>
      <c r="O13" s="979"/>
      <c r="P13" s="979"/>
      <c r="Q13" s="979"/>
      <c r="R13" s="979"/>
      <c r="S13" s="979"/>
      <c r="T13" s="979"/>
      <c r="U13" s="979"/>
    </row>
    <row r="14" spans="2:21" ht="28.95" customHeight="1">
      <c r="B14" s="989" t="s">
        <v>1156</v>
      </c>
      <c r="C14" s="988"/>
      <c r="D14" s="989" t="s">
        <v>1157</v>
      </c>
      <c r="F14" s="1265"/>
      <c r="G14" s="1268"/>
      <c r="H14" s="1268"/>
    </row>
    <row r="15" spans="2:21" ht="28.95" customHeight="1">
      <c r="B15" s="990"/>
      <c r="C15" s="988"/>
      <c r="D15" s="990"/>
      <c r="F15" s="1266"/>
      <c r="G15" s="1269"/>
      <c r="H15" s="1269"/>
    </row>
    <row r="16" spans="2:21" ht="28.95" customHeight="1">
      <c r="B16" s="987"/>
      <c r="C16" s="988"/>
      <c r="D16" s="987"/>
      <c r="F16" s="1264" t="s">
        <v>1141</v>
      </c>
      <c r="G16" s="1261"/>
      <c r="H16" s="1261"/>
    </row>
    <row r="17" spans="2:8" ht="28.95" customHeight="1">
      <c r="B17" s="989" t="s">
        <v>1156</v>
      </c>
      <c r="C17" s="988"/>
      <c r="D17" s="989" t="s">
        <v>1157</v>
      </c>
      <c r="F17" s="1265"/>
      <c r="G17" s="1262"/>
      <c r="H17" s="1262"/>
    </row>
    <row r="18" spans="2:8" ht="28.95" customHeight="1">
      <c r="B18" s="987"/>
      <c r="C18" s="988"/>
      <c r="D18" s="987"/>
      <c r="F18" s="1266"/>
      <c r="G18" s="1263"/>
      <c r="H18" s="1263"/>
    </row>
    <row r="19" spans="2:8" ht="28.95" customHeight="1">
      <c r="B19" s="987"/>
      <c r="C19" s="988"/>
      <c r="D19" s="987"/>
      <c r="F19" s="1264" t="s">
        <v>1142</v>
      </c>
      <c r="G19" s="1261"/>
      <c r="H19" s="1261"/>
    </row>
    <row r="20" spans="2:8" ht="28.95" customHeight="1">
      <c r="B20" s="989" t="s">
        <v>1156</v>
      </c>
      <c r="C20" s="988"/>
      <c r="D20" s="989" t="s">
        <v>1157</v>
      </c>
      <c r="F20" s="1265"/>
      <c r="G20" s="1262"/>
      <c r="H20" s="1262"/>
    </row>
    <row r="21" spans="2:8" ht="28.95" customHeight="1">
      <c r="B21" s="987"/>
      <c r="C21" s="988"/>
      <c r="D21" s="987"/>
      <c r="F21" s="1266"/>
      <c r="G21" s="1263"/>
      <c r="H21" s="1263"/>
    </row>
    <row r="22" spans="2:8" ht="28.95" customHeight="1">
      <c r="B22" s="987"/>
      <c r="C22" s="988"/>
      <c r="D22" s="987"/>
      <c r="F22" s="1264" t="s">
        <v>1133</v>
      </c>
      <c r="G22" s="1261"/>
      <c r="H22" s="1261"/>
    </row>
    <row r="23" spans="2:8" ht="28.95" customHeight="1">
      <c r="B23" s="989" t="s">
        <v>1156</v>
      </c>
      <c r="C23" s="988"/>
      <c r="D23" s="989" t="s">
        <v>1157</v>
      </c>
      <c r="F23" s="1265"/>
      <c r="G23" s="1262"/>
      <c r="H23" s="1262"/>
    </row>
    <row r="24" spans="2:8" ht="28.95" customHeight="1">
      <c r="B24" s="987"/>
      <c r="C24" s="988"/>
      <c r="D24" s="987"/>
      <c r="F24" s="1266"/>
      <c r="G24" s="1263"/>
      <c r="H24" s="1263"/>
    </row>
    <row r="25" spans="2:8" ht="28.95" customHeight="1">
      <c r="B25" s="987"/>
      <c r="C25" s="988"/>
      <c r="D25" s="987"/>
      <c r="F25" s="1264" t="s">
        <v>1143</v>
      </c>
      <c r="G25" s="1258"/>
      <c r="H25" s="1258"/>
    </row>
    <row r="26" spans="2:8" ht="28.95" customHeight="1">
      <c r="B26" s="989" t="s">
        <v>1156</v>
      </c>
      <c r="C26" s="988"/>
      <c r="D26" s="989" t="s">
        <v>1157</v>
      </c>
      <c r="F26" s="1265"/>
      <c r="G26" s="1259"/>
      <c r="H26" s="1259"/>
    </row>
    <row r="27" spans="2:8" ht="28.95" customHeight="1">
      <c r="B27" s="987"/>
      <c r="C27" s="988"/>
      <c r="D27" s="987"/>
      <c r="F27" s="1266"/>
      <c r="G27" s="1260"/>
      <c r="H27" s="1260"/>
    </row>
    <row r="28" spans="2:8" ht="28.95" customHeight="1">
      <c r="B28" s="987"/>
      <c r="C28" s="988"/>
      <c r="D28" s="987"/>
      <c r="F28" s="1264" t="s">
        <v>1144</v>
      </c>
      <c r="G28" s="1261"/>
      <c r="H28" s="1261"/>
    </row>
    <row r="29" spans="2:8" ht="28.95" customHeight="1">
      <c r="B29" s="989" t="s">
        <v>1156</v>
      </c>
      <c r="C29" s="988"/>
      <c r="D29" s="989" t="s">
        <v>1157</v>
      </c>
      <c r="F29" s="1265"/>
      <c r="G29" s="1262"/>
      <c r="H29" s="1262"/>
    </row>
    <row r="30" spans="2:8" ht="28.95" customHeight="1">
      <c r="B30" s="987"/>
      <c r="C30" s="988"/>
      <c r="D30" s="987"/>
      <c r="F30" s="1266"/>
      <c r="G30" s="1263"/>
      <c r="H30" s="1263"/>
    </row>
    <row r="31" spans="2:8" ht="28.95" customHeight="1">
      <c r="B31" s="987"/>
      <c r="C31" s="988"/>
      <c r="D31" s="987"/>
      <c r="F31" s="1264" t="s">
        <v>1145</v>
      </c>
      <c r="G31" s="1261"/>
      <c r="H31" s="1261"/>
    </row>
    <row r="32" spans="2:8" ht="28.95" customHeight="1">
      <c r="B32" s="989" t="s">
        <v>1156</v>
      </c>
      <c r="C32" s="988"/>
      <c r="D32" s="989" t="s">
        <v>1157</v>
      </c>
      <c r="F32" s="1265"/>
      <c r="G32" s="1262"/>
      <c r="H32" s="1262"/>
    </row>
    <row r="33" spans="2:8" ht="28.95" customHeight="1">
      <c r="B33" s="987"/>
      <c r="C33" s="988"/>
      <c r="D33" s="987"/>
      <c r="F33" s="1266"/>
      <c r="G33" s="1263"/>
      <c r="H33" s="1263"/>
    </row>
    <row r="34" spans="2:8" ht="28.95" customHeight="1">
      <c r="B34" s="987"/>
      <c r="C34" s="988"/>
      <c r="D34" s="987"/>
      <c r="F34" s="1264" t="s">
        <v>1146</v>
      </c>
      <c r="G34" s="1258"/>
      <c r="H34" s="1258"/>
    </row>
    <row r="35" spans="2:8" ht="28.95" customHeight="1">
      <c r="B35" s="989" t="s">
        <v>1156</v>
      </c>
      <c r="C35" s="988"/>
      <c r="D35" s="989" t="s">
        <v>1157</v>
      </c>
      <c r="F35" s="1265"/>
      <c r="G35" s="1259"/>
      <c r="H35" s="1259"/>
    </row>
    <row r="36" spans="2:8" ht="28.95" customHeight="1">
      <c r="B36" s="987"/>
      <c r="C36" s="988"/>
      <c r="D36" s="987"/>
      <c r="F36" s="1266"/>
      <c r="G36" s="1260"/>
      <c r="H36" s="1260"/>
    </row>
    <row r="37" spans="2:8" ht="28.95" customHeight="1">
      <c r="B37" s="987"/>
      <c r="C37" s="988"/>
      <c r="D37" s="987"/>
      <c r="F37" s="1264" t="s">
        <v>1147</v>
      </c>
      <c r="G37" s="1258"/>
      <c r="H37" s="1258"/>
    </row>
    <row r="38" spans="2:8" ht="28.95" customHeight="1">
      <c r="B38" s="989" t="s">
        <v>1156</v>
      </c>
      <c r="C38" s="988"/>
      <c r="D38" s="989" t="s">
        <v>1157</v>
      </c>
      <c r="F38" s="1265"/>
      <c r="G38" s="1259"/>
      <c r="H38" s="1259"/>
    </row>
    <row r="39" spans="2:8" ht="28.95" customHeight="1">
      <c r="B39" s="987"/>
      <c r="C39" s="988"/>
      <c r="D39" s="987"/>
      <c r="F39" s="1266"/>
      <c r="G39" s="1260"/>
      <c r="H39" s="1260"/>
    </row>
    <row r="40" spans="2:8" ht="28.95" customHeight="1">
      <c r="B40" s="987"/>
      <c r="C40" s="988"/>
      <c r="D40" s="987"/>
      <c r="F40" s="1264" t="s">
        <v>1148</v>
      </c>
      <c r="G40" s="1258"/>
      <c r="H40" s="1258"/>
    </row>
    <row r="41" spans="2:8" ht="28.95" customHeight="1">
      <c r="B41" s="989" t="s">
        <v>1156</v>
      </c>
      <c r="C41" s="988"/>
      <c r="D41" s="989" t="s">
        <v>1157</v>
      </c>
      <c r="F41" s="1265"/>
      <c r="G41" s="1259"/>
      <c r="H41" s="1259"/>
    </row>
    <row r="42" spans="2:8" ht="28.95" customHeight="1">
      <c r="B42" s="987"/>
      <c r="C42" s="988"/>
      <c r="D42" s="987"/>
      <c r="F42" s="1266"/>
      <c r="G42" s="1260"/>
      <c r="H42" s="1260"/>
    </row>
    <row r="43" spans="2:8" ht="28.95" customHeight="1">
      <c r="B43" s="987"/>
      <c r="C43" s="988"/>
      <c r="D43" s="987"/>
      <c r="F43" s="1264" t="s">
        <v>1149</v>
      </c>
      <c r="G43" s="1258"/>
      <c r="H43" s="1258"/>
    </row>
    <row r="44" spans="2:8" ht="28.95" customHeight="1">
      <c r="B44" s="989" t="s">
        <v>1156</v>
      </c>
      <c r="C44" s="988"/>
      <c r="D44" s="989" t="s">
        <v>1157</v>
      </c>
      <c r="F44" s="1265"/>
      <c r="G44" s="1259"/>
      <c r="H44" s="1259"/>
    </row>
    <row r="45" spans="2:8" ht="28.95" customHeight="1">
      <c r="B45" s="987"/>
      <c r="C45" s="988"/>
      <c r="D45" s="987"/>
      <c r="F45" s="1266"/>
      <c r="G45" s="1260"/>
      <c r="H45" s="1260"/>
    </row>
    <row r="46" spans="2:8" ht="28.95" customHeight="1">
      <c r="B46" s="987"/>
      <c r="C46" s="988"/>
      <c r="D46" s="987"/>
      <c r="F46" s="1264" t="s">
        <v>1150</v>
      </c>
      <c r="G46" s="1258"/>
      <c r="H46" s="1258"/>
    </row>
    <row r="47" spans="2:8" ht="28.95" customHeight="1">
      <c r="B47" s="989" t="s">
        <v>1156</v>
      </c>
      <c r="C47" s="988"/>
      <c r="D47" s="989" t="s">
        <v>1157</v>
      </c>
      <c r="F47" s="1265"/>
      <c r="G47" s="1259"/>
      <c r="H47" s="1259"/>
    </row>
    <row r="48" spans="2:8" ht="28.95" customHeight="1">
      <c r="B48" s="987"/>
      <c r="C48" s="988"/>
      <c r="D48" s="987"/>
      <c r="F48" s="1266"/>
      <c r="G48" s="1260"/>
      <c r="H48" s="1260"/>
    </row>
    <row r="49" spans="2:8" ht="28.95" customHeight="1">
      <c r="B49" s="987"/>
      <c r="C49" s="988"/>
      <c r="D49" s="987"/>
      <c r="F49" s="1264" t="s">
        <v>1127</v>
      </c>
      <c r="G49" s="1258"/>
      <c r="H49" s="1258"/>
    </row>
    <row r="50" spans="2:8" ht="28.95" customHeight="1">
      <c r="B50" s="989" t="s">
        <v>1156</v>
      </c>
      <c r="C50" s="988"/>
      <c r="D50" s="989" t="s">
        <v>1157</v>
      </c>
      <c r="F50" s="1265"/>
      <c r="G50" s="1259"/>
      <c r="H50" s="1259"/>
    </row>
    <row r="51" spans="2:8" ht="28.95" customHeight="1">
      <c r="B51" s="987"/>
      <c r="C51" s="988"/>
      <c r="D51" s="987"/>
      <c r="F51" s="1266"/>
      <c r="G51" s="1260"/>
      <c r="H51" s="1260"/>
    </row>
    <row r="52" spans="2:8" ht="28.95" customHeight="1">
      <c r="B52" s="987"/>
      <c r="C52" s="988"/>
      <c r="D52" s="987"/>
      <c r="F52" s="1264" t="s">
        <v>1151</v>
      </c>
      <c r="G52" s="1258" t="s">
        <v>1275</v>
      </c>
      <c r="H52" s="1258"/>
    </row>
    <row r="53" spans="2:8" ht="28.95" customHeight="1">
      <c r="B53" s="989" t="s">
        <v>1156</v>
      </c>
      <c r="C53" s="988"/>
      <c r="D53" s="989" t="s">
        <v>1157</v>
      </c>
      <c r="F53" s="1265"/>
      <c r="G53" s="1259"/>
      <c r="H53" s="1259"/>
    </row>
    <row r="54" spans="2:8" ht="28.95" customHeight="1">
      <c r="B54" s="987"/>
      <c r="C54" s="988"/>
      <c r="D54" s="987"/>
      <c r="F54" s="1266"/>
      <c r="G54" s="1260"/>
      <c r="H54" s="1260"/>
    </row>
    <row r="55" spans="2:8" ht="28.95" customHeight="1">
      <c r="B55" s="987"/>
      <c r="C55" s="988"/>
      <c r="D55" s="987"/>
      <c r="F55" s="1264" t="s">
        <v>1152</v>
      </c>
      <c r="G55" s="1258"/>
      <c r="H55" s="1258"/>
    </row>
    <row r="56" spans="2:8" ht="28.95" customHeight="1">
      <c r="B56" s="989" t="s">
        <v>1156</v>
      </c>
      <c r="C56" s="988"/>
      <c r="D56" s="989" t="s">
        <v>1157</v>
      </c>
      <c r="F56" s="1265"/>
      <c r="G56" s="1259"/>
      <c r="H56" s="1259"/>
    </row>
    <row r="57" spans="2:8" ht="28.95" customHeight="1">
      <c r="B57" s="987"/>
      <c r="C57" s="988"/>
      <c r="D57" s="987"/>
      <c r="F57" s="1266"/>
      <c r="G57" s="1260"/>
      <c r="H57" s="1260"/>
    </row>
    <row r="58" spans="2:8" ht="28.95" customHeight="1">
      <c r="B58" s="987"/>
      <c r="C58" s="988"/>
      <c r="D58" s="987"/>
      <c r="F58" s="1264" t="s">
        <v>1153</v>
      </c>
      <c r="G58" s="1258"/>
      <c r="H58" s="1258"/>
    </row>
    <row r="59" spans="2:8" ht="28.95" customHeight="1">
      <c r="B59" s="989" t="s">
        <v>1156</v>
      </c>
      <c r="C59" s="988"/>
      <c r="D59" s="989" t="s">
        <v>1157</v>
      </c>
      <c r="F59" s="1265"/>
      <c r="G59" s="1259"/>
      <c r="H59" s="1259"/>
    </row>
    <row r="60" spans="2:8" ht="28.95" customHeight="1">
      <c r="B60" s="987"/>
      <c r="C60" s="988"/>
      <c r="D60" s="987"/>
      <c r="F60" s="1266"/>
      <c r="G60" s="1260"/>
      <c r="H60" s="1260"/>
    </row>
    <row r="61" spans="2:8" ht="28.95" customHeight="1">
      <c r="B61" s="987"/>
      <c r="C61" s="988"/>
      <c r="D61" s="987"/>
      <c r="F61" s="1264" t="s">
        <v>1154</v>
      </c>
      <c r="G61" s="1258" t="s">
        <v>1273</v>
      </c>
      <c r="H61" s="1258"/>
    </row>
    <row r="62" spans="2:8" ht="28.95" customHeight="1">
      <c r="B62" s="989" t="s">
        <v>1156</v>
      </c>
      <c r="C62" s="988"/>
      <c r="D62" s="989" t="s">
        <v>1157</v>
      </c>
      <c r="F62" s="1265"/>
      <c r="G62" s="1259"/>
      <c r="H62" s="1259"/>
    </row>
    <row r="63" spans="2:8" ht="28.95" customHeight="1">
      <c r="B63" s="987"/>
      <c r="C63" s="988"/>
      <c r="D63" s="987"/>
      <c r="F63" s="1266"/>
      <c r="G63" s="1260"/>
      <c r="H63" s="1260"/>
    </row>
    <row r="64" spans="2:8" ht="28.95" customHeight="1">
      <c r="B64" s="987"/>
      <c r="C64" s="988"/>
      <c r="D64" s="987"/>
      <c r="F64" s="1264" t="s">
        <v>1155</v>
      </c>
      <c r="G64" s="1258" t="s">
        <v>1274</v>
      </c>
      <c r="H64" s="1258"/>
    </row>
    <row r="65" spans="2:8" ht="28.95" customHeight="1">
      <c r="B65" s="989" t="s">
        <v>1156</v>
      </c>
      <c r="C65" s="988"/>
      <c r="D65" s="989" t="s">
        <v>1157</v>
      </c>
      <c r="F65" s="1265"/>
      <c r="G65" s="1259"/>
      <c r="H65" s="1259"/>
    </row>
    <row r="66" spans="2:8" ht="28.95" customHeight="1">
      <c r="B66" s="987"/>
      <c r="C66" s="988"/>
      <c r="D66" s="987"/>
      <c r="F66" s="1266"/>
      <c r="G66" s="1260"/>
      <c r="H66" s="1260"/>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09375" defaultRowHeight="13.2"/>
  <cols>
    <col min="1" max="1" width="45.5546875" style="12" customWidth="1"/>
    <col min="2" max="2" width="20.109375" style="12" customWidth="1"/>
    <col min="3" max="3" width="23.109375" style="12" bestFit="1" customWidth="1"/>
    <col min="4" max="4" width="12.5546875" style="12" bestFit="1" customWidth="1"/>
    <col min="5" max="5" width="14.109375" style="12" bestFit="1" customWidth="1"/>
    <col min="6" max="6" width="15.5546875" style="12" customWidth="1"/>
    <col min="7" max="7" width="16.88671875" style="12" customWidth="1"/>
    <col min="8" max="8" width="8.109375" style="12" customWidth="1"/>
    <col min="9" max="9" width="33.109375" style="12" bestFit="1" customWidth="1"/>
    <col min="10" max="10" width="4.109375" style="12" customWidth="1"/>
    <col min="11" max="11" width="9" style="12" customWidth="1"/>
    <col min="12" max="15" width="28.109375" style="12" customWidth="1"/>
    <col min="16" max="16384" width="9.109375" style="12"/>
  </cols>
  <sheetData>
    <row r="1" spans="1:16">
      <c r="A1" s="11"/>
      <c r="B1" s="11" t="s">
        <v>14</v>
      </c>
      <c r="C1" s="11" t="s">
        <v>73</v>
      </c>
      <c r="D1" s="11" t="s">
        <v>117</v>
      </c>
      <c r="F1" s="22" t="s">
        <v>93</v>
      </c>
      <c r="G1" s="23"/>
      <c r="M1" s="35" t="s">
        <v>104</v>
      </c>
      <c r="N1" s="11" t="s">
        <v>25</v>
      </c>
      <c r="O1" s="11" t="s">
        <v>23</v>
      </c>
      <c r="P1" s="11" t="s">
        <v>24</v>
      </c>
    </row>
    <row r="2" spans="1:16">
      <c r="A2" s="11" t="s">
        <v>25</v>
      </c>
      <c r="B2" s="24">
        <f>1000000/(F2*100)</f>
        <v>1336.8055610095364</v>
      </c>
      <c r="C2" s="24">
        <v>1000</v>
      </c>
      <c r="D2" s="24">
        <f>1000/F5</f>
        <v>3785.4117999999999</v>
      </c>
      <c r="E2" s="13"/>
      <c r="F2" s="32">
        <v>7.4805194500000001</v>
      </c>
      <c r="G2" s="20" t="s">
        <v>90</v>
      </c>
      <c r="H2" s="12" t="s">
        <v>94</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95</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92</v>
      </c>
      <c r="H4" s="14"/>
      <c r="M4" s="11" t="s">
        <v>24</v>
      </c>
      <c r="N4" s="36">
        <f>325851.427242/1000000</f>
        <v>0.325851427242</v>
      </c>
      <c r="O4" s="24">
        <v>1.2334818377287082</v>
      </c>
      <c r="P4" s="24">
        <v>1</v>
      </c>
    </row>
    <row r="5" spans="1:16">
      <c r="F5" s="30">
        <f>1/F4</f>
        <v>0.26417205124155846</v>
      </c>
      <c r="G5" s="21" t="s">
        <v>91</v>
      </c>
      <c r="H5" s="14"/>
    </row>
    <row r="6" spans="1:16" ht="13.8" thickBot="1">
      <c r="H6" s="14"/>
    </row>
    <row r="7" spans="1:16" ht="13.8" thickBot="1">
      <c r="A7" s="14" t="s">
        <v>114</v>
      </c>
      <c r="B7" s="15">
        <v>1</v>
      </c>
      <c r="C7" s="12" t="s">
        <v>72</v>
      </c>
      <c r="D7" s="12">
        <f>MATCH(C7,A2:A4,0)</f>
        <v>1</v>
      </c>
      <c r="H7" s="14"/>
    </row>
    <row r="8" spans="1:16" ht="13.8" thickBot="1">
      <c r="A8" s="14"/>
      <c r="E8" s="12">
        <f>INDEX($B$2:$D$4,MATCH(C7,A2:A4,0),MATCH(C9,B1:D1,0))</f>
        <v>1336.8055610095364</v>
      </c>
      <c r="H8" s="14"/>
    </row>
    <row r="9" spans="1:16" ht="13.8" thickBot="1">
      <c r="A9" s="14" t="s">
        <v>115</v>
      </c>
      <c r="B9" s="16">
        <v>10</v>
      </c>
      <c r="C9" s="12" t="s">
        <v>14</v>
      </c>
      <c r="D9" s="12">
        <f>MATCH(C9,B1:D1,0)</f>
        <v>1</v>
      </c>
      <c r="H9" s="14"/>
    </row>
    <row r="11" spans="1:16">
      <c r="B11" s="14" t="s">
        <v>116</v>
      </c>
      <c r="C11" s="17">
        <f>B7*B9*E8</f>
        <v>13368.055610095364</v>
      </c>
      <c r="I11" s="12" t="s">
        <v>103</v>
      </c>
    </row>
    <row r="12" spans="1:16">
      <c r="G12" s="12" t="s">
        <v>87</v>
      </c>
      <c r="I12" s="34" t="s">
        <v>100</v>
      </c>
      <c r="J12" s="34"/>
      <c r="K12" s="11"/>
      <c r="L12" s="34" t="s">
        <v>101</v>
      </c>
    </row>
    <row r="13" spans="1:16" ht="15.6">
      <c r="G13" s="12" t="s">
        <v>86</v>
      </c>
      <c r="H13" s="38">
        <v>547500</v>
      </c>
      <c r="I13" s="33" t="s">
        <v>102</v>
      </c>
      <c r="J13" s="37" t="s">
        <v>105</v>
      </c>
      <c r="K13" s="12">
        <f>H13*INDEX(N2:P4,MATCH(I13,M2:M4,0),MATCH(L13,N1:P1,0))</f>
        <v>2072512.9605</v>
      </c>
      <c r="L13" s="33" t="s">
        <v>23</v>
      </c>
    </row>
    <row r="14" spans="1:16">
      <c r="K14" s="13"/>
    </row>
    <row r="15" spans="1:16">
      <c r="B15" s="12" t="s">
        <v>119</v>
      </c>
      <c r="H15" s="128"/>
    </row>
    <row r="16" spans="1:16">
      <c r="B16" s="11" t="s">
        <v>14</v>
      </c>
      <c r="C16" s="11" t="s">
        <v>73</v>
      </c>
      <c r="D16" s="11" t="s">
        <v>117</v>
      </c>
      <c r="H16" s="12">
        <f>1500000000/1000000*365</f>
        <v>547500</v>
      </c>
      <c r="I16" s="128" t="s">
        <v>153</v>
      </c>
    </row>
    <row r="17" spans="1:5">
      <c r="A17" s="11" t="s">
        <v>72</v>
      </c>
      <c r="B17" s="12">
        <f>1000000/(7.48*100)</f>
        <v>1336.8983957219252</v>
      </c>
      <c r="C17" s="12">
        <v>1000</v>
      </c>
      <c r="D17" s="12">
        <f>1000000/CONVERT(1000,"l","gal")</f>
        <v>3785.4117839999994</v>
      </c>
    </row>
    <row r="18" spans="1:5">
      <c r="A18" s="11" t="s">
        <v>88</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8" thickBot="1"/>
    <row r="22" spans="1:5" ht="13.8" thickBot="1">
      <c r="A22" s="14" t="s">
        <v>119</v>
      </c>
      <c r="B22" s="15">
        <v>5</v>
      </c>
      <c r="C22" s="12" t="s">
        <v>73</v>
      </c>
      <c r="D22" s="12">
        <f>MATCH(C22,B16:D16,0)</f>
        <v>2</v>
      </c>
    </row>
    <row r="23" spans="1:5" ht="13.8" thickBot="1">
      <c r="A23" s="14"/>
      <c r="E23" s="12">
        <f>INDEX($B$2:$D$4,MATCH(C24,A2:A4,0),MATCH(C22,B1:D1,0))</f>
        <v>1000</v>
      </c>
    </row>
    <row r="24" spans="1:5" ht="13.8" thickBot="1">
      <c r="A24" s="14" t="s">
        <v>120</v>
      </c>
      <c r="B24" s="16">
        <v>5000</v>
      </c>
      <c r="C24" s="12" t="s">
        <v>72</v>
      </c>
      <c r="D24" s="12">
        <f>MATCH(C24,A17:A19,0)</f>
        <v>1</v>
      </c>
    </row>
    <row r="26" spans="1:5">
      <c r="B26" s="14" t="s">
        <v>116</v>
      </c>
      <c r="C26" s="18">
        <f>(B22*E23)/B24</f>
        <v>1</v>
      </c>
    </row>
    <row r="27" spans="1:5">
      <c r="C27" s="12" t="s">
        <v>12</v>
      </c>
    </row>
    <row r="28" spans="1:5">
      <c r="C28" s="12" t="s">
        <v>13</v>
      </c>
    </row>
    <row r="31" spans="1:5">
      <c r="A31" s="13" t="s">
        <v>89</v>
      </c>
    </row>
    <row r="33" spans="1:2">
      <c r="B33" s="12" t="s">
        <v>85</v>
      </c>
    </row>
    <row r="37" spans="1:2">
      <c r="A37" s="13" t="s">
        <v>99</v>
      </c>
    </row>
    <row r="38" spans="1:2">
      <c r="A38" s="26" t="s">
        <v>78</v>
      </c>
    </row>
    <row r="39" spans="1:2">
      <c r="A39" s="12" t="s">
        <v>82</v>
      </c>
    </row>
    <row r="40" spans="1:2">
      <c r="A40" s="12" t="s">
        <v>96</v>
      </c>
    </row>
    <row r="42" spans="1:2">
      <c r="A42" s="29" t="s">
        <v>97</v>
      </c>
    </row>
    <row r="43" spans="1:2">
      <c r="A43" s="29" t="s">
        <v>98</v>
      </c>
    </row>
    <row r="44" spans="1:2">
      <c r="A44" s="29" t="s">
        <v>81</v>
      </c>
    </row>
    <row r="45" spans="1:2">
      <c r="A45" s="29" t="s">
        <v>76</v>
      </c>
    </row>
    <row r="47" spans="1:2">
      <c r="A47" s="27" t="s">
        <v>77</v>
      </c>
    </row>
    <row r="48" spans="1:2">
      <c r="A48" s="27" t="s">
        <v>79</v>
      </c>
    </row>
    <row r="49" spans="1:1">
      <c r="A49" s="27" t="s">
        <v>80</v>
      </c>
    </row>
    <row r="50" spans="1:1">
      <c r="A50" s="27" t="s">
        <v>76</v>
      </c>
    </row>
    <row r="52" spans="1:1">
      <c r="A52" s="28" t="s">
        <v>83</v>
      </c>
    </row>
    <row r="53" spans="1:1">
      <c r="A53" s="28" t="s">
        <v>79</v>
      </c>
    </row>
    <row r="54" spans="1:1">
      <c r="A54" s="28" t="s">
        <v>80</v>
      </c>
    </row>
    <row r="55" spans="1:1">
      <c r="A55" s="28" t="s">
        <v>76</v>
      </c>
    </row>
    <row r="78" spans="1:6">
      <c r="A78" s="128" t="s">
        <v>151</v>
      </c>
      <c r="E78" s="12" t="str">
        <f>"Total Volume of NRW = "&amp;TEXT(SUM(C90,C91,C94,C95,C96,C98),"#,###")&amp;" "&amp;Worksheet!J15</f>
        <v xml:space="preserve">Total Volume of NRW =  </v>
      </c>
    </row>
    <row r="79" spans="1:6" ht="13.8">
      <c r="B79" s="65"/>
      <c r="C79" s="65"/>
      <c r="D79" s="65"/>
      <c r="E79" s="12" t="str">
        <f>IFERROR("Total Cost of NRW = $"&amp;TEXT(SUM(D90,D91,D94,D95,D96,D98),"#,###")&amp;"/Yr","")</f>
        <v>Total Cost of NRW = $/Yr</v>
      </c>
      <c r="F79" s="65"/>
    </row>
    <row r="80" spans="1:6">
      <c r="A80" s="64"/>
      <c r="B80" s="64"/>
      <c r="C80" s="66" t="str">
        <f>"Volume ("&amp;Worksheet!J15&amp;")"</f>
        <v>Volume ()</v>
      </c>
      <c r="D80" s="66" t="s">
        <v>149</v>
      </c>
      <c r="E80" s="119" t="s">
        <v>1087</v>
      </c>
      <c r="F80" s="64"/>
    </row>
    <row r="81" spans="1:6">
      <c r="A81" s="67" t="s">
        <v>129</v>
      </c>
      <c r="B81" s="67"/>
      <c r="C81" s="160" t="str">
        <f>IF(Dashboard!BO$2&gt;0,"",Worksheet!H15)</f>
        <v/>
      </c>
      <c r="D81" s="161" t="str">
        <f>IF(Dashboard!BO$2&gt;0,"",C81*(Worksheet!$H$77))</f>
        <v/>
      </c>
      <c r="E81" s="712" t="str">
        <f>D81</f>
        <v/>
      </c>
      <c r="F81" s="925" t="s">
        <v>1086</v>
      </c>
    </row>
    <row r="82" spans="1:6">
      <c r="A82" s="67" t="str">
        <f>A81&amp;" MA"</f>
        <v>Vol. from own sources: MA</v>
      </c>
      <c r="B82" s="67"/>
      <c r="C82" s="160" t="str">
        <f>IF(Dashboard!BO$2&gt;0,"",Worksheet!X15)</f>
        <v/>
      </c>
      <c r="D82" s="161" t="str">
        <f>IF(Dashboard!BO$2&gt;0,"",C82*(Worksheet!$H$77))</f>
        <v/>
      </c>
      <c r="E82" s="712" t="str">
        <f t="shared" ref="E82:E99" si="0">D82</f>
        <v/>
      </c>
      <c r="F82" s="64"/>
    </row>
    <row r="83" spans="1:6">
      <c r="A83" s="64" t="s">
        <v>0</v>
      </c>
      <c r="B83" s="64"/>
      <c r="C83" s="160" t="str">
        <f>IF(Dashboard!BO$2&gt;0,"",Worksheet!H16)</f>
        <v/>
      </c>
      <c r="D83" s="161" t="str">
        <f>IF(Dashboard!BO$2&gt;0,"",C83*(Worksheet!$H$77))</f>
        <v/>
      </c>
      <c r="E83" s="712" t="str">
        <f t="shared" si="0"/>
        <v/>
      </c>
      <c r="F83" s="64"/>
    </row>
    <row r="84" spans="1:6">
      <c r="A84" s="64" t="str">
        <f>A83&amp;" MA"</f>
        <v>Water imported: MA</v>
      </c>
      <c r="B84" s="64"/>
      <c r="C84" s="160" t="str">
        <f>IF(Dashboard!BO$2&gt;0,"",Worksheet!X16)</f>
        <v/>
      </c>
      <c r="D84" s="161" t="str">
        <f>IF(Dashboard!BO$2&gt;0,"",C84*(Worksheet!$H$77))</f>
        <v/>
      </c>
      <c r="E84" s="712" t="str">
        <f t="shared" si="0"/>
        <v/>
      </c>
      <c r="F84" s="64"/>
    </row>
    <row r="85" spans="1:6">
      <c r="A85" s="64" t="s">
        <v>1</v>
      </c>
      <c r="B85" s="64"/>
      <c r="C85" s="160" t="str">
        <f>IF(Dashboard!BO$2&gt;0,"",Worksheet!H17)</f>
        <v/>
      </c>
      <c r="D85" s="161" t="str">
        <f>IF(Dashboard!BO$2&gt;0,"",C85*(Worksheet!$H$77))</f>
        <v/>
      </c>
      <c r="E85" s="712" t="str">
        <f t="shared" si="0"/>
        <v/>
      </c>
      <c r="F85" s="64"/>
    </row>
    <row r="86" spans="1:6">
      <c r="A86" s="64" t="str">
        <f>A85&amp;" MA"</f>
        <v>Water exported: MA</v>
      </c>
      <c r="B86" s="64"/>
      <c r="C86" s="160" t="str">
        <f>IF(Dashboard!BO$2&gt;0,"",Worksheet!X17)</f>
        <v/>
      </c>
      <c r="D86" s="161" t="str">
        <f>IF(Dashboard!BO$2&gt;0,"",C86*(Worksheet!$H$77))</f>
        <v/>
      </c>
      <c r="E86" s="712" t="str">
        <f t="shared" si="0"/>
        <v/>
      </c>
      <c r="F86" s="64"/>
    </row>
    <row r="87" spans="1:6">
      <c r="A87" s="64" t="s">
        <v>111</v>
      </c>
      <c r="B87" s="64"/>
      <c r="C87" s="160" t="str">
        <f>IF(Dashboard!BO$2&gt;0,"",Worksheet!H19)</f>
        <v/>
      </c>
      <c r="D87" s="161" t="str">
        <f>IF(Dashboard!BO$2&gt;0,"",C87*(Worksheet!$H$77))</f>
        <v/>
      </c>
      <c r="E87" s="712" t="str">
        <f t="shared" si="0"/>
        <v/>
      </c>
      <c r="F87" s="64"/>
    </row>
    <row r="88" spans="1:6">
      <c r="A88" s="64" t="s">
        <v>55</v>
      </c>
      <c r="B88" s="64"/>
      <c r="C88" s="160" t="str">
        <f>IF(Dashboard!BO$2&gt;0,"",Worksheet!H23)</f>
        <v/>
      </c>
      <c r="D88" s="161" t="str">
        <f>IF(Dashboard!BO$2&gt;0,"",C88*(Worksheet!$H$76*1000))</f>
        <v/>
      </c>
      <c r="E88" s="712" t="str">
        <f t="shared" si="0"/>
        <v/>
      </c>
      <c r="F88" s="64"/>
    </row>
    <row r="89" spans="1:6">
      <c r="A89" s="64" t="s">
        <v>56</v>
      </c>
      <c r="B89" s="64"/>
      <c r="C89" s="160" t="str">
        <f>IF(Dashboard!BO$2&gt;0,"",Worksheet!H24)</f>
        <v/>
      </c>
      <c r="D89" s="161" t="str">
        <f>IF(Dashboard!BO$2&gt;0,"",C89*(Worksheet!$H$76*1000))</f>
        <v/>
      </c>
      <c r="E89" s="712" t="str">
        <f t="shared" si="0"/>
        <v/>
      </c>
      <c r="F89" s="64"/>
    </row>
    <row r="90" spans="1:6">
      <c r="A90" s="118" t="str">
        <f>"Unbilled Metered (UMAC) valued at "&amp;A76&amp;""</f>
        <v xml:space="preserve">Unbilled Metered (UMAC) valued at </v>
      </c>
      <c r="B90" s="64"/>
      <c r="C90" s="165" t="str">
        <f>IF(Dashboard!BO$2&gt;0,"",Worksheet!H25)</f>
        <v/>
      </c>
      <c r="D90" s="166" t="str">
        <f>IF(Dashboard!BO$2&gt;0,"",IF(ISBLANK('Start Page'!AB22),"",IF(AND(ISBLANK(Worksheet!H77),Worksheet!Z77&lt;&gt;1),"",Worksheet!H25*(IF(Dashboard!BD29=FALSE,Worksheet!H77,IF(Dashboard!BD29=TRUE,Worksheet!H76*INDEX(Sheet1!B2:D4,MATCH('Start Page'!AB22,Sheet1!A2:A4,0),MATCH(Worksheet!J76,Sheet1!B1:D1,0)),""))))))</f>
        <v/>
      </c>
      <c r="E90" s="713" t="str">
        <f t="shared" si="0"/>
        <v/>
      </c>
      <c r="F90" s="64"/>
    </row>
    <row r="91" spans="1:6">
      <c r="A91" s="278" t="str">
        <f>"Unbilled Unmetered (UUAC) valued at "&amp;A76&amp;""</f>
        <v xml:space="preserve">Unbilled Unmetered (UUAC) valued at </v>
      </c>
      <c r="B91" s="64"/>
      <c r="C91" s="165" t="str">
        <f>IF(Dashboard!BO$2&gt;0,"",Worksheet!H26)</f>
        <v/>
      </c>
      <c r="D91" s="166" t="str">
        <f>IF(Dashboard!BO$2&gt;0,"",IF(ISBLANK('Start Page'!AB22),"",IF(AND(ISBLANK(Worksheet!H77),Worksheet!Z77&lt;&gt;1),"",Worksheet!H26*(IF(Dashboard!BD29=FALSE,Worksheet!H77,IF(Dashboard!BD29=TRUE,Worksheet!H76*INDEX(Sheet1!B2:D4,MATCH('Start Page'!AB22,Sheet1!A2:A4,0),MATCH(Worksheet!J76,Sheet1!B1:D1,0)),""))))))</f>
        <v/>
      </c>
      <c r="E91" s="713" t="str">
        <f t="shared" si="0"/>
        <v/>
      </c>
      <c r="F91" s="64"/>
    </row>
    <row r="92" spans="1:6">
      <c r="A92" s="279" t="s">
        <v>2</v>
      </c>
      <c r="B92" s="164" t="s">
        <v>241</v>
      </c>
      <c r="C92" s="160" t="str">
        <f>IF(Dashboard!BO$2&gt;0,"",Worksheet!H30)</f>
        <v/>
      </c>
      <c r="D92" s="161" t="str">
        <f>IF(Dashboard!BO$2&gt;0,"",C92*(Worksheet!$H$76*1000))</f>
        <v/>
      </c>
      <c r="E92" s="712" t="str">
        <f t="shared" si="0"/>
        <v/>
      </c>
      <c r="F92" s="64"/>
    </row>
    <row r="93" spans="1:6">
      <c r="A93" s="64" t="s">
        <v>51</v>
      </c>
      <c r="B93" s="64"/>
      <c r="C93" s="160" t="str">
        <f>IF(Dashboard!BO$2&gt;0,"",Worksheet!H35)</f>
        <v/>
      </c>
      <c r="D93" s="161"/>
      <c r="E93" s="712">
        <f t="shared" si="0"/>
        <v>0</v>
      </c>
      <c r="F93" s="64"/>
    </row>
    <row r="94" spans="1:6">
      <c r="A94" s="278" t="s">
        <v>680</v>
      </c>
      <c r="B94" s="67"/>
      <c r="C94" s="165" t="str">
        <f>IF(Dashboard!BO$2&gt;0,"",Worksheet!H43)</f>
        <v/>
      </c>
      <c r="D94" s="166" t="str">
        <f>IF(Dashboard!BO$2&gt;0,"",IF(ISBLANK('Start Page'!AB22),"",IF(AND(ISBLANK(Worksheet!H77),Worksheet!Z77&lt;&gt;1),"",C94*Worksheet!H76*INDEX(Sheet1!B2:D4,MATCH('Start Page'!AB22,Sheet1!A2:A4,0),MATCH(Worksheet!J76,Sheet1!B1:D1,0)))))</f>
        <v/>
      </c>
      <c r="E94" s="713" t="str">
        <f t="shared" si="0"/>
        <v/>
      </c>
      <c r="F94" s="167"/>
    </row>
    <row r="95" spans="1:6">
      <c r="A95" s="278" t="s">
        <v>681</v>
      </c>
      <c r="B95" s="67"/>
      <c r="C95" s="165" t="str">
        <f>IF(Dashboard!BO$2&gt;0,"",Worksheet!H41)</f>
        <v/>
      </c>
      <c r="D95" s="166" t="str">
        <f>IF(Dashboard!BO$2&gt;0,"",IF(ISBLANK('Start Page'!AB22),"",IF(AND(ISBLANK(Worksheet!H77),Worksheet!Z77&lt;&gt;1),"",C95*Worksheet!H76*INDEX(Sheet1!B2:D4,MATCH('Start Page'!AB22,Sheet1!A2:A4,0),MATCH(Worksheet!J76,Sheet1!B1:D1,0)))))</f>
        <v/>
      </c>
      <c r="E95" s="713" t="str">
        <f t="shared" si="0"/>
        <v/>
      </c>
      <c r="F95" s="167"/>
    </row>
    <row r="96" spans="1:6">
      <c r="A96" s="278" t="s">
        <v>682</v>
      </c>
      <c r="B96" s="67"/>
      <c r="C96" s="165" t="str">
        <f>IF(Dashboard!BO$2&gt;0,"",Worksheet!H39)</f>
        <v/>
      </c>
      <c r="D96" s="166" t="str">
        <f>IF(Dashboard!BO$2&gt;0,"",IF(ISBLANK('Start Page'!AB22),"",IF(AND(ISBLANK(Worksheet!H77),Worksheet!Z77&lt;&gt;1),"",C96*Worksheet!H76*INDEX(Sheet1!B2:D4,MATCH('Start Page'!AB22,Sheet1!A2:A4,0),MATCH(Worksheet!J76,Sheet1!B1:D1,0)))))</f>
        <v/>
      </c>
      <c r="E96" s="713" t="str">
        <f t="shared" si="0"/>
        <v/>
      </c>
      <c r="F96" s="167"/>
    </row>
    <row r="97" spans="1:7">
      <c r="A97" s="64" t="s">
        <v>42</v>
      </c>
      <c r="B97" s="64"/>
      <c r="C97" s="160" t="str">
        <f>IF(Dashboard!BO$2&gt;0,"",Worksheet!H46)</f>
        <v/>
      </c>
      <c r="D97" s="161" t="str">
        <f>IF(Dashboard!BO$2&gt;0,"",SUM(D94:D96))</f>
        <v/>
      </c>
      <c r="E97" s="712" t="str">
        <f t="shared" si="0"/>
        <v/>
      </c>
      <c r="F97" s="64"/>
    </row>
    <row r="98" spans="1:7">
      <c r="A98" s="118" t="str">
        <f>"Real Losses valued at "&amp;A76&amp;""</f>
        <v xml:space="preserve">Real Losses valued at </v>
      </c>
      <c r="B98" s="67"/>
      <c r="C98" s="165" t="str">
        <f>IF(Dashboard!BO$2&gt;0,"",Worksheet!H51)</f>
        <v/>
      </c>
      <c r="D98" s="166" t="str">
        <f>IF(Dashboard!BO$2&gt;0,"",Dashboard!N50)</f>
        <v/>
      </c>
      <c r="E98" s="713" t="str">
        <f t="shared" si="0"/>
        <v/>
      </c>
      <c r="F98" s="712"/>
    </row>
    <row r="99" spans="1:7">
      <c r="A99" s="64" t="s">
        <v>74</v>
      </c>
      <c r="B99" s="64"/>
      <c r="C99" s="160" t="str">
        <f>IF(Dashboard!BO$2&gt;0,"",Worksheet!H57)</f>
        <v/>
      </c>
      <c r="D99" s="162" t="str">
        <f>IF(Dashboard!BO$2&gt;0,"",D97+D98+D90+D91)</f>
        <v/>
      </c>
      <c r="E99" s="712" t="str">
        <f t="shared" si="0"/>
        <v/>
      </c>
      <c r="F99" s="64"/>
      <c r="G99" s="168"/>
    </row>
    <row r="121" spans="12:15" ht="75.599999999999994" customHeight="1">
      <c r="L121" s="1082" t="s">
        <v>1249</v>
      </c>
      <c r="M121" s="1080"/>
      <c r="N121" s="1082" t="str">
        <f>Dashboard!BO3</f>
        <v>ok</v>
      </c>
      <c r="O121" s="1080"/>
    </row>
    <row r="122" spans="12:15" ht="75.599999999999994" customHeight="1">
      <c r="L122" s="1082" t="s">
        <v>1250</v>
      </c>
      <c r="M122" s="1080"/>
      <c r="N122" s="78"/>
      <c r="O122" s="7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3.2"/>
  <sheetData>
    <row r="1" spans="1:4" ht="15">
      <c r="A1" s="305" t="s">
        <v>772</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6" customWidth="1"/>
    <col min="2" max="2" width="21.44140625" style="6" customWidth="1"/>
    <col min="3" max="3" width="17.109375" style="6" customWidth="1"/>
    <col min="4" max="4" width="18" style="6" customWidth="1"/>
    <col min="5" max="5" width="17.44140625" style="6" customWidth="1"/>
    <col min="6" max="6" width="33.109375" style="6" customWidth="1"/>
    <col min="7" max="7" width="42.109375" style="6" customWidth="1"/>
    <col min="8" max="8" width="21.109375" style="6" customWidth="1"/>
    <col min="9" max="9" width="1.109375" style="6" customWidth="1"/>
    <col min="10" max="10" width="8.88671875" style="6" customWidth="1"/>
    <col min="11" max="11" width="28.5546875" style="6" customWidth="1"/>
    <col min="12" max="16" width="15.88671875" style="158" customWidth="1"/>
    <col min="17" max="17" width="15.88671875" style="6" customWidth="1"/>
    <col min="18" max="16384" width="8.88671875" style="6" hidden="1"/>
  </cols>
  <sheetData>
    <row r="1" spans="2:16" ht="3.75" customHeight="1"/>
    <row r="2" spans="2:16" ht="24.75" hidden="1" customHeight="1" thickTop="1">
      <c r="B2" s="1274" t="s">
        <v>1095</v>
      </c>
      <c r="C2" s="1275"/>
      <c r="D2" s="1275"/>
      <c r="E2" s="1275"/>
      <c r="F2" s="1275"/>
      <c r="G2" s="1275"/>
      <c r="H2" s="1276"/>
      <c r="I2" s="7"/>
    </row>
    <row r="3" spans="2:16" ht="18" customHeight="1">
      <c r="B3" s="1277"/>
      <c r="C3" s="1278"/>
      <c r="D3" s="1278"/>
      <c r="E3" s="1278"/>
      <c r="F3" s="1278"/>
      <c r="G3" s="1278"/>
      <c r="H3" s="1279"/>
      <c r="I3" s="7"/>
    </row>
    <row r="4" spans="2:16" ht="4.3499999999999996" customHeight="1">
      <c r="B4" s="567"/>
      <c r="C4" s="568"/>
      <c r="D4" s="568"/>
      <c r="E4" s="568"/>
      <c r="F4" s="568"/>
      <c r="G4" s="569"/>
      <c r="H4" s="570"/>
      <c r="I4" s="7"/>
    </row>
    <row r="5" spans="2:16" ht="17.100000000000001" customHeight="1">
      <c r="B5" s="1060" t="s">
        <v>785</v>
      </c>
      <c r="C5" s="568"/>
      <c r="D5" s="568"/>
      <c r="E5" s="927" t="s">
        <v>66</v>
      </c>
      <c r="F5" s="1287" t="str">
        <f>IF(ISBLANK('Start Page'!AB9),"&lt;&lt; Please enter system details on the Start Page &gt;&gt;",'Start Page'!AB9&amp;IF(ISBLANK('Start Page'!AM28),"","  ("&amp;'Start Page'!AM28&amp;")"))</f>
        <v>&lt;&lt; Please enter system details on the Start Page &gt;&gt;</v>
      </c>
      <c r="G5" s="1288"/>
      <c r="H5" s="570"/>
      <c r="I5" s="7"/>
    </row>
    <row r="6" spans="2:16" ht="18" customHeight="1">
      <c r="B6" s="567"/>
      <c r="C6" s="576"/>
      <c r="D6" s="568"/>
      <c r="E6" s="927" t="s">
        <v>716</v>
      </c>
      <c r="F6" s="928" t="str">
        <f>IF(ISBLANK('Start Page'!AB18),"",'Start Page'!AB18)</f>
        <v/>
      </c>
      <c r="G6" s="929" t="str">
        <f>IF(ISBLANK('Start Page'!AB20),"",TEXT('Start Page'!AB20,"mmm dd yyyy")&amp;" - "&amp;TEXT('Start Page'!AB21,"mmm dd yyyy"))</f>
        <v/>
      </c>
      <c r="H6" s="571"/>
      <c r="I6" s="7"/>
    </row>
    <row r="7" spans="2:16" ht="18" customHeight="1">
      <c r="B7" s="567"/>
      <c r="C7" s="568"/>
      <c r="D7" s="568"/>
      <c r="E7" s="927" t="s">
        <v>683</v>
      </c>
      <c r="F7" s="928" t="str">
        <f>Dashboard!BR4</f>
        <v>N/A*</v>
      </c>
      <c r="G7" s="930" t="str">
        <f>IF(F7="N/A*","* Confirm Units and Data Grading are Complete","")</f>
        <v>* Confirm Units and Data Grading are Complete</v>
      </c>
      <c r="H7" s="570"/>
      <c r="I7" s="7"/>
    </row>
    <row r="8" spans="2:16" ht="6.75" customHeight="1" thickBot="1">
      <c r="B8" s="572"/>
      <c r="C8" s="573"/>
      <c r="D8" s="573"/>
      <c r="E8" s="573"/>
      <c r="F8" s="573"/>
      <c r="G8" s="574"/>
      <c r="H8" s="575"/>
      <c r="I8" s="7"/>
    </row>
    <row r="9" spans="2:16" ht="52.95" customHeight="1" thickTop="1">
      <c r="B9" s="423"/>
      <c r="C9" s="424"/>
      <c r="D9" s="425" t="s">
        <v>1090</v>
      </c>
      <c r="E9" s="1289" t="s">
        <v>75</v>
      </c>
      <c r="F9" s="1290"/>
      <c r="G9" s="1291"/>
      <c r="H9" s="426" t="s">
        <v>678</v>
      </c>
      <c r="I9" s="7"/>
    </row>
    <row r="10" spans="2:16" ht="16.5" customHeight="1" thickBot="1">
      <c r="B10" s="423"/>
      <c r="C10" s="59"/>
      <c r="D10" s="427">
        <f>Worksheet!AG17</f>
        <v>0</v>
      </c>
      <c r="E10" s="1292"/>
      <c r="F10" s="1293"/>
      <c r="G10" s="1294"/>
      <c r="H10" s="428">
        <f>D10</f>
        <v>0</v>
      </c>
      <c r="I10" s="7"/>
    </row>
    <row r="11" spans="2:16" ht="30" customHeight="1">
      <c r="B11" s="429"/>
      <c r="C11" s="430"/>
      <c r="D11" s="431"/>
      <c r="E11" s="432"/>
      <c r="F11" s="1282" t="s">
        <v>3</v>
      </c>
      <c r="G11" s="433" t="s">
        <v>1091</v>
      </c>
      <c r="H11" s="434" t="s">
        <v>4</v>
      </c>
      <c r="I11" s="7"/>
      <c r="K11" s="1048"/>
      <c r="L11" s="159"/>
      <c r="M11" s="159"/>
      <c r="N11" s="159"/>
      <c r="O11" s="159"/>
      <c r="P11" s="159"/>
    </row>
    <row r="12" spans="2:16" ht="15.75" customHeight="1">
      <c r="B12" s="1273" t="s">
        <v>689</v>
      </c>
      <c r="C12" s="435"/>
      <c r="D12" s="436"/>
      <c r="E12" s="1282" t="s">
        <v>2</v>
      </c>
      <c r="F12" s="1283"/>
      <c r="G12" s="437">
        <f>Worksheet!H23</f>
        <v>0</v>
      </c>
      <c r="H12" s="438"/>
      <c r="I12" s="7"/>
      <c r="K12" s="1049"/>
    </row>
    <row r="13" spans="2:16" ht="22.5" customHeight="1">
      <c r="B13" s="1273"/>
      <c r="C13" s="439"/>
      <c r="D13" s="436"/>
      <c r="E13" s="1282"/>
      <c r="F13" s="441">
        <f>Worksheet!H23+Worksheet!H24</f>
        <v>0</v>
      </c>
      <c r="G13" s="442" t="s">
        <v>1092</v>
      </c>
      <c r="H13" s="443">
        <f>SUM(G12+G14)</f>
        <v>0</v>
      </c>
      <c r="I13" s="7"/>
      <c r="K13" s="163"/>
      <c r="L13" s="159"/>
      <c r="M13" s="159"/>
      <c r="N13" s="159"/>
      <c r="O13" s="159"/>
      <c r="P13" s="159"/>
    </row>
    <row r="14" spans="2:16" ht="15.75" customHeight="1">
      <c r="B14" s="1285" t="s">
        <v>764</v>
      </c>
      <c r="C14" s="444"/>
      <c r="D14" s="436"/>
      <c r="E14" s="445"/>
      <c r="F14" s="446"/>
      <c r="G14" s="447">
        <f>Worksheet!H24</f>
        <v>0</v>
      </c>
      <c r="H14" s="448"/>
      <c r="I14" s="7"/>
      <c r="K14" s="163"/>
    </row>
    <row r="15" spans="2:16" ht="15.75" customHeight="1">
      <c r="B15" s="1286"/>
      <c r="C15" s="444"/>
      <c r="D15" s="436"/>
      <c r="E15" s="449">
        <f>Worksheet!H30</f>
        <v>0</v>
      </c>
      <c r="F15" s="1284" t="s">
        <v>5</v>
      </c>
      <c r="G15" s="450" t="s">
        <v>1093</v>
      </c>
      <c r="H15" s="1280" t="s">
        <v>6</v>
      </c>
      <c r="I15" s="7"/>
      <c r="K15" s="163"/>
      <c r="L15" s="159"/>
      <c r="M15" s="159"/>
      <c r="N15" s="159"/>
      <c r="O15" s="159"/>
      <c r="P15" s="159"/>
    </row>
    <row r="16" spans="2:16" ht="15.75" customHeight="1">
      <c r="B16" s="451"/>
      <c r="C16" s="435"/>
      <c r="D16" s="436"/>
      <c r="E16" s="311"/>
      <c r="F16" s="1283"/>
      <c r="G16" s="452">
        <f>Worksheet!H25</f>
        <v>0</v>
      </c>
      <c r="H16" s="1281"/>
      <c r="I16" s="7"/>
      <c r="K16" s="163"/>
    </row>
    <row r="17" spans="2:16" ht="22.5" customHeight="1">
      <c r="B17" s="453">
        <f>Worksheet!AG15</f>
        <v>0</v>
      </c>
      <c r="C17" s="454"/>
      <c r="D17" s="455"/>
      <c r="E17" s="311"/>
      <c r="F17" s="456">
        <f>Worksheet!H25+Worksheet!H26</f>
        <v>0</v>
      </c>
      <c r="G17" s="440" t="s">
        <v>1094</v>
      </c>
      <c r="H17" s="438"/>
      <c r="I17" s="7"/>
      <c r="K17" s="163"/>
      <c r="L17" s="159"/>
      <c r="M17" s="159"/>
      <c r="N17" s="159"/>
      <c r="O17" s="159"/>
      <c r="P17" s="159"/>
    </row>
    <row r="18" spans="2:16" ht="15.75" customHeight="1">
      <c r="B18" s="451"/>
      <c r="C18" s="1295" t="s">
        <v>765</v>
      </c>
      <c r="D18" s="436"/>
      <c r="E18" s="457"/>
      <c r="F18" s="446"/>
      <c r="G18" s="458">
        <f>Worksheet!H26</f>
        <v>0</v>
      </c>
      <c r="H18" s="438"/>
      <c r="I18" s="7"/>
      <c r="K18" s="163"/>
    </row>
    <row r="19" spans="2:16" ht="22.5" customHeight="1">
      <c r="B19" s="451"/>
      <c r="C19" s="1295"/>
      <c r="D19" s="459" t="s">
        <v>118</v>
      </c>
      <c r="E19" s="432"/>
      <c r="F19" s="460"/>
      <c r="G19" s="707" t="s">
        <v>697</v>
      </c>
      <c r="H19" s="461">
        <f>Worksheet!H25+Worksheet!H26+Worksheet!H46+Worksheet!H51</f>
        <v>0</v>
      </c>
      <c r="I19" s="7"/>
      <c r="K19" s="163"/>
      <c r="L19" s="159"/>
      <c r="M19" s="159"/>
      <c r="N19" s="159"/>
      <c r="O19" s="159"/>
      <c r="P19" s="159"/>
    </row>
    <row r="20" spans="2:16" ht="15.75" customHeight="1">
      <c r="B20" s="451"/>
      <c r="C20" s="462">
        <f>B17+B27</f>
        <v>0</v>
      </c>
      <c r="D20" s="436"/>
      <c r="E20" s="311"/>
      <c r="F20" s="463" t="s">
        <v>52</v>
      </c>
      <c r="G20" s="452">
        <f>Worksheet!H39</f>
        <v>0</v>
      </c>
      <c r="H20" s="438"/>
      <c r="I20" s="7"/>
      <c r="K20" s="163"/>
    </row>
    <row r="21" spans="2:16" ht="14.25" customHeight="1">
      <c r="B21" s="464"/>
      <c r="C21" s="465"/>
      <c r="D21" s="462">
        <f>Worksheet!H19</f>
        <v>0</v>
      </c>
      <c r="E21" s="466"/>
      <c r="F21" s="456">
        <f>Worksheet!H46</f>
        <v>0</v>
      </c>
      <c r="G21" s="440" t="s">
        <v>696</v>
      </c>
      <c r="H21" s="438"/>
      <c r="I21" s="7"/>
      <c r="K21" s="163"/>
      <c r="L21" s="159"/>
      <c r="M21" s="159"/>
      <c r="N21" s="159"/>
      <c r="O21" s="159"/>
      <c r="P21" s="159"/>
    </row>
    <row r="22" spans="2:16" ht="15.75" customHeight="1">
      <c r="B22" s="451"/>
      <c r="C22" s="435"/>
      <c r="D22" s="436"/>
      <c r="E22" s="311"/>
      <c r="F22" s="466"/>
      <c r="G22" s="467">
        <f>Worksheet!H41</f>
        <v>0</v>
      </c>
      <c r="H22" s="438"/>
      <c r="I22" s="7"/>
      <c r="K22" s="163"/>
    </row>
    <row r="23" spans="2:16" ht="23.25" customHeight="1">
      <c r="B23" s="451"/>
      <c r="C23" s="435"/>
      <c r="D23" s="436"/>
      <c r="E23" s="311"/>
      <c r="F23" s="466"/>
      <c r="G23" s="442" t="s">
        <v>679</v>
      </c>
      <c r="H23" s="438"/>
      <c r="I23" s="7"/>
      <c r="K23" s="163"/>
      <c r="L23" s="159"/>
      <c r="M23" s="159"/>
      <c r="N23" s="159"/>
      <c r="O23" s="159"/>
      <c r="P23" s="159"/>
    </row>
    <row r="24" spans="2:16" ht="15.75" customHeight="1">
      <c r="B24" s="451"/>
      <c r="C24" s="435"/>
      <c r="D24" s="436"/>
      <c r="E24" s="468" t="s">
        <v>51</v>
      </c>
      <c r="F24" s="446"/>
      <c r="G24" s="452">
        <f>Worksheet!H43</f>
        <v>0</v>
      </c>
      <c r="H24" s="438"/>
      <c r="I24" s="7"/>
      <c r="K24" s="163"/>
    </row>
    <row r="25" spans="2:16" ht="26.25" customHeight="1">
      <c r="B25" s="1272" t="s">
        <v>1089</v>
      </c>
      <c r="C25" s="439"/>
      <c r="D25" s="436"/>
      <c r="E25" s="469">
        <f>Worksheet!H53</f>
        <v>0</v>
      </c>
      <c r="F25" s="466"/>
      <c r="G25" s="440" t="s">
        <v>9</v>
      </c>
      <c r="H25" s="438"/>
      <c r="I25" s="7"/>
      <c r="K25" s="54"/>
      <c r="L25" s="159"/>
      <c r="M25" s="159"/>
      <c r="N25" s="159"/>
      <c r="O25" s="159"/>
      <c r="P25" s="159"/>
    </row>
    <row r="26" spans="2:16" ht="15.75" customHeight="1">
      <c r="B26" s="1273"/>
      <c r="C26" s="435"/>
      <c r="D26" s="436"/>
      <c r="E26" s="311"/>
      <c r="F26" s="463" t="s">
        <v>53</v>
      </c>
      <c r="G26" s="470" t="s">
        <v>125</v>
      </c>
      <c r="H26" s="438"/>
      <c r="I26" s="7"/>
    </row>
    <row r="27" spans="2:16" ht="24.75" customHeight="1">
      <c r="B27" s="453">
        <f>Worksheet!AG16</f>
        <v>0</v>
      </c>
      <c r="C27" s="454"/>
      <c r="D27" s="436"/>
      <c r="E27" s="311"/>
      <c r="F27" s="456">
        <f>Worksheet!H51</f>
        <v>0</v>
      </c>
      <c r="G27" s="442" t="s">
        <v>10</v>
      </c>
      <c r="H27" s="438"/>
      <c r="I27" s="7"/>
      <c r="L27" s="159"/>
      <c r="M27" s="159"/>
      <c r="N27" s="159"/>
      <c r="O27" s="159"/>
      <c r="P27" s="159"/>
    </row>
    <row r="28" spans="2:16" ht="16.5" customHeight="1">
      <c r="B28" s="451"/>
      <c r="C28" s="435"/>
      <c r="D28" s="436"/>
      <c r="E28" s="311"/>
      <c r="F28" s="466"/>
      <c r="G28" s="471" t="s">
        <v>125</v>
      </c>
      <c r="H28" s="438"/>
      <c r="I28" s="7"/>
    </row>
    <row r="29" spans="2:16" ht="12.75" customHeight="1">
      <c r="B29" s="451"/>
      <c r="C29" s="435"/>
      <c r="D29" s="436"/>
      <c r="E29" s="311"/>
      <c r="F29" s="466"/>
      <c r="G29" s="440" t="s">
        <v>124</v>
      </c>
      <c r="H29" s="438"/>
      <c r="I29" s="7"/>
      <c r="L29" s="159"/>
      <c r="M29" s="159"/>
      <c r="N29" s="159"/>
      <c r="O29" s="159"/>
      <c r="P29" s="159"/>
    </row>
    <row r="30" spans="2:16" ht="14.4" thickBot="1">
      <c r="B30" s="472"/>
      <c r="C30" s="473"/>
      <c r="D30" s="474"/>
      <c r="E30" s="475"/>
      <c r="F30" s="476"/>
      <c r="G30" s="477" t="s">
        <v>125</v>
      </c>
      <c r="H30" s="478"/>
      <c r="I30" s="7"/>
    </row>
    <row r="31" spans="2:16" ht="14.4"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4" customWidth="1"/>
    <col min="2" max="2" width="1.109375" style="4" customWidth="1"/>
    <col min="3" max="3" width="19.109375" style="1" customWidth="1"/>
    <col min="4" max="18" width="10" style="1" customWidth="1"/>
    <col min="19" max="19" width="1.109375" style="53" customWidth="1"/>
    <col min="20" max="20" width="1.44140625" style="19" customWidth="1"/>
    <col min="21" max="21" width="2.109375" style="50" hidden="1" customWidth="1"/>
    <col min="22" max="22" width="3" style="50" hidden="1" customWidth="1"/>
    <col min="23" max="255" width="3.109375" style="1" customWidth="1"/>
    <col min="256" max="16384" width="3.10937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26" t="s">
        <v>786</v>
      </c>
      <c r="C2" s="1327"/>
      <c r="D2" s="1327"/>
      <c r="E2" s="1327"/>
      <c r="F2" s="1327"/>
      <c r="G2" s="1327"/>
      <c r="H2" s="1327"/>
      <c r="I2" s="1327"/>
      <c r="J2" s="1327"/>
      <c r="K2" s="1327"/>
      <c r="L2" s="1327"/>
      <c r="M2" s="1327"/>
      <c r="N2" s="1327"/>
      <c r="O2" s="1327"/>
      <c r="P2" s="1327"/>
      <c r="Q2" s="1327"/>
      <c r="R2" s="1327"/>
      <c r="S2" s="1328"/>
      <c r="T2" s="154"/>
      <c r="U2" s="52"/>
    </row>
    <row r="3" spans="1:22" ht="5.4"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66</v>
      </c>
      <c r="G4" s="1296" t="str">
        <f>IF(ISBLANK('Start Page'!AB9),"&lt;&lt; Please enter system details on the Start Page &gt;&gt;",'Start Page'!AB9&amp;IF(ISBLANK('Start Page'!AM28),"","  ("&amp;'Start Page'!AM28&amp;")"))</f>
        <v>&lt;&lt; Please enter system details on the Start Page &gt;&gt;</v>
      </c>
      <c r="H4" s="1297"/>
      <c r="I4" s="1297"/>
      <c r="J4" s="1297"/>
      <c r="K4" s="1297"/>
      <c r="L4" s="1297"/>
      <c r="M4" s="1297"/>
      <c r="N4" s="1297"/>
      <c r="O4" s="1298"/>
      <c r="P4" s="480"/>
      <c r="Q4" s="480"/>
      <c r="R4" s="480"/>
      <c r="S4" s="481"/>
      <c r="T4" s="155"/>
      <c r="U4" s="51"/>
    </row>
    <row r="5" spans="1:22" ht="17.100000000000001" customHeight="1">
      <c r="A5" s="151"/>
      <c r="B5" s="479"/>
      <c r="C5" s="480"/>
      <c r="D5" s="480"/>
      <c r="E5" s="64"/>
      <c r="F5" s="422" t="s">
        <v>716</v>
      </c>
      <c r="G5" s="482" t="str">
        <f>IF(ISBLANK('Start Page'!AB18),"",'Start Page'!AB18)</f>
        <v/>
      </c>
      <c r="H5" s="1315" t="str">
        <f>IF(ISBLANK('Start Page'!AB20),"",TEXT('Start Page'!AB20,"mmm dd yyyy")&amp;" - "&amp;TEXT('Start Page'!AB21,"mmm dd yyyy"))</f>
        <v/>
      </c>
      <c r="I5" s="1316"/>
      <c r="J5" s="1317"/>
      <c r="K5" s="1044"/>
      <c r="L5" s="1044"/>
      <c r="M5" s="1044"/>
      <c r="N5" s="1044"/>
      <c r="O5" s="1044"/>
      <c r="P5" s="480"/>
      <c r="Q5" s="480"/>
      <c r="R5" s="480"/>
      <c r="S5" s="481"/>
      <c r="T5" s="155"/>
      <c r="U5" s="51"/>
    </row>
    <row r="6" spans="1:22" ht="17.100000000000001" customHeight="1">
      <c r="A6" s="151"/>
      <c r="B6" s="479"/>
      <c r="C6" s="480"/>
      <c r="D6" s="480"/>
      <c r="E6" s="64"/>
      <c r="F6" s="422" t="s">
        <v>683</v>
      </c>
      <c r="G6" s="1312" t="str">
        <f>IF(OR(ISBLANK('Start Page'!AB22:AL22),'M36 Refs'!AN118&gt;0),"Additional data entry required",Dashboard!BR4)</f>
        <v>Additional data entry required</v>
      </c>
      <c r="H6" s="1313"/>
      <c r="I6" s="1314"/>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299" t="s">
        <v>64</v>
      </c>
      <c r="D8" s="1300"/>
      <c r="E8" s="1300"/>
      <c r="F8" s="1300"/>
      <c r="G8" s="1300"/>
      <c r="H8" s="1300"/>
      <c r="I8" s="1300"/>
      <c r="J8" s="1300"/>
      <c r="K8" s="1300"/>
      <c r="L8" s="1300"/>
      <c r="M8" s="1300"/>
      <c r="N8" s="1300"/>
      <c r="O8" s="1300"/>
      <c r="P8" s="1300"/>
      <c r="Q8" s="1300"/>
      <c r="R8" s="1301"/>
      <c r="S8" s="481"/>
      <c r="T8" s="155"/>
      <c r="U8" s="51"/>
    </row>
    <row r="9" spans="1:22" ht="18.75" customHeight="1" thickTop="1">
      <c r="A9" s="151"/>
      <c r="B9" s="479"/>
      <c r="C9" s="483"/>
      <c r="D9" s="1308" t="s">
        <v>717</v>
      </c>
      <c r="E9" s="1309"/>
      <c r="F9" s="1309"/>
      <c r="G9" s="1309"/>
      <c r="H9" s="1309"/>
      <c r="I9" s="1309"/>
      <c r="J9" s="1309"/>
      <c r="K9" s="1309"/>
      <c r="L9" s="1309"/>
      <c r="M9" s="1309"/>
      <c r="N9" s="1309"/>
      <c r="O9" s="1309"/>
      <c r="P9" s="1309"/>
      <c r="Q9" s="1309"/>
      <c r="R9" s="1310"/>
      <c r="S9" s="481"/>
      <c r="T9" s="155"/>
      <c r="U9" s="51"/>
    </row>
    <row r="10" spans="1:22" ht="34.5" customHeight="1" thickBot="1">
      <c r="A10" s="151"/>
      <c r="B10" s="479"/>
      <c r="C10" s="484" t="s">
        <v>65</v>
      </c>
      <c r="D10" s="1311" t="s">
        <v>784</v>
      </c>
      <c r="E10" s="1306"/>
      <c r="F10" s="1307"/>
      <c r="G10" s="1305" t="s">
        <v>263</v>
      </c>
      <c r="H10" s="1306"/>
      <c r="I10" s="1307"/>
      <c r="J10" s="1305" t="s">
        <v>264</v>
      </c>
      <c r="K10" s="1306"/>
      <c r="L10" s="1307"/>
      <c r="M10" s="1305" t="s">
        <v>265</v>
      </c>
      <c r="N10" s="1306"/>
      <c r="O10" s="1307"/>
      <c r="P10" s="1305" t="s">
        <v>266</v>
      </c>
      <c r="Q10" s="1306"/>
      <c r="R10" s="1340"/>
      <c r="S10" s="481"/>
      <c r="T10" s="155"/>
      <c r="U10" s="51"/>
    </row>
    <row r="11" spans="1:22" ht="62.1" customHeight="1" thickTop="1">
      <c r="A11" s="151"/>
      <c r="B11" s="479"/>
      <c r="C11" s="485" t="s">
        <v>70</v>
      </c>
      <c r="D11" s="1342" t="s">
        <v>1117</v>
      </c>
      <c r="E11" s="1303"/>
      <c r="F11" s="1341"/>
      <c r="G11" s="1302" t="s">
        <v>1116</v>
      </c>
      <c r="H11" s="1303"/>
      <c r="I11" s="1341"/>
      <c r="J11" s="1302" t="s">
        <v>71</v>
      </c>
      <c r="K11" s="1303"/>
      <c r="L11" s="1304"/>
      <c r="M11" s="1302" t="s">
        <v>18</v>
      </c>
      <c r="N11" s="1303"/>
      <c r="O11" s="1304"/>
      <c r="P11" s="1302" t="s">
        <v>19</v>
      </c>
      <c r="Q11" s="1303"/>
      <c r="R11" s="1304"/>
      <c r="S11" s="481"/>
      <c r="T11" s="155"/>
      <c r="U11" s="51"/>
    </row>
    <row r="12" spans="1:22" ht="78" customHeight="1">
      <c r="A12" s="151"/>
      <c r="B12" s="479"/>
      <c r="C12" s="486" t="s">
        <v>20</v>
      </c>
      <c r="D12" s="1339" t="s">
        <v>1118</v>
      </c>
      <c r="E12" s="1319"/>
      <c r="F12" s="1324"/>
      <c r="G12" s="1318" t="s">
        <v>1115</v>
      </c>
      <c r="H12" s="1319"/>
      <c r="I12" s="1324"/>
      <c r="J12" s="1318" t="s">
        <v>21</v>
      </c>
      <c r="K12" s="1319"/>
      <c r="L12" s="1320"/>
      <c r="M12" s="1318" t="s">
        <v>22</v>
      </c>
      <c r="N12" s="1319"/>
      <c r="O12" s="1320"/>
      <c r="P12" s="1318" t="s">
        <v>127</v>
      </c>
      <c r="Q12" s="1319"/>
      <c r="R12" s="1320"/>
      <c r="S12" s="481"/>
      <c r="T12" s="155"/>
      <c r="U12" s="51"/>
    </row>
    <row r="13" spans="1:22" ht="105.75" customHeight="1">
      <c r="A13" s="151"/>
      <c r="B13" s="479"/>
      <c r="C13" s="486" t="s">
        <v>128</v>
      </c>
      <c r="D13" s="1321"/>
      <c r="E13" s="1322"/>
      <c r="F13" s="1323"/>
      <c r="G13" s="1318" t="s">
        <v>1113</v>
      </c>
      <c r="H13" s="1319"/>
      <c r="I13" s="1324"/>
      <c r="J13" s="1318" t="s">
        <v>1114</v>
      </c>
      <c r="K13" s="1319"/>
      <c r="L13" s="1320"/>
      <c r="M13" s="1318" t="s">
        <v>69</v>
      </c>
      <c r="N13" s="1319"/>
      <c r="O13" s="1320"/>
      <c r="P13" s="1318" t="s">
        <v>34</v>
      </c>
      <c r="Q13" s="1319"/>
      <c r="R13" s="1320"/>
      <c r="S13" s="481"/>
      <c r="T13" s="155"/>
      <c r="U13" s="51"/>
    </row>
    <row r="14" spans="1:22" ht="68.25" customHeight="1">
      <c r="A14" s="151"/>
      <c r="B14" s="479"/>
      <c r="C14" s="486" t="s">
        <v>35</v>
      </c>
      <c r="D14" s="1321"/>
      <c r="E14" s="1322"/>
      <c r="F14" s="1323"/>
      <c r="G14" s="1325"/>
      <c r="H14" s="1322"/>
      <c r="I14" s="1323"/>
      <c r="J14" s="1318" t="s">
        <v>36</v>
      </c>
      <c r="K14" s="1319"/>
      <c r="L14" s="1320"/>
      <c r="M14" s="1318" t="s">
        <v>37</v>
      </c>
      <c r="N14" s="1319"/>
      <c r="O14" s="1320"/>
      <c r="P14" s="1318" t="s">
        <v>38</v>
      </c>
      <c r="Q14" s="1319"/>
      <c r="R14" s="1320"/>
      <c r="S14" s="481"/>
      <c r="T14" s="155"/>
      <c r="U14" s="51"/>
    </row>
    <row r="15" spans="1:22" ht="84" customHeight="1" thickBot="1">
      <c r="A15" s="151"/>
      <c r="B15" s="479"/>
      <c r="C15" s="487" t="s">
        <v>39</v>
      </c>
      <c r="D15" s="1332"/>
      <c r="E15" s="1333"/>
      <c r="F15" s="1334"/>
      <c r="G15" s="1335"/>
      <c r="H15" s="1333"/>
      <c r="I15" s="1334"/>
      <c r="J15" s="1336" t="s">
        <v>1099</v>
      </c>
      <c r="K15" s="1337"/>
      <c r="L15" s="1338"/>
      <c r="M15" s="1336" t="s">
        <v>1100</v>
      </c>
      <c r="N15" s="1337"/>
      <c r="O15" s="1338"/>
      <c r="P15" s="1336" t="s">
        <v>1101</v>
      </c>
      <c r="Q15" s="1337"/>
      <c r="R15" s="1338"/>
      <c r="S15" s="481"/>
      <c r="T15" s="155"/>
      <c r="U15" s="51"/>
    </row>
    <row r="16" spans="1:22" ht="21" customHeight="1" thickTop="1" thickBot="1">
      <c r="A16" s="151"/>
      <c r="B16" s="479"/>
      <c r="C16" s="1329" t="s">
        <v>126</v>
      </c>
      <c r="D16" s="1330"/>
      <c r="E16" s="1330"/>
      <c r="F16" s="1330"/>
      <c r="G16" s="1330"/>
      <c r="H16" s="1330"/>
      <c r="I16" s="1330"/>
      <c r="J16" s="1330"/>
      <c r="K16" s="1330"/>
      <c r="L16" s="1330"/>
      <c r="M16" s="1330"/>
      <c r="N16" s="1330"/>
      <c r="O16" s="1330"/>
      <c r="P16" s="1330"/>
      <c r="Q16" s="1330"/>
      <c r="R16" s="1331"/>
      <c r="S16" s="481"/>
      <c r="T16" s="155"/>
      <c r="U16" s="51"/>
    </row>
    <row r="17" spans="1:22" ht="13.3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3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35" hidden="1" customHeight="1">
      <c r="A19" s="151"/>
      <c r="B19" s="479"/>
      <c r="C19" s="492"/>
      <c r="D19" s="492"/>
      <c r="E19" s="493" t="e">
        <f>IF(AND(ROUND('M36 Refs'!$AH$118,0)&gt;=E17,ROUND('M36 Refs'!$AH$118,0)&lt;='Loss Control Planning'!E18,'M36 Refs'!AN118=0),1,0)</f>
        <v>#VALUE!</v>
      </c>
      <c r="F19" s="493"/>
      <c r="G19" s="493"/>
      <c r="H19" s="493" t="e">
        <f>IF(AND(ROUND('M36 Refs'!$AH$118,0)&gt;=H17,ROUND('M36 Refs'!$AH$118,0)&lt;='Loss Control Planning'!H18,'M36 Refs'!AN118=0),1,0)</f>
        <v>#VALUE!</v>
      </c>
      <c r="I19" s="493"/>
      <c r="J19" s="493"/>
      <c r="K19" s="493" t="e">
        <f>IF(AND(ROUND('M36 Refs'!$AH$118,0)&gt;=K17,ROUND('M36 Refs'!$AH$118,0)&lt;='Loss Control Planning'!K18,'M36 Refs'!AN118=0),1,0)</f>
        <v>#VALUE!</v>
      </c>
      <c r="L19" s="493"/>
      <c r="M19" s="493"/>
      <c r="N19" s="493" t="e">
        <f>IF(AND(ROUND('M36 Refs'!$AH$118,0)&gt;=N17,ROUND('M36 Refs'!$AH$118,0)&lt;='Loss Control Planning'!N18,'M36 Refs'!AN118=0),1,0)</f>
        <v>#VALUE!</v>
      </c>
      <c r="O19" s="493"/>
      <c r="P19" s="493"/>
      <c r="Q19" s="493" t="e">
        <f>IF(AND(ROUND('M36 Refs'!$AH$118,0)&gt;=Q17,ROUND('M36 Refs'!$AH$118,0)&lt;='Loss Control Planning'!Q18,'M36 Refs'!AN118=0),1,0)</f>
        <v>#VALUE!</v>
      </c>
      <c r="R19" s="493"/>
      <c r="S19" s="481"/>
      <c r="T19" s="155"/>
      <c r="U19" s="51"/>
    </row>
    <row r="20" spans="1:22" ht="13.35" hidden="1" customHeight="1">
      <c r="A20" s="151"/>
      <c r="C20" s="3"/>
      <c r="D20" s="3"/>
      <c r="E20" s="3"/>
      <c r="F20" s="3"/>
      <c r="G20" s="3"/>
      <c r="H20" s="3"/>
      <c r="I20" s="3"/>
      <c r="J20" s="3"/>
      <c r="K20" s="3"/>
      <c r="L20" s="3"/>
      <c r="M20" s="3"/>
      <c r="N20" s="3"/>
      <c r="O20" s="3"/>
      <c r="P20" s="3"/>
      <c r="Q20" s="3"/>
      <c r="R20" s="3"/>
      <c r="S20" s="494"/>
      <c r="T20" s="152"/>
    </row>
    <row r="21" spans="1:22" ht="13.35" hidden="1" customHeight="1">
      <c r="A21" s="151"/>
      <c r="C21" s="3"/>
      <c r="D21" s="3"/>
      <c r="E21" s="3"/>
      <c r="F21" s="3"/>
      <c r="G21" s="3"/>
      <c r="H21" s="3"/>
      <c r="I21" s="3"/>
      <c r="J21" s="3"/>
      <c r="K21" s="3"/>
      <c r="L21" s="3"/>
      <c r="M21" s="3"/>
      <c r="N21" s="3"/>
      <c r="O21" s="3"/>
      <c r="P21" s="3"/>
      <c r="Q21" s="3"/>
      <c r="R21" s="3"/>
      <c r="S21" s="494"/>
      <c r="T21" s="152"/>
    </row>
    <row r="22" spans="1:22" ht="13.3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3.2"/>
  <cols>
    <col min="1" max="1" width="28.6640625" style="866"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868" t="s">
        <v>1061</v>
      </c>
      <c r="B1" s="869" t="s">
        <v>1062</v>
      </c>
    </row>
    <row r="2" spans="1:2" ht="108.6">
      <c r="A2" s="866" t="s">
        <v>1052</v>
      </c>
      <c r="B2" s="861" t="s">
        <v>1051</v>
      </c>
    </row>
    <row r="3" spans="1:2" ht="28.35" customHeight="1">
      <c r="B3" s="862"/>
    </row>
    <row r="4" spans="1:2" ht="60">
      <c r="A4" s="866" t="s">
        <v>1054</v>
      </c>
      <c r="B4" s="861" t="s">
        <v>1053</v>
      </c>
    </row>
    <row r="5" spans="1:2">
      <c r="B5" s="863"/>
    </row>
    <row r="6" spans="1:2" ht="76.8">
      <c r="A6" s="866" t="s">
        <v>1056</v>
      </c>
      <c r="B6" s="864" t="s">
        <v>1055</v>
      </c>
    </row>
    <row r="7" spans="1:2">
      <c r="B7" s="863"/>
    </row>
    <row r="8" spans="1:2" ht="155.4">
      <c r="A8" s="866" t="s">
        <v>1058</v>
      </c>
      <c r="B8" s="861" t="s">
        <v>1057</v>
      </c>
    </row>
    <row r="9" spans="1:2">
      <c r="B9" s="863"/>
    </row>
    <row r="10" spans="1:2" ht="240">
      <c r="A10" s="867" t="s">
        <v>1059</v>
      </c>
      <c r="B10" s="865" t="s">
        <v>1060</v>
      </c>
    </row>
    <row r="12" spans="1:2" ht="150">
      <c r="A12" s="866" t="s">
        <v>1064</v>
      </c>
      <c r="B12" s="861" t="s">
        <v>1063</v>
      </c>
    </row>
    <row r="13" spans="1:2">
      <c r="B13" s="862"/>
    </row>
    <row r="14" spans="1:2" ht="46.8">
      <c r="A14" s="866" t="s">
        <v>1066</v>
      </c>
      <c r="B14" s="864" t="s">
        <v>1065</v>
      </c>
    </row>
    <row r="15" spans="1:2">
      <c r="B15" s="863"/>
    </row>
    <row r="16" spans="1:2" ht="63.6">
      <c r="A16" s="866" t="s">
        <v>1068</v>
      </c>
      <c r="B16" s="864" t="s">
        <v>1067</v>
      </c>
    </row>
    <row r="17" spans="1:2">
      <c r="B17" s="863"/>
    </row>
    <row r="18" spans="1:2" ht="106.8">
      <c r="A18" s="866" t="s">
        <v>1070</v>
      </c>
      <c r="B18" s="864" t="s">
        <v>1069</v>
      </c>
    </row>
    <row r="19" spans="1:2">
      <c r="B19" s="863"/>
    </row>
    <row r="20" spans="1:2" ht="78.599999999999994">
      <c r="A20" s="866" t="s">
        <v>1072</v>
      </c>
      <c r="B20" s="861" t="s">
        <v>1071</v>
      </c>
    </row>
    <row r="21" spans="1:2">
      <c r="B21" s="863"/>
    </row>
    <row r="22" spans="1:2" ht="93.6">
      <c r="A22" s="866" t="s">
        <v>1074</v>
      </c>
      <c r="B22" s="861" t="s">
        <v>1073</v>
      </c>
    </row>
    <row r="23" spans="1:2">
      <c r="B23" s="863"/>
    </row>
    <row r="24" spans="1:2" ht="93.6">
      <c r="A24" s="866" t="s">
        <v>1076</v>
      </c>
      <c r="B24" s="861" t="s">
        <v>1075</v>
      </c>
    </row>
    <row r="25" spans="1:2">
      <c r="B25" s="863"/>
    </row>
    <row r="26" spans="1:2" ht="60">
      <c r="A26" s="866" t="s">
        <v>1078</v>
      </c>
      <c r="B26" s="861" t="s">
        <v>1077</v>
      </c>
    </row>
    <row r="96" spans="34:34">
      <c r="AH96" s="41" t="s">
        <v>46</v>
      </c>
    </row>
    <row r="97" spans="28:40" ht="26.4">
      <c r="AD97" s="40" t="s">
        <v>43</v>
      </c>
      <c r="AE97" s="40" t="s">
        <v>44</v>
      </c>
      <c r="AF97" s="40" t="s">
        <v>47</v>
      </c>
      <c r="AG97" s="40" t="s">
        <v>48</v>
      </c>
      <c r="AH97" s="40" t="s">
        <v>45</v>
      </c>
      <c r="AI97" s="40" t="s">
        <v>49</v>
      </c>
      <c r="AJ97" s="40" t="s">
        <v>61</v>
      </c>
      <c r="AK97" s="40"/>
      <c r="AL97" s="267" t="s">
        <v>59</v>
      </c>
      <c r="AM97" s="267" t="s">
        <v>58</v>
      </c>
      <c r="AN97" s="267" t="s">
        <v>60</v>
      </c>
    </row>
    <row r="98" spans="28:40">
      <c r="AC98" s="270" t="s">
        <v>689</v>
      </c>
      <c r="AD98" s="46" t="str">
        <f>IF(Worksheet!F15="n/a",0,Worksheet!F15)</f>
        <v/>
      </c>
      <c r="AE98" s="80" t="e">
        <f>Worksheet!Y15</f>
        <v>#DIV/0!</v>
      </c>
      <c r="AF98" s="47" t="e">
        <f t="shared" ref="AF98:AF103" si="0">AE98</f>
        <v>#DIV/0!</v>
      </c>
      <c r="AG98" s="47" t="e">
        <f>IF(AE98&lt;&gt;0,AF98/10,0)</f>
        <v>#DIV/0!</v>
      </c>
      <c r="AH98" s="44">
        <f>IFERROR(AD98*AG98,0)</f>
        <v>0</v>
      </c>
      <c r="AI98" s="45" t="e">
        <f t="shared" ref="AI98:AI117" si="1">IF(AG98=0,0,AF98-AH98)</f>
        <v>#DIV/0!</v>
      </c>
      <c r="AJ98" t="e">
        <f t="array" aca="1" ref="AJ98" ca="1">SUM(1*(AI98&lt;$AI$98:$AI$117))+1+IF(ROW(AI98)-ROW($AI$98)=0,0,SUM(1*(AI98=OFFSET($AI$98,0,0,INDEX(ROW(AI98)-ROW($AI$98)+1,1)-1,1))))</f>
        <v>#DIV/0!</v>
      </c>
      <c r="AK98" s="104" t="str">
        <f>AC98</f>
        <v>Volume from Own Sources (VOS)</v>
      </c>
      <c r="AL98">
        <f>IFERROR(IF(AE98&lt;&gt;0,1,0),0)</f>
        <v>0</v>
      </c>
      <c r="AM98">
        <f>IF(AD98="",0,IF(AD98&lt;&gt;0,1,0))</f>
        <v>0</v>
      </c>
      <c r="AN98">
        <f t="shared" ref="AN98:AN117" si="2">IF(AND(AL98=1,AM98=0),1,0)</f>
        <v>0</v>
      </c>
    </row>
    <row r="99" spans="28:40">
      <c r="AC99" s="274" t="s">
        <v>690</v>
      </c>
      <c r="AD99" s="46" t="str">
        <f>IF(Worksheet!M15="n/a",0,Worksheet!M15)</f>
        <v/>
      </c>
      <c r="AE99" s="80" t="e">
        <f>Worksheet!Z15</f>
        <v>#DIV/0!</v>
      </c>
      <c r="AF99" s="47" t="e">
        <f t="shared" si="0"/>
        <v>#DIV/0!</v>
      </c>
      <c r="AG99" s="47" t="e">
        <f t="shared" ref="AG99:AG117" si="3">IF(AE99&lt;&gt;0,AF99/10,0)</f>
        <v>#DIV/0!</v>
      </c>
      <c r="AH99" s="44">
        <f t="shared" ref="AH99:AH106" si="4">IFERROR(AD99*AG99,0)</f>
        <v>0</v>
      </c>
      <c r="AI99" s="45" t="e">
        <f t="shared" si="1"/>
        <v>#DIV/0!</v>
      </c>
      <c r="AJ99" t="e">
        <f t="array" aca="1" ref="AJ99" ca="1">SUM(1*(AI99&lt;$AI$98:$AI$117))+1+IF(ROW(AI99)-ROW($AI$98)=0,0,SUM(1*(AI99=OFFSET($AI$98,0,0,INDEX(ROW(AI99)-ROW($AI$98)+1,1)-1,1))))</f>
        <v>#DIV/0!</v>
      </c>
      <c r="AK99" s="104" t="str">
        <f t="shared" ref="AK99:AK117" si="5">AC99</f>
        <v>VOS Error Adjustment (VOSEA)</v>
      </c>
      <c r="AL99">
        <f t="shared" ref="AL99:AL103" si="6">IFERROR(IF(AE99&lt;&gt;0,1,0),0)</f>
        <v>0</v>
      </c>
      <c r="AM99">
        <f t="shared" ref="AM99:AM117" si="7">IF(AD99="",0,IF(AD99&lt;&gt;0,1,0))</f>
        <v>0</v>
      </c>
      <c r="AN99">
        <f t="shared" si="2"/>
        <v>0</v>
      </c>
    </row>
    <row r="100" spans="28:40">
      <c r="AC100" s="270" t="s">
        <v>691</v>
      </c>
      <c r="AD100" s="46" t="str">
        <f>IF(Worksheet!F16="n/a",0,Worksheet!F16)</f>
        <v/>
      </c>
      <c r="AE100" s="80" t="e">
        <f>Worksheet!Y16</f>
        <v>#DIV/0!</v>
      </c>
      <c r="AF100" s="47" t="e">
        <f t="shared" si="0"/>
        <v>#DIV/0!</v>
      </c>
      <c r="AG100" s="47" t="e">
        <f t="shared" si="3"/>
        <v>#DIV/0!</v>
      </c>
      <c r="AH100" s="44">
        <f t="shared" si="4"/>
        <v>0</v>
      </c>
      <c r="AI100" s="45" t="e">
        <f t="shared" si="1"/>
        <v>#DIV/0!</v>
      </c>
      <c r="AJ100" t="e">
        <f t="array" aca="1" ref="AJ100" ca="1">SUM(1*(AI100&lt;$AI$98:$AI$117))+1+IF(ROW(AI100)-ROW($AI$98)=0,0,SUM(1*(AI100=OFFSET($AI$98,0,0,INDEX(ROW(AI100)-ROW($AI$98)+1,1)-1,1))))</f>
        <v>#DIV/0!</v>
      </c>
      <c r="AK100" s="104" t="str">
        <f t="shared" si="5"/>
        <v>Water Imported (WI)</v>
      </c>
      <c r="AL100">
        <f t="shared" si="6"/>
        <v>0</v>
      </c>
      <c r="AM100">
        <f t="shared" si="7"/>
        <v>0</v>
      </c>
      <c r="AN100">
        <f t="shared" si="2"/>
        <v>0</v>
      </c>
    </row>
    <row r="101" spans="28:40">
      <c r="AC101" s="274" t="s">
        <v>704</v>
      </c>
      <c r="AD101" s="46" t="str">
        <f>IF(Worksheet!M16="n/a",0,Worksheet!M16)</f>
        <v/>
      </c>
      <c r="AE101" s="80" t="e">
        <f>Worksheet!Z16</f>
        <v>#DIV/0!</v>
      </c>
      <c r="AF101" s="47" t="e">
        <f t="shared" si="0"/>
        <v>#DIV/0!</v>
      </c>
      <c r="AG101" s="47" t="e">
        <f t="shared" si="3"/>
        <v>#DIV/0!</v>
      </c>
      <c r="AH101" s="44">
        <f t="shared" si="4"/>
        <v>0</v>
      </c>
      <c r="AI101" s="45" t="e">
        <f t="shared" si="1"/>
        <v>#DIV/0!</v>
      </c>
      <c r="AJ101" t="e">
        <f t="array" aca="1" ref="AJ101" ca="1">SUM(1*(AI101&lt;$AI$98:$AI$117))+1+IF(ROW(AI101)-ROW($AI$98)=0,0,SUM(1*(AI101=OFFSET($AI$98,0,0,INDEX(ROW(AI101)-ROW($AI$98)+1,1)-1,1))))</f>
        <v>#DIV/0!</v>
      </c>
      <c r="AK101" s="104" t="str">
        <f t="shared" si="5"/>
        <v>WI Error Adjustment (WIEA)</v>
      </c>
      <c r="AL101">
        <f t="shared" si="6"/>
        <v>0</v>
      </c>
      <c r="AM101">
        <f t="shared" si="7"/>
        <v>0</v>
      </c>
      <c r="AN101">
        <f t="shared" si="2"/>
        <v>0</v>
      </c>
    </row>
    <row r="102" spans="28:40">
      <c r="AC102" s="270" t="s">
        <v>705</v>
      </c>
      <c r="AD102" s="46" t="str">
        <f>IF(Worksheet!F17="n/a",0,Worksheet!F17)</f>
        <v/>
      </c>
      <c r="AE102" s="80" t="e">
        <f>Worksheet!Y17</f>
        <v>#DIV/0!</v>
      </c>
      <c r="AF102" s="47" t="e">
        <f t="shared" si="0"/>
        <v>#DIV/0!</v>
      </c>
      <c r="AG102" s="47" t="e">
        <f t="shared" si="3"/>
        <v>#DIV/0!</v>
      </c>
      <c r="AH102" s="44">
        <f t="shared" si="4"/>
        <v>0</v>
      </c>
      <c r="AI102" s="45" t="e">
        <f t="shared" si="1"/>
        <v>#DIV/0!</v>
      </c>
      <c r="AJ102" t="e">
        <f t="array" aca="1" ref="AJ102" ca="1">SUM(1*(AI102&lt;$AI$98:$AI$117))+1+IF(ROW(AI102)-ROW($AI$98)=0,0,SUM(1*(AI102=OFFSET($AI$98,0,0,INDEX(ROW(AI102)-ROW($AI$98)+1,1)-1,1))))</f>
        <v>#DIV/0!</v>
      </c>
      <c r="AK102" s="104" t="str">
        <f t="shared" si="5"/>
        <v>Water Exported (WE)</v>
      </c>
      <c r="AL102">
        <f t="shared" si="6"/>
        <v>0</v>
      </c>
      <c r="AM102">
        <f t="shared" si="7"/>
        <v>0</v>
      </c>
      <c r="AN102">
        <f t="shared" si="2"/>
        <v>0</v>
      </c>
    </row>
    <row r="103" spans="28:40">
      <c r="AC103" s="274" t="s">
        <v>706</v>
      </c>
      <c r="AD103" s="81" t="str">
        <f>IF(Worksheet!M17="n/a",0,Worksheet!M17)</f>
        <v/>
      </c>
      <c r="AE103" s="82" t="e">
        <f>Worksheet!Z17</f>
        <v>#DIV/0!</v>
      </c>
      <c r="AF103" s="83" t="e">
        <f t="shared" si="0"/>
        <v>#DIV/0!</v>
      </c>
      <c r="AG103" s="83" t="e">
        <f t="shared" si="3"/>
        <v>#DIV/0!</v>
      </c>
      <c r="AH103" s="44">
        <f t="shared" si="4"/>
        <v>0</v>
      </c>
      <c r="AI103" s="83" t="e">
        <f t="shared" si="1"/>
        <v>#DIV/0!</v>
      </c>
      <c r="AJ103" s="84" t="e">
        <f t="array" aca="1" ref="AJ103" ca="1">SUM(1*(AI103&lt;$AI$98:$AI$117))+1+IF(ROW(AI103)-ROW($AI$98)=0,0,SUM(1*(AI103=OFFSET($AI$98,0,0,INDEX(ROW(AI103)-ROW($AI$98)+1,1)-1,1))))</f>
        <v>#DIV/0!</v>
      </c>
      <c r="AK103" s="105" t="str">
        <f t="shared" si="5"/>
        <v>WE Error Adjustment (WEEA)</v>
      </c>
      <c r="AL103">
        <f t="shared" si="6"/>
        <v>0</v>
      </c>
      <c r="AM103" s="84">
        <f t="shared" si="7"/>
        <v>0</v>
      </c>
      <c r="AN103" s="84">
        <f t="shared" si="2"/>
        <v>0</v>
      </c>
    </row>
    <row r="104" spans="28:40">
      <c r="AC104" s="271" t="s">
        <v>692</v>
      </c>
      <c r="AD104" s="90" t="str">
        <f>IF(Worksheet!F23="n/a",0,Worksheet!F23)</f>
        <v/>
      </c>
      <c r="AE104" s="275">
        <f>IF(Worksheet!H23&gt;0,Worksheet!Y23,0)</f>
        <v>0</v>
      </c>
      <c r="AF104" s="92">
        <f t="shared" ref="AF104:AF117" si="8">AE104/$AE$120</f>
        <v>0</v>
      </c>
      <c r="AG104" s="92">
        <f t="shared" si="3"/>
        <v>0</v>
      </c>
      <c r="AH104" s="92" t="e">
        <f t="shared" ref="AH104:AH117" si="9">AD104*AG104</f>
        <v>#VALUE!</v>
      </c>
      <c r="AI104" s="93">
        <f t="shared" si="1"/>
        <v>0</v>
      </c>
      <c r="AJ104" s="94" t="e">
        <f t="array" aca="1" ref="AJ104" ca="1">SUM(1*(AI104&lt;$AI$98:$AI$117))+1+IF(ROW(AI104)-ROW($AI$98)=0,0,SUM(1*(AI104=OFFSET($AI$98,0,0,INDEX(ROW(AI104)-ROW($AI$98)+1,1)-1,1))))</f>
        <v>#DIV/0!</v>
      </c>
      <c r="AK104" s="106" t="str">
        <f t="shared" si="5"/>
        <v>Billed Metered (BMAC)</v>
      </c>
      <c r="AL104" s="94">
        <f t="shared" ref="AL104:AL117" si="10">IF(AE104&lt;&gt;0,1,0)</f>
        <v>0</v>
      </c>
      <c r="AM104" s="94">
        <f t="shared" si="7"/>
        <v>0</v>
      </c>
      <c r="AN104" s="94">
        <f t="shared" si="2"/>
        <v>0</v>
      </c>
    </row>
    <row r="105" spans="28:40">
      <c r="AC105" s="272" t="s">
        <v>693</v>
      </c>
      <c r="AD105" s="96" t="str">
        <f>IF(Worksheet!F24="n/a",0,Worksheet!F24)</f>
        <v/>
      </c>
      <c r="AE105" s="276">
        <f>IF(Worksheet!H24=0,0,12)</f>
        <v>0</v>
      </c>
      <c r="AF105" s="97">
        <f t="shared" si="8"/>
        <v>0</v>
      </c>
      <c r="AG105" s="97">
        <f t="shared" si="3"/>
        <v>0</v>
      </c>
      <c r="AH105" s="44">
        <f t="shared" si="4"/>
        <v>0</v>
      </c>
      <c r="AI105" s="98">
        <f t="shared" si="1"/>
        <v>0</v>
      </c>
      <c r="AJ105" s="99" t="e">
        <f t="array" aca="1" ref="AJ105" ca="1">SUM(1*(AI105&lt;$AI$98:$AI$117))+1+IF(ROW(AI105)-ROW($AI$98)=0,0,SUM(1*(AI105=OFFSET($AI$98,0,0,INDEX(ROW(AI105)-ROW($AI$98)+1,1)-1,1))))</f>
        <v>#DIV/0!</v>
      </c>
      <c r="AK105" s="107" t="str">
        <f t="shared" si="5"/>
        <v>Billed Unmetered (BUAC)</v>
      </c>
      <c r="AL105" s="99">
        <f t="shared" si="10"/>
        <v>0</v>
      </c>
      <c r="AM105" s="99">
        <f t="shared" si="7"/>
        <v>0</v>
      </c>
      <c r="AN105" s="99">
        <f t="shared" si="2"/>
        <v>0</v>
      </c>
    </row>
    <row r="106" spans="28:40">
      <c r="AC106" s="272" t="s">
        <v>694</v>
      </c>
      <c r="AD106" s="96" t="str">
        <f>IF(Worksheet!F25="n/a",0,Worksheet!F25)</f>
        <v/>
      </c>
      <c r="AE106" s="276">
        <f>IF(Worksheet!H25&gt;0,Worksheet!Y24,0)</f>
        <v>0</v>
      </c>
      <c r="AF106" s="97">
        <f t="shared" si="8"/>
        <v>0</v>
      </c>
      <c r="AG106" s="97">
        <f t="shared" si="3"/>
        <v>0</v>
      </c>
      <c r="AH106" s="44">
        <f t="shared" si="4"/>
        <v>0</v>
      </c>
      <c r="AI106" s="98">
        <f t="shared" si="1"/>
        <v>0</v>
      </c>
      <c r="AJ106" s="99" t="e">
        <f t="array" aca="1" ref="AJ106" ca="1">SUM(1*(AI106&lt;$AI$98:$AI$117))+1+IF(ROW(AI106)-ROW($AI$98)=0,0,SUM(1*(AI106=OFFSET($AI$98,0,0,INDEX(ROW(AI106)-ROW($AI$98)+1,1)-1,1))))</f>
        <v>#DIV/0!</v>
      </c>
      <c r="AK106" s="107" t="str">
        <f t="shared" si="5"/>
        <v>Unbilled Metered (UMAC)</v>
      </c>
      <c r="AL106" s="99">
        <f t="shared" si="10"/>
        <v>0</v>
      </c>
      <c r="AM106" s="99">
        <f t="shared" si="7"/>
        <v>0</v>
      </c>
      <c r="AN106" s="99">
        <f t="shared" si="2"/>
        <v>0</v>
      </c>
    </row>
    <row r="107" spans="28:40">
      <c r="AB107" t="s">
        <v>63</v>
      </c>
      <c r="AC107" s="273" t="s">
        <v>695</v>
      </c>
      <c r="AD107" s="95">
        <f>IF(OR(Worksheet!W26=1,AND(Worksheet!W26=2,Worksheet!Q26=0)),3,Worksheet!F26)</f>
        <v>3</v>
      </c>
      <c r="AE107" s="86">
        <v>2</v>
      </c>
      <c r="AF107" s="87">
        <f t="shared" si="8"/>
        <v>3.3333333333333335</v>
      </c>
      <c r="AG107" s="87">
        <f t="shared" si="3"/>
        <v>0.33333333333333337</v>
      </c>
      <c r="AH107" s="87">
        <f t="shared" si="9"/>
        <v>1</v>
      </c>
      <c r="AI107" s="88">
        <f t="shared" si="1"/>
        <v>2.3333333333333335</v>
      </c>
      <c r="AJ107" s="89" t="e">
        <f t="array" aca="1" ref="AJ107" ca="1">SUM(1*(AI107&lt;$AI$98:$AI$117))+1+IF(ROW(AI107)-ROW($AI$98)=0,0,SUM(1*(AI107=OFFSET($AI$98,0,0,INDEX(ROW(AI107)-ROW($AI$98)+1,1)-1,1))))</f>
        <v>#DIV/0!</v>
      </c>
      <c r="AK107" s="108" t="str">
        <f t="shared" si="5"/>
        <v>Unbilled Unmetered (UUAC)</v>
      </c>
      <c r="AL107" s="89">
        <f t="shared" si="10"/>
        <v>1</v>
      </c>
      <c r="AM107" s="89">
        <f t="shared" si="7"/>
        <v>1</v>
      </c>
      <c r="AN107" s="89">
        <f t="shared" si="2"/>
        <v>0</v>
      </c>
    </row>
    <row r="108" spans="28:40">
      <c r="AB108" t="s">
        <v>63</v>
      </c>
      <c r="AC108" s="273" t="s">
        <v>679</v>
      </c>
      <c r="AD108" s="95">
        <f>IF(OR(Worksheet!W43=1,AND(Worksheet!W43=2,Worksheet!Q43=0)),3,Worksheet!F43)</f>
        <v>3</v>
      </c>
      <c r="AE108" s="86">
        <v>3.5</v>
      </c>
      <c r="AF108" s="87">
        <f t="shared" si="8"/>
        <v>5.8333333333333339</v>
      </c>
      <c r="AG108" s="87">
        <f t="shared" si="3"/>
        <v>0.58333333333333337</v>
      </c>
      <c r="AH108" s="87">
        <f t="shared" si="9"/>
        <v>1.75</v>
      </c>
      <c r="AI108" s="88">
        <f t="shared" si="1"/>
        <v>4.0833333333333339</v>
      </c>
      <c r="AJ108" s="89" t="e">
        <f t="array" aca="1" ref="AJ108" ca="1">SUM(1*(AI108&lt;$AI$98:$AI$117))+1+IF(ROW(AI108)-ROW($AI$98)=0,0,SUM(1*(AI108=OFFSET($AI$98,0,0,INDEX(ROW(AI108)-ROW($AI$98)+1,1)-1,1))))</f>
        <v>#DIV/0!</v>
      </c>
      <c r="AK108" s="108" t="str">
        <f t="shared" si="5"/>
        <v>Unauthorized Consumption (UC)</v>
      </c>
      <c r="AL108" s="89">
        <f t="shared" si="10"/>
        <v>1</v>
      </c>
      <c r="AM108" s="89">
        <f t="shared" si="7"/>
        <v>1</v>
      </c>
      <c r="AN108" s="89">
        <f t="shared" si="2"/>
        <v>0</v>
      </c>
    </row>
    <row r="109" spans="28:40">
      <c r="AC109" s="271" t="s">
        <v>696</v>
      </c>
      <c r="AD109" s="90" t="str">
        <f>IF(Worksheet!F41="n/a",0,Worksheet!F41)</f>
        <v/>
      </c>
      <c r="AE109" s="91">
        <f>IF(AND(Worksheet!F41="n/a",Worksheet!H41=0),0,6)</f>
        <v>6</v>
      </c>
      <c r="AF109" s="92">
        <f t="shared" si="8"/>
        <v>10</v>
      </c>
      <c r="AG109" s="92">
        <f t="shared" si="3"/>
        <v>1</v>
      </c>
      <c r="AH109" s="92" t="e">
        <f t="shared" si="9"/>
        <v>#VALUE!</v>
      </c>
      <c r="AI109" s="93" t="e">
        <f t="shared" si="1"/>
        <v>#VALUE!</v>
      </c>
      <c r="AJ109" s="94" t="e">
        <f t="array" aca="1" ref="AJ109" ca="1">SUM(1*(AI109&lt;$AI$98:$AI$117))+1+IF(ROW(AI109)-ROW($AI$98)=0,0,SUM(1*(AI109=OFFSET($AI$98,0,0,INDEX(ROW(AI109)-ROW($AI$98)+1,1)-1,1))))</f>
        <v>#VALUE!</v>
      </c>
      <c r="AK109" s="106" t="str">
        <f t="shared" si="5"/>
        <v>Customer Metering Inaccuracies (CMI)</v>
      </c>
      <c r="AL109" s="94">
        <f t="shared" si="10"/>
        <v>1</v>
      </c>
      <c r="AM109" s="94">
        <f t="shared" si="7"/>
        <v>0</v>
      </c>
      <c r="AN109" s="94">
        <f t="shared" si="2"/>
        <v>1</v>
      </c>
    </row>
    <row r="110" spans="28:40">
      <c r="AC110" s="273" t="s">
        <v>697</v>
      </c>
      <c r="AD110" s="85">
        <f>IF(Worksheet!H39=0,1,IF(Worksheet!W39=1,3,Worksheet!F39))</f>
        <v>1</v>
      </c>
      <c r="AE110" s="86">
        <v>3.5</v>
      </c>
      <c r="AF110" s="87">
        <f t="shared" si="8"/>
        <v>5.8333333333333339</v>
      </c>
      <c r="AG110" s="87">
        <f t="shared" si="3"/>
        <v>0.58333333333333337</v>
      </c>
      <c r="AH110" s="87">
        <f t="shared" si="9"/>
        <v>0.58333333333333337</v>
      </c>
      <c r="AI110" s="88">
        <f t="shared" si="1"/>
        <v>5.2500000000000009</v>
      </c>
      <c r="AJ110" s="89" t="e">
        <f t="array" aca="1" ref="AJ110" ca="1">SUM(1*(AI110&lt;$AI$98:$AI$117))+1+IF(ROW(AI110)-ROW($AI$98)=0,0,SUM(1*(AI110=OFFSET($AI$98,0,0,INDEX(ROW(AI110)-ROW($AI$98)+1,1)-1,1))))</f>
        <v>#DIV/0!</v>
      </c>
      <c r="AK110" s="108" t="str">
        <f t="shared" si="5"/>
        <v>Systematic Data Handling Errors (SDHE)</v>
      </c>
      <c r="AL110" s="89">
        <f t="shared" si="10"/>
        <v>1</v>
      </c>
      <c r="AM110" s="89">
        <f t="shared" si="7"/>
        <v>1</v>
      </c>
      <c r="AN110" s="89">
        <f t="shared" si="2"/>
        <v>0</v>
      </c>
    </row>
    <row r="111" spans="28:40">
      <c r="AC111" s="273" t="s">
        <v>698</v>
      </c>
      <c r="AD111" s="85" t="str">
        <f>Worksheet!F61</f>
        <v/>
      </c>
      <c r="AE111" s="86">
        <v>5</v>
      </c>
      <c r="AF111" s="87">
        <f t="shared" si="8"/>
        <v>8.3333333333333339</v>
      </c>
      <c r="AG111" s="87">
        <f t="shared" si="3"/>
        <v>0.83333333333333337</v>
      </c>
      <c r="AH111" s="87" t="e">
        <f t="shared" si="9"/>
        <v>#VALUE!</v>
      </c>
      <c r="AI111" s="88" t="e">
        <f t="shared" si="1"/>
        <v>#VALUE!</v>
      </c>
      <c r="AJ111" s="89" t="e">
        <f t="array" aca="1" ref="AJ111" ca="1">SUM(1*(AI111&lt;$AI$98:$AI$117))+1+IF(ROW(AI111)-ROW($AI$98)=0,0,SUM(1*(AI111=OFFSET($AI$98,0,0,INDEX(ROW(AI111)-ROW($AI$98)+1,1)-1,1))))</f>
        <v>#VALUE!</v>
      </c>
      <c r="AK111" s="108" t="str">
        <f t="shared" si="5"/>
        <v>Length of Mains (Lm)</v>
      </c>
      <c r="AL111" s="89">
        <f t="shared" si="10"/>
        <v>1</v>
      </c>
      <c r="AM111" s="89">
        <f t="shared" si="7"/>
        <v>0</v>
      </c>
      <c r="AN111" s="89">
        <f t="shared" si="2"/>
        <v>1</v>
      </c>
    </row>
    <row r="112" spans="28:40">
      <c r="AC112" s="273" t="s">
        <v>699</v>
      </c>
      <c r="AD112" s="85" t="str">
        <f>Worksheet!F62</f>
        <v/>
      </c>
      <c r="AE112" s="86">
        <v>5</v>
      </c>
      <c r="AF112" s="87">
        <f t="shared" si="8"/>
        <v>8.3333333333333339</v>
      </c>
      <c r="AG112" s="87">
        <f t="shared" si="3"/>
        <v>0.83333333333333337</v>
      </c>
      <c r="AH112" s="87" t="e">
        <f t="shared" si="9"/>
        <v>#VALUE!</v>
      </c>
      <c r="AI112" s="88" t="e">
        <f t="shared" si="1"/>
        <v>#VALUE!</v>
      </c>
      <c r="AJ112" s="89" t="e">
        <f t="array" aca="1" ref="AJ112" ca="1">SUM(1*(AI112&lt;$AI$98:$AI$117))+1+IF(ROW(AI112)-ROW($AI$98)=0,0,SUM(1*(AI112=OFFSET($AI$98,0,0,INDEX(ROW(AI112)-ROW($AI$98)+1,1)-1,1))))</f>
        <v>#VALUE!</v>
      </c>
      <c r="AK112" s="108" t="str">
        <f t="shared" si="5"/>
        <v>Number of Service Connections (Nc)</v>
      </c>
      <c r="AL112" s="89">
        <f t="shared" si="10"/>
        <v>1</v>
      </c>
      <c r="AM112" s="89">
        <f t="shared" si="7"/>
        <v>0</v>
      </c>
      <c r="AN112" s="89">
        <f t="shared" si="2"/>
        <v>1</v>
      </c>
    </row>
    <row r="113" spans="29:40">
      <c r="AC113" s="273" t="s">
        <v>700</v>
      </c>
      <c r="AD113" s="85" t="str">
        <f>Worksheet!W66</f>
        <v/>
      </c>
      <c r="AE113" s="86">
        <v>2</v>
      </c>
      <c r="AF113" s="87">
        <f t="shared" si="8"/>
        <v>3.3333333333333335</v>
      </c>
      <c r="AG113" s="87">
        <f t="shared" si="3"/>
        <v>0.33333333333333337</v>
      </c>
      <c r="AH113" s="87" t="e">
        <f t="shared" si="9"/>
        <v>#VALUE!</v>
      </c>
      <c r="AI113" s="88" t="e">
        <f t="shared" si="1"/>
        <v>#VALUE!</v>
      </c>
      <c r="AJ113" s="89" t="e">
        <f t="array" aca="1" ref="AJ113" ca="1">SUM(1*(AI113&lt;$AI$98:$AI$117))+1+IF(ROW(AI113)-ROW($AI$98)=0,0,SUM(1*(AI113=OFFSET($AI$98,0,0,INDEX(ROW(AI113)-ROW($AI$98)+1,1)-1,1))))</f>
        <v>#VALUE!</v>
      </c>
      <c r="AK113" s="108" t="str">
        <f t="shared" si="5"/>
        <v>Average Length of Customer Service Line (Lp)</v>
      </c>
      <c r="AL113" s="89">
        <f t="shared" si="10"/>
        <v>1</v>
      </c>
      <c r="AM113" s="89">
        <f t="shared" si="7"/>
        <v>0</v>
      </c>
      <c r="AN113" s="89">
        <f t="shared" si="2"/>
        <v>1</v>
      </c>
    </row>
    <row r="114" spans="29:40">
      <c r="AC114" s="273" t="s">
        <v>701</v>
      </c>
      <c r="AD114" s="85" t="str">
        <f>Worksheet!F68</f>
        <v/>
      </c>
      <c r="AE114" s="86">
        <v>2</v>
      </c>
      <c r="AF114" s="87">
        <f t="shared" si="8"/>
        <v>3.3333333333333335</v>
      </c>
      <c r="AG114" s="87">
        <f t="shared" si="3"/>
        <v>0.33333333333333337</v>
      </c>
      <c r="AH114" s="87" t="e">
        <f t="shared" si="9"/>
        <v>#VALUE!</v>
      </c>
      <c r="AI114" s="88" t="e">
        <f t="shared" si="1"/>
        <v>#VALUE!</v>
      </c>
      <c r="AJ114" s="89" t="e">
        <f t="array" aca="1" ref="AJ114" ca="1">SUM(1*(AI114&lt;$AI$98:$AI$117))+1+IF(ROW(AI114)-ROW($AI$98)=0,0,SUM(1*(AI114=OFFSET($AI$98,0,0,INDEX(ROW(AI114)-ROW($AI$98)+1,1)-1,1))))</f>
        <v>#VALUE!</v>
      </c>
      <c r="AK114" s="108" t="str">
        <f t="shared" si="5"/>
        <v>Average Operating Pressure (AOP)</v>
      </c>
      <c r="AL114" s="89">
        <f t="shared" si="10"/>
        <v>1</v>
      </c>
      <c r="AM114" s="89">
        <f t="shared" si="7"/>
        <v>0</v>
      </c>
      <c r="AN114" s="89">
        <f t="shared" si="2"/>
        <v>1</v>
      </c>
    </row>
    <row r="115" spans="29:40">
      <c r="AC115" s="273"/>
      <c r="AD115" s="85"/>
      <c r="AE115" s="86"/>
      <c r="AF115" s="87"/>
      <c r="AG115" s="87"/>
      <c r="AH115" s="87"/>
      <c r="AI115" s="88"/>
      <c r="AJ115" s="89"/>
      <c r="AK115" s="108"/>
      <c r="AL115" s="89"/>
      <c r="AM115" s="89"/>
      <c r="AN115" s="89"/>
    </row>
    <row r="116" spans="29:40">
      <c r="AC116" s="273" t="s">
        <v>702</v>
      </c>
      <c r="AD116" s="85" t="str">
        <f>IF(Worksheet!F76="n/a",0,Worksheet!F76)</f>
        <v/>
      </c>
      <c r="AE116" s="86">
        <f>IF(Worksheet!F76="n/a",0,5)</f>
        <v>5</v>
      </c>
      <c r="AF116" s="87">
        <f t="shared" si="8"/>
        <v>8.3333333333333339</v>
      </c>
      <c r="AG116" s="87">
        <f t="shared" si="3"/>
        <v>0.83333333333333337</v>
      </c>
      <c r="AH116" s="87" t="e">
        <f t="shared" si="9"/>
        <v>#VALUE!</v>
      </c>
      <c r="AI116" s="88" t="e">
        <f t="shared" si="1"/>
        <v>#VALUE!</v>
      </c>
      <c r="AJ116" s="89" t="e">
        <f t="array" aca="1" ref="AJ116" ca="1">SUM(1*(AI116&lt;$AI$98:$AI$117))+1+IF(ROW(AI116)-ROW($AI$98)=0,0,SUM(1*(AI116=OFFSET($AI$98,0,0,INDEX(ROW(AI116)-ROW($AI$98)+1,1)-1,1))))</f>
        <v>#VALUE!</v>
      </c>
      <c r="AK116" s="108" t="str">
        <f t="shared" si="5"/>
        <v>Customer Retail Unit Charge (CRUC)</v>
      </c>
      <c r="AL116" s="89">
        <f t="shared" si="10"/>
        <v>1</v>
      </c>
      <c r="AM116" s="89">
        <f t="shared" si="7"/>
        <v>0</v>
      </c>
      <c r="AN116" s="89">
        <f t="shared" si="2"/>
        <v>1</v>
      </c>
    </row>
    <row r="117" spans="29:40">
      <c r="AC117" s="273" t="s">
        <v>703</v>
      </c>
      <c r="AD117" s="85" t="str">
        <f>IF(Worksheet!F77="n/a",0,Worksheet!F77)</f>
        <v/>
      </c>
      <c r="AE117" s="86">
        <v>5</v>
      </c>
      <c r="AF117" s="87">
        <f t="shared" si="8"/>
        <v>8.3333333333333339</v>
      </c>
      <c r="AG117" s="87">
        <f t="shared" si="3"/>
        <v>0.83333333333333337</v>
      </c>
      <c r="AH117" s="87" t="e">
        <f t="shared" si="9"/>
        <v>#VALUE!</v>
      </c>
      <c r="AI117" s="88" t="e">
        <f t="shared" si="1"/>
        <v>#VALUE!</v>
      </c>
      <c r="AJ117" s="89" t="e">
        <f t="array" aca="1" ref="AJ117" ca="1">SUM(1*(AI117&lt;$AI$98:$AI$117))+1+IF(ROW(AI117)-ROW($AI$98)=0,0,SUM(1*(AI117=OFFSET($AI$98,0,0,INDEX(ROW(AI117)-ROW($AI$98)+1,1)-1,1))))</f>
        <v>#VALUE!</v>
      </c>
      <c r="AK117" s="108" t="str">
        <f t="shared" si="5"/>
        <v>Variable Production Cost (VPC)</v>
      </c>
      <c r="AL117" s="89">
        <f t="shared" si="10"/>
        <v>1</v>
      </c>
      <c r="AM117" s="89">
        <f t="shared" si="7"/>
        <v>0</v>
      </c>
      <c r="AN117" s="89">
        <f t="shared" si="2"/>
        <v>1</v>
      </c>
    </row>
    <row r="118" spans="29:40">
      <c r="AE118" s="100" t="e">
        <f>SUM(AE98:AE117)</f>
        <v>#DIV/0!</v>
      </c>
      <c r="AF118" s="43" t="e">
        <f>SUM(AF98:AF117)</f>
        <v>#DIV/0!</v>
      </c>
      <c r="AG118" s="43" t="e">
        <f>SUM(AG98:AG117)</f>
        <v>#DIV/0!</v>
      </c>
      <c r="AH118" s="116" t="e">
        <f>SUM(AH98:AH117)</f>
        <v>#VALUE!</v>
      </c>
      <c r="AN118" s="49">
        <f>SUM(AN98:AN117)</f>
        <v>7</v>
      </c>
    </row>
    <row r="119" spans="29:40">
      <c r="AE119" s="43">
        <f>SUM(AE104:AE117)</f>
        <v>39</v>
      </c>
      <c r="AK119" s="109"/>
      <c r="AN119" s="48"/>
    </row>
    <row r="120" spans="29:40">
      <c r="AE120" s="42">
        <f>AE119/(100-AE121)</f>
        <v>0.6</v>
      </c>
    </row>
    <row r="121" spans="29:40">
      <c r="AD121" s="101" t="s">
        <v>137</v>
      </c>
      <c r="AE121" s="102">
        <v>35</v>
      </c>
      <c r="AM121">
        <f>IF(SUM(Worksheet!W26,Worksheet!W43)=2,2,IF(SUM(Worksheet!W26,Worksheet!W43)=3,1,0))</f>
        <v>2</v>
      </c>
      <c r="AN121" t="s">
        <v>62</v>
      </c>
    </row>
    <row r="122" spans="29:40">
      <c r="AN122" s="277"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200" customWidth="1"/>
    <col min="2" max="2" width="13.109375" style="200" customWidth="1"/>
    <col min="3" max="3" width="12.109375" style="200" customWidth="1"/>
    <col min="4" max="5" width="29.44140625" style="200" customWidth="1"/>
    <col min="6" max="6" width="15.109375" style="200" customWidth="1"/>
    <col min="7" max="7" width="34.109375" style="200" customWidth="1"/>
    <col min="8" max="8" width="15.109375" style="200" customWidth="1"/>
    <col min="9" max="9" width="23.44140625" style="200" customWidth="1"/>
    <col min="10" max="10" width="24" style="200" customWidth="1"/>
    <col min="11" max="11" width="18.109375" style="200" customWidth="1"/>
    <col min="12" max="12" width="56.109375" style="200" customWidth="1"/>
    <col min="13" max="13" width="9.88671875" style="200" bestFit="1" customWidth="1"/>
    <col min="14" max="14" width="21.5546875" style="200" customWidth="1"/>
    <col min="15" max="15" width="11.5546875" style="200" customWidth="1"/>
    <col min="16" max="16" width="102.44140625" style="200" bestFit="1" customWidth="1"/>
    <col min="17" max="17" width="52.5546875" style="200" customWidth="1"/>
    <col min="18" max="18" width="10.44140625" style="200" customWidth="1"/>
    <col min="19" max="19" width="12.109375" style="200" bestFit="1" customWidth="1"/>
    <col min="20" max="20" width="16.5546875" style="200" customWidth="1"/>
    <col min="21" max="16384" width="14.44140625" style="200"/>
  </cols>
  <sheetData>
    <row r="1" spans="2:18">
      <c r="B1" s="198" t="s">
        <v>16</v>
      </c>
      <c r="C1" s="175"/>
      <c r="D1" s="205" t="s">
        <v>295</v>
      </c>
      <c r="E1" s="205"/>
      <c r="F1" s="199"/>
      <c r="G1" s="175"/>
      <c r="H1" s="175"/>
      <c r="I1" s="211" t="s">
        <v>317</v>
      </c>
      <c r="J1" s="175"/>
      <c r="K1" s="175"/>
      <c r="L1" s="175"/>
      <c r="M1" s="175"/>
      <c r="N1" s="175"/>
      <c r="O1" s="175"/>
      <c r="P1" s="175"/>
      <c r="Q1" s="175"/>
      <c r="R1" s="175"/>
    </row>
    <row r="2" spans="2:18">
      <c r="B2" s="233" t="s">
        <v>27</v>
      </c>
      <c r="C2" s="875" t="s">
        <v>464</v>
      </c>
      <c r="D2" s="875"/>
      <c r="E2" s="875"/>
      <c r="F2" s="875"/>
      <c r="G2" s="875"/>
      <c r="H2" s="875"/>
      <c r="I2" s="875"/>
      <c r="J2" s="875"/>
      <c r="K2" s="875"/>
      <c r="L2" s="875"/>
      <c r="M2" s="175"/>
      <c r="N2" s="175"/>
      <c r="O2" s="175"/>
      <c r="P2" s="175"/>
      <c r="Q2" s="175"/>
      <c r="R2" s="175"/>
    </row>
    <row r="3" spans="2:18">
      <c r="B3" s="876" t="s">
        <v>318</v>
      </c>
      <c r="C3" s="876" t="s">
        <v>347</v>
      </c>
      <c r="D3" s="876" t="s">
        <v>348</v>
      </c>
      <c r="E3" s="876" t="s">
        <v>349</v>
      </c>
      <c r="F3" s="876" t="s">
        <v>350</v>
      </c>
      <c r="G3" s="876" t="s">
        <v>351</v>
      </c>
      <c r="H3" s="876" t="s">
        <v>352</v>
      </c>
      <c r="I3" s="876" t="s">
        <v>353</v>
      </c>
      <c r="J3" s="876" t="s">
        <v>354</v>
      </c>
      <c r="K3" s="876" t="s">
        <v>355</v>
      </c>
      <c r="L3" s="876" t="s">
        <v>811</v>
      </c>
      <c r="M3" s="176"/>
      <c r="N3" s="176"/>
      <c r="O3" s="176"/>
      <c r="P3" s="176"/>
      <c r="Q3" s="176"/>
      <c r="R3" s="176"/>
    </row>
    <row r="4" spans="2:18" ht="39.6">
      <c r="B4" s="887" t="s">
        <v>276</v>
      </c>
      <c r="C4" s="887" t="s">
        <v>356</v>
      </c>
      <c r="D4" s="887" t="s">
        <v>278</v>
      </c>
      <c r="E4" s="887" t="s">
        <v>796</v>
      </c>
      <c r="F4" s="887" t="s">
        <v>279</v>
      </c>
      <c r="G4" s="887" t="s">
        <v>280</v>
      </c>
      <c r="H4" s="887" t="s">
        <v>281</v>
      </c>
      <c r="I4" s="887" t="s">
        <v>282</v>
      </c>
      <c r="J4" s="887" t="s">
        <v>283</v>
      </c>
      <c r="K4" s="887" t="s">
        <v>284</v>
      </c>
      <c r="L4" s="887" t="s">
        <v>285</v>
      </c>
      <c r="M4" s="209"/>
      <c r="N4" s="209"/>
      <c r="O4" s="209"/>
      <c r="P4" s="209"/>
      <c r="Q4" s="209"/>
      <c r="R4" s="209"/>
    </row>
    <row r="5" spans="2:18" ht="92.4">
      <c r="B5" s="878" t="s">
        <v>286</v>
      </c>
      <c r="C5" s="878" t="s">
        <v>357</v>
      </c>
      <c r="D5" s="878" t="s">
        <v>809</v>
      </c>
      <c r="E5" s="878" t="s">
        <v>797</v>
      </c>
      <c r="F5" s="878" t="s">
        <v>288</v>
      </c>
      <c r="G5" s="878" t="s">
        <v>798</v>
      </c>
      <c r="H5" s="878" t="s">
        <v>289</v>
      </c>
      <c r="I5" s="878" t="s">
        <v>991</v>
      </c>
      <c r="J5" s="878" t="s">
        <v>799</v>
      </c>
      <c r="K5" s="878" t="s">
        <v>812</v>
      </c>
      <c r="L5" s="878" t="s">
        <v>813</v>
      </c>
      <c r="N5" s="177"/>
      <c r="P5" s="177"/>
      <c r="Q5" s="177"/>
      <c r="R5" s="177"/>
    </row>
    <row r="6" spans="2:18">
      <c r="B6" s="879">
        <v>1</v>
      </c>
      <c r="C6" s="878" t="s">
        <v>267</v>
      </c>
      <c r="D6" s="878"/>
      <c r="E6" s="878"/>
      <c r="F6" s="878"/>
      <c r="G6" s="878"/>
      <c r="H6" s="878"/>
      <c r="I6" s="878" t="s">
        <v>336</v>
      </c>
      <c r="J6" s="878"/>
      <c r="K6" s="878"/>
      <c r="L6" s="878" t="s">
        <v>401</v>
      </c>
      <c r="M6" s="202">
        <v>1</v>
      </c>
      <c r="N6" s="177"/>
      <c r="P6" s="177"/>
      <c r="Q6" s="177"/>
      <c r="R6" s="177"/>
    </row>
    <row r="7" spans="2:18" ht="26.4">
      <c r="B7" s="879">
        <v>2</v>
      </c>
      <c r="C7" s="878" t="s">
        <v>290</v>
      </c>
      <c r="D7" s="232"/>
      <c r="E7" s="232"/>
      <c r="F7" s="878"/>
      <c r="G7" s="232"/>
      <c r="H7" s="878"/>
      <c r="I7" s="878" t="s">
        <v>800</v>
      </c>
      <c r="J7" s="878"/>
      <c r="K7" s="878"/>
      <c r="L7" s="878"/>
      <c r="M7" s="202">
        <v>2</v>
      </c>
      <c r="N7" s="177"/>
      <c r="P7" s="177"/>
      <c r="Q7" s="177"/>
      <c r="R7" s="177"/>
    </row>
    <row r="8" spans="2:18">
      <c r="B8" s="879">
        <v>3</v>
      </c>
      <c r="C8" s="878" t="s">
        <v>292</v>
      </c>
      <c r="D8" s="878" t="s">
        <v>1186</v>
      </c>
      <c r="E8" s="878"/>
      <c r="F8" s="878"/>
      <c r="G8" s="878" t="s">
        <v>1186</v>
      </c>
      <c r="H8" s="878"/>
      <c r="I8" s="878"/>
      <c r="J8" s="878"/>
      <c r="K8" s="878"/>
      <c r="L8" s="878"/>
      <c r="M8" s="202">
        <v>3</v>
      </c>
      <c r="N8" s="177"/>
      <c r="P8" s="177"/>
      <c r="Q8" s="177"/>
      <c r="R8" s="177"/>
    </row>
    <row r="9" spans="2:18" ht="26.4">
      <c r="B9" s="879">
        <v>4</v>
      </c>
      <c r="C9" s="878" t="s">
        <v>720</v>
      </c>
      <c r="D9" s="232"/>
      <c r="E9" s="232" t="s">
        <v>987</v>
      </c>
      <c r="F9" s="878"/>
      <c r="G9" s="878"/>
      <c r="H9" s="878"/>
      <c r="I9" s="878"/>
      <c r="J9" s="878"/>
      <c r="K9" s="878" t="s">
        <v>291</v>
      </c>
      <c r="L9" s="878" t="s">
        <v>291</v>
      </c>
      <c r="M9" s="202">
        <v>4</v>
      </c>
      <c r="N9" s="177"/>
      <c r="P9" s="177"/>
      <c r="Q9" s="177"/>
      <c r="R9" s="177"/>
    </row>
    <row r="10" spans="2:18" ht="26.4">
      <c r="B10" s="879">
        <v>5</v>
      </c>
      <c r="C10" s="232"/>
      <c r="D10" s="878" t="s">
        <v>268</v>
      </c>
      <c r="E10" s="878"/>
      <c r="F10" s="878" t="s">
        <v>269</v>
      </c>
      <c r="G10" s="878" t="s">
        <v>268</v>
      </c>
      <c r="H10" s="878" t="s">
        <v>269</v>
      </c>
      <c r="I10" s="878"/>
      <c r="J10" s="878"/>
      <c r="K10" s="878"/>
      <c r="L10" s="878"/>
      <c r="M10" s="202">
        <v>5</v>
      </c>
      <c r="N10" s="177"/>
      <c r="P10" s="177"/>
      <c r="Q10" s="177"/>
      <c r="R10" s="177"/>
    </row>
    <row r="11" spans="2:18">
      <c r="B11" s="879">
        <v>6</v>
      </c>
      <c r="C11" s="878" t="s">
        <v>721</v>
      </c>
      <c r="E11" s="232"/>
      <c r="F11" s="880"/>
      <c r="H11" s="880"/>
      <c r="I11" s="878"/>
      <c r="J11" s="878"/>
      <c r="K11" s="878" t="s">
        <v>323</v>
      </c>
      <c r="L11" s="878" t="s">
        <v>323</v>
      </c>
      <c r="M11" s="202">
        <v>6</v>
      </c>
      <c r="N11" s="177"/>
      <c r="P11" s="177"/>
      <c r="Q11" s="177"/>
      <c r="R11" s="177"/>
    </row>
    <row r="12" spans="2:18" ht="39.6">
      <c r="B12" s="879">
        <v>7</v>
      </c>
      <c r="C12" s="232"/>
      <c r="D12" s="878" t="s">
        <v>271</v>
      </c>
      <c r="E12" s="878" t="s">
        <v>801</v>
      </c>
      <c r="F12" s="878"/>
      <c r="G12" s="878" t="s">
        <v>271</v>
      </c>
      <c r="H12" s="878"/>
      <c r="I12" s="878" t="s">
        <v>802</v>
      </c>
      <c r="J12" s="878"/>
      <c r="K12" s="878"/>
      <c r="L12" s="878"/>
      <c r="M12" s="202">
        <v>7</v>
      </c>
      <c r="N12" s="177"/>
      <c r="P12" s="177"/>
      <c r="Q12" s="177"/>
      <c r="R12" s="177"/>
    </row>
    <row r="13" spans="2:18" ht="39.6">
      <c r="B13" s="879">
        <v>8</v>
      </c>
      <c r="C13" s="881" t="s">
        <v>722</v>
      </c>
      <c r="D13" s="232"/>
      <c r="E13" s="878"/>
      <c r="F13" s="878"/>
      <c r="G13" s="232"/>
      <c r="H13" s="878"/>
      <c r="I13" s="878"/>
      <c r="J13" s="878"/>
      <c r="K13" s="878" t="s">
        <v>804</v>
      </c>
      <c r="L13" s="878" t="s">
        <v>804</v>
      </c>
      <c r="M13" s="202">
        <v>8</v>
      </c>
      <c r="N13" s="177"/>
      <c r="P13" s="177"/>
      <c r="Q13" s="177"/>
      <c r="R13" s="177"/>
    </row>
    <row r="14" spans="2:18">
      <c r="B14" s="879">
        <v>9</v>
      </c>
      <c r="C14" s="881"/>
      <c r="D14" s="878"/>
      <c r="E14" s="878"/>
      <c r="F14" s="878"/>
      <c r="G14" s="878"/>
      <c r="H14" s="878"/>
      <c r="I14" s="878" t="s">
        <v>803</v>
      </c>
      <c r="J14" s="878" t="s">
        <v>269</v>
      </c>
      <c r="K14" s="878" t="s">
        <v>723</v>
      </c>
      <c r="L14" s="878"/>
      <c r="M14" s="202">
        <v>9</v>
      </c>
      <c r="N14" s="177"/>
      <c r="P14" s="177"/>
      <c r="Q14" s="177"/>
      <c r="R14" s="177"/>
    </row>
    <row r="15" spans="2:18" ht="39.6">
      <c r="B15" s="879">
        <v>10</v>
      </c>
      <c r="C15" s="878" t="s">
        <v>293</v>
      </c>
      <c r="D15" s="878" t="s">
        <v>294</v>
      </c>
      <c r="E15" s="878" t="s">
        <v>805</v>
      </c>
      <c r="F15" s="878" t="s">
        <v>262</v>
      </c>
      <c r="G15" s="878" t="s">
        <v>294</v>
      </c>
      <c r="H15" s="878" t="s">
        <v>262</v>
      </c>
      <c r="I15" s="878" t="s">
        <v>806</v>
      </c>
      <c r="J15" s="878" t="s">
        <v>262</v>
      </c>
      <c r="K15" s="878" t="s">
        <v>324</v>
      </c>
      <c r="L15" s="878" t="s">
        <v>723</v>
      </c>
      <c r="M15" s="202">
        <v>10</v>
      </c>
      <c r="N15" s="177"/>
      <c r="O15" s="203"/>
      <c r="P15" s="177"/>
      <c r="Q15" s="177"/>
      <c r="R15" s="177"/>
    </row>
    <row r="16" spans="2:18" ht="39.6">
      <c r="B16" s="882">
        <v>10</v>
      </c>
      <c r="C16" s="883"/>
      <c r="D16" s="884" t="s">
        <v>304</v>
      </c>
      <c r="E16" s="884" t="s">
        <v>807</v>
      </c>
      <c r="F16" s="883"/>
      <c r="G16" s="883"/>
      <c r="H16" s="883"/>
      <c r="I16" s="883"/>
      <c r="J16" s="883"/>
      <c r="K16" s="883"/>
      <c r="L16" s="883"/>
      <c r="M16" s="212">
        <v>10</v>
      </c>
      <c r="N16" s="203"/>
      <c r="O16" s="203"/>
      <c r="P16" s="203"/>
      <c r="Q16" s="203"/>
      <c r="R16" s="203"/>
    </row>
    <row r="17" spans="2:18" ht="66">
      <c r="B17" s="204"/>
      <c r="C17" s="203"/>
      <c r="D17" s="206" t="s">
        <v>325</v>
      </c>
      <c r="E17" s="206"/>
      <c r="F17" s="206" t="s">
        <v>724</v>
      </c>
      <c r="G17" s="206" t="s">
        <v>325</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6.4">
      <c r="B23" s="204" t="s">
        <v>343</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9.6">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9.6">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9.6">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26.4">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820</v>
      </c>
      <c r="C33" s="203"/>
      <c r="D33" s="203"/>
      <c r="E33" s="203"/>
      <c r="F33" s="203"/>
      <c r="G33" s="203"/>
      <c r="H33" s="203"/>
      <c r="I33" s="203"/>
      <c r="J33" s="203"/>
      <c r="K33" s="203"/>
      <c r="L33" s="203"/>
      <c r="M33" s="203"/>
      <c r="N33" s="203"/>
      <c r="O33" s="203"/>
      <c r="P33" s="203"/>
      <c r="Q33" s="203"/>
      <c r="R33" s="203"/>
    </row>
    <row r="34" spans="1:18">
      <c r="B34" s="200" t="s">
        <v>464</v>
      </c>
      <c r="C34" s="203"/>
      <c r="D34" s="203"/>
      <c r="E34" s="203"/>
      <c r="F34" s="203"/>
      <c r="G34" s="203"/>
      <c r="H34" s="203"/>
      <c r="I34" s="203"/>
      <c r="J34" s="203"/>
      <c r="K34" s="203"/>
      <c r="L34" s="203"/>
      <c r="M34" s="203"/>
      <c r="N34" s="203"/>
      <c r="O34" s="203"/>
      <c r="P34" s="203"/>
      <c r="Q34" s="203"/>
      <c r="R34" s="203"/>
    </row>
    <row r="35" spans="1:18">
      <c r="B35" s="217" t="s">
        <v>357</v>
      </c>
      <c r="C35" s="203"/>
      <c r="D35" s="203"/>
      <c r="E35" s="203"/>
      <c r="F35" s="203"/>
      <c r="G35" s="203"/>
      <c r="H35" s="203"/>
      <c r="I35" s="203"/>
      <c r="J35" s="203"/>
      <c r="K35" s="203"/>
      <c r="L35" s="203"/>
      <c r="M35" s="203"/>
      <c r="N35" s="203"/>
      <c r="O35" s="203"/>
      <c r="P35" s="203"/>
      <c r="Q35" s="203"/>
      <c r="R35" s="203"/>
    </row>
    <row r="36" spans="1:18">
      <c r="B36" s="217" t="s">
        <v>809</v>
      </c>
      <c r="C36" s="203"/>
      <c r="D36" s="203"/>
      <c r="E36" s="203"/>
      <c r="F36" s="203"/>
      <c r="G36" s="203"/>
      <c r="H36" s="203"/>
      <c r="I36" s="203"/>
      <c r="J36" s="203"/>
      <c r="K36" s="203"/>
      <c r="L36" s="203"/>
      <c r="M36" s="203"/>
      <c r="N36" s="203"/>
      <c r="O36" s="203"/>
      <c r="P36" s="203"/>
      <c r="Q36" s="203"/>
      <c r="R36" s="203"/>
    </row>
    <row r="37" spans="1:18">
      <c r="B37" s="217" t="s">
        <v>797</v>
      </c>
      <c r="C37" s="203"/>
      <c r="D37" s="203"/>
      <c r="E37" s="203"/>
      <c r="F37" s="203"/>
      <c r="G37" s="203"/>
      <c r="H37" s="203"/>
      <c r="I37" s="203"/>
      <c r="J37" s="203"/>
      <c r="K37" s="203"/>
      <c r="L37" s="203"/>
      <c r="M37" s="203"/>
      <c r="N37" s="203"/>
      <c r="O37" s="203"/>
      <c r="P37" s="203"/>
      <c r="Q37" s="203"/>
      <c r="R37" s="203"/>
    </row>
    <row r="38" spans="1:18">
      <c r="B38" s="217" t="s">
        <v>288</v>
      </c>
      <c r="C38" s="203"/>
      <c r="D38" s="203"/>
      <c r="E38" s="203"/>
      <c r="F38" s="203"/>
      <c r="G38" s="203"/>
      <c r="H38" s="203"/>
      <c r="I38" s="203"/>
      <c r="J38" s="203"/>
      <c r="K38" s="203"/>
      <c r="L38" s="203"/>
      <c r="M38" s="203"/>
      <c r="N38" s="203"/>
      <c r="O38" s="203"/>
      <c r="P38" s="203"/>
      <c r="Q38" s="203"/>
      <c r="R38" s="203"/>
    </row>
    <row r="39" spans="1:18">
      <c r="B39" s="217" t="s">
        <v>798</v>
      </c>
      <c r="C39" s="203"/>
      <c r="D39" s="203"/>
      <c r="E39" s="203"/>
      <c r="F39" s="203"/>
      <c r="G39" s="203"/>
      <c r="H39" s="203"/>
      <c r="I39" s="203"/>
      <c r="J39" s="203"/>
      <c r="K39" s="203"/>
      <c r="L39" s="203"/>
      <c r="M39" s="203"/>
      <c r="N39" s="203"/>
      <c r="O39" s="203"/>
      <c r="P39" s="203"/>
      <c r="Q39" s="203"/>
      <c r="R39" s="203"/>
    </row>
    <row r="40" spans="1:18">
      <c r="B40" s="217" t="s">
        <v>289</v>
      </c>
      <c r="C40" s="203"/>
      <c r="D40" s="203"/>
      <c r="E40" s="203"/>
      <c r="F40" s="203"/>
      <c r="G40" s="203"/>
      <c r="H40" s="203"/>
      <c r="I40" s="203"/>
      <c r="J40" s="203"/>
      <c r="K40" s="203"/>
      <c r="L40" s="203"/>
      <c r="M40" s="203"/>
      <c r="N40" s="203"/>
      <c r="O40" s="203"/>
      <c r="P40" s="203"/>
      <c r="Q40" s="203"/>
      <c r="R40" s="203"/>
    </row>
    <row r="41" spans="1:18">
      <c r="B41" s="217" t="s">
        <v>991</v>
      </c>
      <c r="C41" s="203"/>
      <c r="D41" s="203"/>
      <c r="E41" s="203"/>
      <c r="F41" s="203"/>
      <c r="G41" s="203"/>
      <c r="H41" s="203"/>
      <c r="I41" s="203"/>
      <c r="J41" s="203"/>
      <c r="K41" s="203"/>
      <c r="L41" s="203"/>
      <c r="M41" s="203"/>
      <c r="N41" s="203"/>
      <c r="O41" s="203"/>
      <c r="P41" s="203"/>
      <c r="Q41" s="203"/>
      <c r="R41" s="203"/>
    </row>
    <row r="42" spans="1:18">
      <c r="B42" s="217" t="s">
        <v>799</v>
      </c>
      <c r="C42" s="203"/>
      <c r="D42" s="203"/>
      <c r="E42" s="203"/>
      <c r="F42" s="203"/>
      <c r="G42" s="203"/>
      <c r="H42" s="203"/>
      <c r="I42" s="203"/>
      <c r="J42" s="203"/>
      <c r="K42" s="203"/>
      <c r="L42" s="203"/>
      <c r="M42" s="203"/>
      <c r="N42" s="203"/>
      <c r="O42" s="203"/>
      <c r="P42" s="203"/>
      <c r="Q42" s="203"/>
      <c r="R42" s="203"/>
    </row>
    <row r="43" spans="1:18">
      <c r="B43" s="217" t="s">
        <v>812</v>
      </c>
      <c r="C43" s="203"/>
      <c r="D43" s="203"/>
      <c r="E43" s="203"/>
      <c r="F43" s="203"/>
      <c r="G43" s="203"/>
      <c r="H43" s="203"/>
      <c r="I43" s="203"/>
      <c r="J43" s="203"/>
      <c r="K43" s="203"/>
      <c r="L43" s="203"/>
      <c r="M43" s="203"/>
      <c r="N43" s="203"/>
      <c r="O43" s="203"/>
      <c r="P43" s="203"/>
      <c r="Q43" s="203"/>
      <c r="R43" s="203"/>
    </row>
    <row r="44" spans="1:18">
      <c r="B44" s="217" t="s">
        <v>813</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297</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278</v>
      </c>
      <c r="E93" s="209"/>
      <c r="F93" s="208">
        <v>10</v>
      </c>
      <c r="G93" s="209" t="s">
        <v>280</v>
      </c>
      <c r="H93" s="208">
        <v>10</v>
      </c>
      <c r="I93" s="208">
        <v>10</v>
      </c>
      <c r="J93" s="208">
        <v>10</v>
      </c>
      <c r="K93" s="203"/>
      <c r="L93" s="203"/>
      <c r="M93" s="203"/>
      <c r="N93" s="203"/>
      <c r="O93" s="203"/>
      <c r="P93" s="203"/>
      <c r="Q93" s="203"/>
      <c r="R93" s="203"/>
    </row>
    <row r="94" spans="2:19" ht="39.6">
      <c r="C94" s="209" t="s">
        <v>277</v>
      </c>
      <c r="D94" s="203">
        <v>2</v>
      </c>
      <c r="E94" s="203"/>
      <c r="F94" s="209" t="s">
        <v>279</v>
      </c>
      <c r="G94" s="203">
        <v>2</v>
      </c>
      <c r="H94" s="209" t="s">
        <v>281</v>
      </c>
      <c r="I94" s="209" t="s">
        <v>282</v>
      </c>
      <c r="J94" s="209" t="s">
        <v>283</v>
      </c>
      <c r="K94" s="209" t="s">
        <v>284</v>
      </c>
      <c r="L94" s="209" t="s">
        <v>285</v>
      </c>
      <c r="M94" s="210" t="s">
        <v>298</v>
      </c>
      <c r="N94" s="210" t="s">
        <v>299</v>
      </c>
      <c r="O94" s="210" t="s">
        <v>300</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90"/>
  <sheetViews>
    <sheetView showGridLines="0" showRowColHeaders="0" zoomScale="115" zoomScaleNormal="115" zoomScaleSheetLayoutView="100" workbookViewId="0">
      <selection activeCell="B2" sqref="B2:M3"/>
    </sheetView>
  </sheetViews>
  <sheetFormatPr defaultColWidth="0" defaultRowHeight="13.2" zeroHeight="1"/>
  <cols>
    <col min="1" max="1" width="1.109375" style="132" customWidth="1"/>
    <col min="2" max="2" width="1.109375" style="133" customWidth="1"/>
    <col min="3" max="3" width="16.44140625" style="137" customWidth="1"/>
    <col min="4" max="4" width="10.88671875" style="104" customWidth="1"/>
    <col min="5" max="5" width="11" style="104" customWidth="1"/>
    <col min="6" max="6" width="14.109375" style="104" customWidth="1"/>
    <col min="7" max="7" width="20" style="104" customWidth="1"/>
    <col min="8" max="8" width="16" style="104" customWidth="1"/>
    <col min="9" max="9" width="19" style="104" customWidth="1"/>
    <col min="10" max="10" width="23.5546875" style="104" customWidth="1"/>
    <col min="11" max="11" width="6.5546875" style="104" customWidth="1"/>
    <col min="12" max="12" width="7.109375" style="104" customWidth="1"/>
    <col min="13" max="14" width="1.109375" style="104" customWidth="1"/>
    <col min="15" max="16384" width="0" style="104" hidden="1"/>
  </cols>
  <sheetData>
    <row r="1" spans="1:14" s="67" customFormat="1" ht="6" customHeight="1">
      <c r="A1" s="143"/>
      <c r="B1" s="133"/>
      <c r="C1" s="136"/>
      <c r="N1" s="146"/>
    </row>
    <row r="2" spans="1:14" ht="40.5" customHeight="1">
      <c r="A2" s="143"/>
      <c r="B2" s="1345" t="s">
        <v>165</v>
      </c>
      <c r="C2" s="1346"/>
      <c r="D2" s="1346"/>
      <c r="E2" s="1346"/>
      <c r="F2" s="1346"/>
      <c r="G2" s="1346"/>
      <c r="H2" s="1346"/>
      <c r="I2" s="1346"/>
      <c r="J2" s="1346"/>
      <c r="K2" s="1346"/>
      <c r="L2" s="1346"/>
      <c r="M2" s="1347"/>
      <c r="N2" s="146"/>
    </row>
    <row r="3" spans="1:14" ht="4.3499999999999996" customHeight="1" thickBot="1">
      <c r="A3" s="143"/>
      <c r="B3" s="1345"/>
      <c r="C3" s="1346"/>
      <c r="D3" s="1346"/>
      <c r="E3" s="1346"/>
      <c r="F3" s="1346"/>
      <c r="G3" s="1346"/>
      <c r="H3" s="1346"/>
      <c r="I3" s="1346"/>
      <c r="J3" s="1346"/>
      <c r="K3" s="1346"/>
      <c r="L3" s="1346"/>
      <c r="M3" s="1347"/>
      <c r="N3" s="146"/>
    </row>
    <row r="4" spans="1:14" s="134" customFormat="1" ht="15" customHeight="1" thickBot="1">
      <c r="A4" s="148"/>
      <c r="B4" s="498"/>
      <c r="C4" s="499" t="s">
        <v>122</v>
      </c>
      <c r="D4" s="1348" t="s">
        <v>123</v>
      </c>
      <c r="E4" s="1349"/>
      <c r="F4" s="1349"/>
      <c r="G4" s="1349"/>
      <c r="H4" s="1349"/>
      <c r="I4" s="1349"/>
      <c r="J4" s="1349"/>
      <c r="K4" s="1349"/>
      <c r="L4" s="1350"/>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166</v>
      </c>
      <c r="D6" s="1351" t="s">
        <v>959</v>
      </c>
      <c r="E6" s="1352"/>
      <c r="F6" s="1352"/>
      <c r="G6" s="1352"/>
      <c r="H6" s="1352"/>
      <c r="I6" s="1352"/>
      <c r="J6" s="1352"/>
      <c r="K6" s="1352"/>
      <c r="L6" s="1353"/>
      <c r="M6" s="505"/>
      <c r="N6" s="146"/>
    </row>
    <row r="7" spans="1:14" ht="4.3499999999999996" customHeight="1" thickBot="1">
      <c r="A7" s="143"/>
      <c r="B7" s="501"/>
      <c r="C7" s="502"/>
      <c r="D7" s="503"/>
      <c r="E7" s="503"/>
      <c r="F7" s="503"/>
      <c r="G7" s="504"/>
      <c r="H7" s="507"/>
      <c r="I7" s="507"/>
      <c r="J7" s="507"/>
      <c r="K7" s="507"/>
      <c r="L7" s="507"/>
      <c r="M7" s="505"/>
      <c r="N7" s="146"/>
    </row>
    <row r="8" spans="1:14" ht="229.35" customHeight="1" thickBot="1">
      <c r="A8" s="143"/>
      <c r="B8" s="501"/>
      <c r="C8" s="508" t="s">
        <v>113</v>
      </c>
      <c r="D8" s="1351" t="s">
        <v>1218</v>
      </c>
      <c r="E8" s="1352"/>
      <c r="F8" s="1352"/>
      <c r="G8" s="1352"/>
      <c r="H8" s="1352"/>
      <c r="I8" s="1352"/>
      <c r="J8" s="1352"/>
      <c r="K8" s="1352"/>
      <c r="L8" s="1353"/>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1121</v>
      </c>
      <c r="D10" s="1354" t="s">
        <v>1219</v>
      </c>
      <c r="E10" s="1355"/>
      <c r="F10" s="1355"/>
      <c r="G10" s="1355"/>
      <c r="H10" s="1355"/>
      <c r="I10" s="1355"/>
      <c r="J10" s="1355"/>
      <c r="K10" s="1355"/>
      <c r="L10" s="1356"/>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 customHeight="1" thickBot="1">
      <c r="A12" s="143"/>
      <c r="B12" s="501"/>
      <c r="C12" s="509" t="s">
        <v>1122</v>
      </c>
      <c r="D12" s="1354" t="s">
        <v>1220</v>
      </c>
      <c r="E12" s="1357"/>
      <c r="F12" s="1357"/>
      <c r="G12" s="1357"/>
      <c r="H12" s="1357"/>
      <c r="I12" s="1357"/>
      <c r="J12" s="1357"/>
      <c r="K12" s="1357"/>
      <c r="L12" s="1358"/>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59" t="s">
        <v>121</v>
      </c>
      <c r="E14" s="1357"/>
      <c r="F14" s="1357"/>
      <c r="G14" s="1357"/>
      <c r="H14" s="1357"/>
      <c r="I14" s="1357"/>
      <c r="J14" s="1357"/>
      <c r="K14" s="1357"/>
      <c r="L14" s="1358"/>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85" customHeight="1" thickBot="1">
      <c r="A16" s="143"/>
      <c r="B16" s="501"/>
      <c r="C16" s="509" t="s">
        <v>1123</v>
      </c>
      <c r="D16" s="1359" t="s">
        <v>154</v>
      </c>
      <c r="E16" s="1357"/>
      <c r="F16" s="1357"/>
      <c r="G16" s="1357"/>
      <c r="H16" s="1357"/>
      <c r="I16" s="1357"/>
      <c r="J16" s="1357"/>
      <c r="K16" s="1357"/>
      <c r="L16" s="1358"/>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1124</v>
      </c>
      <c r="D18" s="1359" t="s">
        <v>155</v>
      </c>
      <c r="E18" s="1357"/>
      <c r="F18" s="1357"/>
      <c r="G18" s="1357"/>
      <c r="H18" s="1357"/>
      <c r="I18" s="1357"/>
      <c r="J18" s="1357"/>
      <c r="K18" s="1357"/>
      <c r="L18" s="1358"/>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1125</v>
      </c>
      <c r="D20" s="1354" t="s">
        <v>763</v>
      </c>
      <c r="E20" s="1357"/>
      <c r="F20" s="1357"/>
      <c r="G20" s="1357"/>
      <c r="H20" s="1357"/>
      <c r="I20" s="1357"/>
      <c r="J20" s="1357"/>
      <c r="K20" s="1357"/>
      <c r="L20" s="1358"/>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1126</v>
      </c>
      <c r="D22" s="1354" t="s">
        <v>984</v>
      </c>
      <c r="E22" s="1357"/>
      <c r="F22" s="1357"/>
      <c r="G22" s="1357"/>
      <c r="H22" s="1357"/>
      <c r="I22" s="1357"/>
      <c r="J22" s="1357"/>
      <c r="K22" s="1357"/>
      <c r="L22" s="1358"/>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54" t="s">
        <v>1217</v>
      </c>
      <c r="E24" s="1357"/>
      <c r="F24" s="1357"/>
      <c r="G24" s="1357"/>
      <c r="H24" s="1357"/>
      <c r="I24" s="1357"/>
      <c r="J24" s="1357"/>
      <c r="K24" s="1357"/>
      <c r="L24" s="1358"/>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1127</v>
      </c>
      <c r="D26" s="1359" t="s">
        <v>156</v>
      </c>
      <c r="E26" s="1357"/>
      <c r="F26" s="1357"/>
      <c r="G26" s="1357"/>
      <c r="H26" s="1357"/>
      <c r="I26" s="1357"/>
      <c r="J26" s="1357"/>
      <c r="K26" s="1357"/>
      <c r="L26" s="1358"/>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60" t="s">
        <v>157</v>
      </c>
      <c r="E28" s="1352"/>
      <c r="F28" s="1352"/>
      <c r="G28" s="1352"/>
      <c r="H28" s="1352"/>
      <c r="I28" s="1352"/>
      <c r="J28" s="1352"/>
      <c r="K28" s="1352"/>
      <c r="L28" s="1353"/>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00000000000006" customHeight="1" thickBot="1">
      <c r="A30" s="143"/>
      <c r="B30" s="501"/>
      <c r="C30" s="509" t="s">
        <v>1128</v>
      </c>
      <c r="D30" s="1354" t="s">
        <v>1204</v>
      </c>
      <c r="E30" s="1357"/>
      <c r="F30" s="1357"/>
      <c r="G30" s="1357"/>
      <c r="H30" s="1357"/>
      <c r="I30" s="1357"/>
      <c r="J30" s="1357"/>
      <c r="K30" s="1357"/>
      <c r="L30" s="1358"/>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00000000000006" customHeight="1" thickBot="1">
      <c r="A32" s="143"/>
      <c r="B32" s="501"/>
      <c r="C32" s="509" t="s">
        <v>53</v>
      </c>
      <c r="D32" s="1359" t="s">
        <v>158</v>
      </c>
      <c r="E32" s="1357"/>
      <c r="F32" s="1357"/>
      <c r="G32" s="1357"/>
      <c r="H32" s="1357"/>
      <c r="I32" s="1357"/>
      <c r="J32" s="1357"/>
      <c r="K32" s="1357"/>
      <c r="L32" s="1358"/>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59" t="s">
        <v>159</v>
      </c>
      <c r="E34" s="1357"/>
      <c r="F34" s="1357"/>
      <c r="G34" s="1357"/>
      <c r="H34" s="1357"/>
      <c r="I34" s="1357"/>
      <c r="J34" s="1357"/>
      <c r="K34" s="1357"/>
      <c r="L34" s="1358"/>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00000000000006" customHeight="1" thickBot="1">
      <c r="A36" s="143"/>
      <c r="B36" s="501"/>
      <c r="C36" s="509" t="s">
        <v>161</v>
      </c>
      <c r="D36" s="1360" t="s">
        <v>160</v>
      </c>
      <c r="E36" s="1357"/>
      <c r="F36" s="1357"/>
      <c r="G36" s="1357"/>
      <c r="H36" s="1357"/>
      <c r="I36" s="1357"/>
      <c r="J36" s="1357"/>
      <c r="K36" s="1357"/>
      <c r="L36" s="1358"/>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1129</v>
      </c>
      <c r="D38" s="1354" t="s">
        <v>1205</v>
      </c>
      <c r="E38" s="1357"/>
      <c r="F38" s="1357"/>
      <c r="G38" s="1357"/>
      <c r="H38" s="1357"/>
      <c r="I38" s="1357"/>
      <c r="J38" s="1357"/>
      <c r="K38" s="1357"/>
      <c r="L38" s="1358"/>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 customHeight="1" thickBot="1">
      <c r="A40" s="143"/>
      <c r="B40" s="501"/>
      <c r="C40" s="509" t="s">
        <v>906</v>
      </c>
      <c r="D40" s="1354" t="s">
        <v>907</v>
      </c>
      <c r="E40" s="1357"/>
      <c r="F40" s="1357"/>
      <c r="G40" s="1357"/>
      <c r="H40" s="1357"/>
      <c r="I40" s="1357"/>
      <c r="J40" s="1357"/>
      <c r="K40" s="1357"/>
      <c r="L40" s="1358"/>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1130</v>
      </c>
      <c r="D42" s="1354" t="s">
        <v>674</v>
      </c>
      <c r="E42" s="1357"/>
      <c r="F42" s="1357"/>
      <c r="G42" s="1357"/>
      <c r="H42" s="1357"/>
      <c r="I42" s="1357"/>
      <c r="J42" s="1357"/>
      <c r="K42" s="1357"/>
      <c r="L42" s="1358"/>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35" customHeight="1">
      <c r="A44" s="143"/>
      <c r="B44" s="501"/>
      <c r="C44" s="1361" t="s">
        <v>32</v>
      </c>
      <c r="D44" s="1363" t="s">
        <v>1221</v>
      </c>
      <c r="E44" s="1364"/>
      <c r="F44" s="1364"/>
      <c r="G44" s="1364"/>
      <c r="H44" s="1364"/>
      <c r="I44" s="1364"/>
      <c r="J44" s="1364"/>
      <c r="K44" s="1364"/>
      <c r="L44" s="1365"/>
      <c r="M44" s="505"/>
      <c r="N44" s="146"/>
    </row>
    <row r="45" spans="1:14" ht="13.8" thickBot="1">
      <c r="A45" s="143"/>
      <c r="B45" s="501"/>
      <c r="C45" s="1362"/>
      <c r="D45" s="1366"/>
      <c r="E45" s="1367"/>
      <c r="F45" s="1367"/>
      <c r="G45" s="1367"/>
      <c r="H45" s="1367"/>
      <c r="I45" s="1367"/>
      <c r="J45" s="1367"/>
      <c r="K45" s="1367"/>
      <c r="L45" s="1368"/>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54" t="s">
        <v>1222</v>
      </c>
      <c r="E47" s="1357"/>
      <c r="F47" s="1357"/>
      <c r="G47" s="1357"/>
      <c r="H47" s="1357"/>
      <c r="I47" s="1357"/>
      <c r="J47" s="1357"/>
      <c r="K47" s="1357"/>
      <c r="L47" s="1358"/>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35" customHeight="1" thickBot="1">
      <c r="A49" s="143"/>
      <c r="B49" s="501"/>
      <c r="C49" s="509" t="s">
        <v>1120</v>
      </c>
      <c r="D49" s="1359" t="s">
        <v>162</v>
      </c>
      <c r="E49" s="1357"/>
      <c r="F49" s="1357"/>
      <c r="G49" s="1357"/>
      <c r="H49" s="1357"/>
      <c r="I49" s="1357"/>
      <c r="J49" s="1357"/>
      <c r="K49" s="1357"/>
      <c r="L49" s="1358"/>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1119</v>
      </c>
      <c r="D51" s="1354" t="s">
        <v>1223</v>
      </c>
      <c r="E51" s="1357"/>
      <c r="F51" s="1357"/>
      <c r="G51" s="1357"/>
      <c r="H51" s="1357"/>
      <c r="I51" s="1357"/>
      <c r="J51" s="1357"/>
      <c r="K51" s="1357"/>
      <c r="L51" s="1358"/>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61" t="s">
        <v>26</v>
      </c>
      <c r="D53" s="1363" t="s">
        <v>986</v>
      </c>
      <c r="E53" s="1364"/>
      <c r="F53" s="1364"/>
      <c r="G53" s="1364"/>
      <c r="H53" s="1364"/>
      <c r="I53" s="1364"/>
      <c r="J53" s="1364"/>
      <c r="K53" s="1364"/>
      <c r="L53" s="1365"/>
      <c r="M53" s="505"/>
      <c r="N53" s="146"/>
    </row>
    <row r="54" spans="1:14" ht="18" customHeight="1">
      <c r="A54" s="143"/>
      <c r="B54" s="501"/>
      <c r="C54" s="1370"/>
      <c r="D54" s="516"/>
      <c r="E54" s="1369" t="s">
        <v>108</v>
      </c>
      <c r="F54" s="1369"/>
      <c r="G54" s="517" t="s">
        <v>106</v>
      </c>
      <c r="H54" s="517"/>
      <c r="I54" s="1372" t="s">
        <v>107</v>
      </c>
      <c r="J54" s="1372"/>
      <c r="K54" s="515"/>
      <c r="L54" s="518"/>
      <c r="M54" s="505"/>
      <c r="N54" s="146"/>
    </row>
    <row r="55" spans="1:14" ht="18.75" customHeight="1">
      <c r="A55" s="143"/>
      <c r="B55" s="501"/>
      <c r="C55" s="1370"/>
      <c r="D55" s="516"/>
      <c r="E55" s="1373">
        <v>100</v>
      </c>
      <c r="F55" s="1374"/>
      <c r="G55" s="724" t="s">
        <v>102</v>
      </c>
      <c r="H55" s="39" t="s">
        <v>105</v>
      </c>
      <c r="I55" s="723">
        <f>E55*INDEX(Sheet1!N2:P4,MATCH(G55,Sheet1!M2:M4,0),MATCH(J55,Sheet1!N1:P1,0))</f>
        <v>306.88832897372282</v>
      </c>
      <c r="J55" s="724" t="s">
        <v>24</v>
      </c>
      <c r="K55" s="515"/>
      <c r="L55" s="518"/>
      <c r="M55" s="505"/>
      <c r="N55" s="146"/>
    </row>
    <row r="56" spans="1:14" ht="18" customHeight="1">
      <c r="A56" s="143"/>
      <c r="B56" s="501"/>
      <c r="C56" s="1370"/>
      <c r="D56" s="516"/>
      <c r="E56" s="503"/>
      <c r="F56" s="503"/>
      <c r="G56" s="1371" t="str">
        <f>"(conversion factor = "&amp;ROUND(INDEX(Sheet1!N2:P4,MATCH(G55,Sheet1!M2:M4,0),MATCH(J55,Sheet1!N1:P1,0)),4)&amp;")"</f>
        <v>(conversion factor = 3.0689)</v>
      </c>
      <c r="H56" s="1371"/>
      <c r="I56" s="1371"/>
      <c r="J56" s="1371"/>
      <c r="K56" s="515"/>
      <c r="L56" s="518"/>
      <c r="M56" s="505"/>
      <c r="N56" s="146"/>
    </row>
    <row r="57" spans="1:14" ht="3.75" customHeight="1" thickBot="1">
      <c r="A57" s="143"/>
      <c r="B57" s="501"/>
      <c r="C57" s="1362"/>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1131</v>
      </c>
      <c r="D59" s="1354" t="s">
        <v>1112</v>
      </c>
      <c r="E59" s="1357"/>
      <c r="F59" s="1357"/>
      <c r="G59" s="1357"/>
      <c r="H59" s="1357"/>
      <c r="I59" s="1357"/>
      <c r="J59" s="1357"/>
      <c r="K59" s="1357"/>
      <c r="L59" s="1358"/>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1132</v>
      </c>
      <c r="D61" s="1354" t="s">
        <v>770</v>
      </c>
      <c r="E61" s="1357"/>
      <c r="F61" s="1357"/>
      <c r="G61" s="1357"/>
      <c r="H61" s="1357"/>
      <c r="I61" s="1357"/>
      <c r="J61" s="1357"/>
      <c r="K61" s="1357"/>
      <c r="L61" s="1358"/>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5" customHeight="1" thickBot="1">
      <c r="A63" s="143"/>
      <c r="B63" s="501"/>
      <c r="C63" s="512" t="s">
        <v>713</v>
      </c>
      <c r="D63" s="1354" t="s">
        <v>1232</v>
      </c>
      <c r="E63" s="1357"/>
      <c r="F63" s="1357"/>
      <c r="G63" s="1357"/>
      <c r="H63" s="1357"/>
      <c r="I63" s="1357"/>
      <c r="J63" s="1357"/>
      <c r="K63" s="1357"/>
      <c r="L63" s="1358"/>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1133</v>
      </c>
      <c r="D65" s="1354" t="s">
        <v>767</v>
      </c>
      <c r="E65" s="1357"/>
      <c r="F65" s="1357"/>
      <c r="G65" s="1357"/>
      <c r="H65" s="1357"/>
      <c r="I65" s="1357"/>
      <c r="J65" s="1357"/>
      <c r="K65" s="1357"/>
      <c r="L65" s="1358"/>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 customHeight="1" thickBot="1">
      <c r="A67" s="143"/>
      <c r="B67" s="501"/>
      <c r="C67" s="508" t="s">
        <v>1134</v>
      </c>
      <c r="D67" s="1354" t="s">
        <v>1231</v>
      </c>
      <c r="E67" s="1357"/>
      <c r="F67" s="1357"/>
      <c r="G67" s="1357"/>
      <c r="H67" s="1357"/>
      <c r="I67" s="1357"/>
      <c r="J67" s="1357"/>
      <c r="K67" s="1357"/>
      <c r="L67" s="1358"/>
      <c r="M67" s="505"/>
      <c r="N67" s="146"/>
    </row>
    <row r="68" spans="1:14" ht="4.3499999999999996"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1135</v>
      </c>
      <c r="D69" s="1354" t="s">
        <v>766</v>
      </c>
      <c r="E69" s="1357"/>
      <c r="F69" s="1357"/>
      <c r="G69" s="1357"/>
      <c r="H69" s="1357"/>
      <c r="I69" s="1357"/>
      <c r="J69" s="1357"/>
      <c r="K69" s="1357"/>
      <c r="L69" s="1358"/>
      <c r="M69" s="505"/>
      <c r="N69" s="146"/>
    </row>
    <row r="70" spans="1:14" ht="4.3499999999999996" customHeight="1" thickBot="1">
      <c r="A70" s="150"/>
      <c r="B70" s="523"/>
      <c r="C70" s="524"/>
      <c r="D70" s="507"/>
      <c r="E70" s="507"/>
      <c r="F70" s="507"/>
      <c r="G70" s="503"/>
      <c r="H70" s="503"/>
      <c r="I70" s="503"/>
      <c r="J70" s="503"/>
      <c r="K70" s="503"/>
      <c r="L70" s="503"/>
      <c r="M70" s="505"/>
      <c r="N70" s="146"/>
    </row>
    <row r="71" spans="1:14" ht="125.4" customHeight="1" thickBot="1">
      <c r="A71" s="143"/>
      <c r="B71" s="501"/>
      <c r="C71" s="512" t="s">
        <v>1136</v>
      </c>
      <c r="D71" s="1354" t="s">
        <v>1230</v>
      </c>
      <c r="E71" s="1357"/>
      <c r="F71" s="1357"/>
      <c r="G71" s="1357"/>
      <c r="H71" s="1357"/>
      <c r="I71" s="1357"/>
      <c r="J71" s="1357"/>
      <c r="K71" s="1357"/>
      <c r="L71" s="1358"/>
      <c r="M71" s="505"/>
      <c r="N71" s="146"/>
    </row>
    <row r="72" spans="1:14" ht="4.3499999999999996" customHeight="1" thickBot="1">
      <c r="A72" s="143"/>
      <c r="B72" s="501"/>
      <c r="C72" s="1050"/>
      <c r="D72" s="1051"/>
      <c r="E72" s="515"/>
      <c r="F72" s="515"/>
      <c r="G72" s="515"/>
      <c r="H72" s="515"/>
      <c r="I72" s="515"/>
      <c r="J72" s="515"/>
      <c r="K72" s="515"/>
      <c r="L72" s="515"/>
      <c r="M72" s="505"/>
      <c r="N72" s="146"/>
    </row>
    <row r="73" spans="1:14" ht="409.5" customHeight="1">
      <c r="A73" s="143"/>
      <c r="B73" s="501"/>
      <c r="C73" s="1343" t="s">
        <v>1229</v>
      </c>
      <c r="D73" s="1375" t="s">
        <v>1252</v>
      </c>
      <c r="E73" s="1376"/>
      <c r="F73" s="1376"/>
      <c r="G73" s="1376"/>
      <c r="H73" s="1376"/>
      <c r="I73" s="1376"/>
      <c r="J73" s="1376"/>
      <c r="K73" s="1376"/>
      <c r="L73" s="1377"/>
      <c r="M73" s="505"/>
      <c r="N73" s="146"/>
    </row>
    <row r="74" spans="1:14" ht="302.39999999999998" customHeight="1" thickBot="1">
      <c r="A74" s="143"/>
      <c r="B74" s="501"/>
      <c r="C74" s="1344"/>
      <c r="D74" s="1378"/>
      <c r="E74" s="1379"/>
      <c r="F74" s="1379"/>
      <c r="G74" s="1379"/>
      <c r="H74" s="1379"/>
      <c r="I74" s="1379"/>
      <c r="J74" s="1379"/>
      <c r="K74" s="1379"/>
      <c r="L74" s="1380"/>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 customHeight="1" thickBot="1">
      <c r="A76" s="143"/>
      <c r="B76" s="501"/>
      <c r="C76" s="509" t="s">
        <v>168</v>
      </c>
      <c r="D76" s="1351" t="s">
        <v>985</v>
      </c>
      <c r="E76" s="1352"/>
      <c r="F76" s="1352"/>
      <c r="G76" s="1352"/>
      <c r="H76" s="1352"/>
      <c r="I76" s="1352"/>
      <c r="J76" s="1352"/>
      <c r="K76" s="1352"/>
      <c r="L76" s="1353"/>
      <c r="M76" s="505"/>
      <c r="N76" s="146"/>
    </row>
    <row r="77" spans="1:14" ht="6.75" customHeight="1" thickBot="1">
      <c r="A77" s="143"/>
      <c r="B77" s="525"/>
      <c r="C77" s="526"/>
      <c r="D77" s="527"/>
      <c r="E77" s="527"/>
      <c r="F77" s="527"/>
      <c r="G77" s="527"/>
      <c r="H77" s="527"/>
      <c r="I77" s="527"/>
      <c r="J77" s="527"/>
      <c r="K77" s="527"/>
      <c r="L77" s="527"/>
      <c r="M77" s="528"/>
      <c r="N77" s="146"/>
    </row>
    <row r="78" spans="1:14" ht="184.3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3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4" spans="1:14" hidden="1"/>
    <row r="175" spans="1:14" hidden="1"/>
    <row r="176" spans="1:14" hidden="1"/>
    <row r="177" hidden="1"/>
    <row r="178"/>
    <row r="179" hidden="1"/>
    <row r="180" hidden="1"/>
    <row r="181" hidden="1"/>
    <row r="182" hidden="1"/>
    <row r="183" hidden="1"/>
    <row r="184" hidden="1"/>
    <row r="185" hidden="1"/>
    <row r="186" hidden="1"/>
    <row r="187" hidden="1"/>
    <row r="188" hidden="1"/>
    <row r="189" hidden="1"/>
    <row r="190" hidden="1"/>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1004"/>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6" customWidth="1"/>
    <col min="2" max="2" width="18.5546875" style="6" customWidth="1"/>
    <col min="3" max="3" width="17.109375" style="6" customWidth="1"/>
    <col min="4" max="4" width="17.44140625" style="6" customWidth="1"/>
    <col min="5" max="5" width="59.5546875" style="6" customWidth="1"/>
    <col min="6" max="6" width="1.5546875" style="6" customWidth="1"/>
    <col min="7" max="7" width="1.109375" style="10" customWidth="1"/>
    <col min="8" max="16384" width="0" style="6" hidden="1"/>
  </cols>
  <sheetData>
    <row r="1" spans="1:7" ht="3.75" customHeight="1" thickBot="1">
      <c r="A1" s="140"/>
      <c r="B1" s="140"/>
      <c r="C1" s="140"/>
      <c r="D1" s="140"/>
      <c r="E1" s="140"/>
      <c r="F1" s="140"/>
      <c r="G1" s="140"/>
    </row>
    <row r="2" spans="1:7" ht="15" customHeight="1" thickTop="1">
      <c r="A2" s="140"/>
      <c r="B2" s="1381" t="s">
        <v>147</v>
      </c>
      <c r="C2" s="1382"/>
      <c r="D2" s="1382"/>
      <c r="E2" s="1382"/>
      <c r="F2" s="1383"/>
      <c r="G2" s="141"/>
    </row>
    <row r="3" spans="1:7" ht="29.4" customHeight="1" thickBot="1">
      <c r="A3" s="140"/>
      <c r="B3" s="1384"/>
      <c r="C3" s="1385"/>
      <c r="D3" s="1385"/>
      <c r="E3" s="1385"/>
      <c r="F3" s="138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4" hidden="1" thickTop="1"/>
    <row r="26" spans="1:7" hidden="1"/>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4140625" style="4" customWidth="1"/>
    <col min="2" max="2" width="1.5546875" style="4"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53" customWidth="1"/>
    <col min="20" max="20" width="1.5546875" style="19" customWidth="1"/>
    <col min="21" max="21" width="2.109375" style="50" hidden="1" customWidth="1"/>
    <col min="22" max="22" width="3" style="50" hidden="1" customWidth="1"/>
    <col min="23" max="255" width="0" style="1" hidden="1" customWidth="1"/>
    <col min="256" max="16384" width="3.10937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26" t="s">
        <v>787</v>
      </c>
      <c r="C2" s="1327"/>
      <c r="D2" s="1327"/>
      <c r="E2" s="1327"/>
      <c r="F2" s="1327"/>
      <c r="G2" s="1327"/>
      <c r="H2" s="1327"/>
      <c r="I2" s="1327"/>
      <c r="J2" s="1327"/>
      <c r="K2" s="1327"/>
      <c r="L2" s="1327"/>
      <c r="M2" s="1327"/>
      <c r="N2" s="1327"/>
      <c r="O2" s="1327"/>
      <c r="P2" s="1327"/>
      <c r="Q2" s="1327"/>
      <c r="R2" s="1327"/>
      <c r="S2" s="132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03" t="s">
        <v>1195</v>
      </c>
      <c r="D4" s="1404"/>
      <c r="E4" s="1404"/>
      <c r="F4" s="1404"/>
      <c r="G4" s="1404"/>
      <c r="H4" s="1404"/>
      <c r="I4" s="1404"/>
      <c r="J4" s="1404"/>
      <c r="K4" s="1404"/>
      <c r="L4" s="1404"/>
      <c r="M4" s="1404"/>
      <c r="N4" s="1404"/>
      <c r="O4" s="1404"/>
      <c r="P4" s="1404"/>
      <c r="Q4" s="1404"/>
      <c r="R4" s="1405"/>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06" t="s">
        <v>237</v>
      </c>
      <c r="D6" s="1407"/>
      <c r="E6" s="1407"/>
      <c r="F6" s="1407"/>
      <c r="G6" s="1407"/>
      <c r="H6" s="1407"/>
      <c r="I6" s="1407"/>
      <c r="J6" s="1407"/>
      <c r="K6" s="1407"/>
      <c r="L6" s="1407"/>
      <c r="M6" s="1407"/>
      <c r="N6" s="1407"/>
      <c r="O6" s="1407"/>
      <c r="P6" s="1407"/>
      <c r="Q6" s="1407"/>
      <c r="R6" s="1408"/>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6">
      <c r="A8" s="145"/>
      <c r="B8" s="540"/>
      <c r="C8" s="1028" t="s">
        <v>30</v>
      </c>
      <c r="D8" s="1029" t="s">
        <v>1212</v>
      </c>
      <c r="E8" s="544"/>
      <c r="F8" s="544" t="s">
        <v>1169</v>
      </c>
      <c r="G8" s="545"/>
      <c r="H8" s="1029" t="s">
        <v>1167</v>
      </c>
      <c r="I8" s="545"/>
      <c r="J8" s="545"/>
      <c r="K8" s="545"/>
      <c r="L8" s="545"/>
      <c r="M8" s="545"/>
      <c r="N8" s="545"/>
      <c r="O8" s="545"/>
      <c r="P8" s="545"/>
      <c r="Q8" s="545"/>
      <c r="R8" s="546"/>
      <c r="S8" s="505"/>
      <c r="T8" s="157"/>
      <c r="U8" s="56"/>
      <c r="V8" s="115"/>
    </row>
    <row r="9" spans="1:22" s="104" customFormat="1" ht="15.6">
      <c r="A9" s="145"/>
      <c r="B9" s="540"/>
      <c r="C9" s="1030"/>
      <c r="D9" s="548" t="s">
        <v>1170</v>
      </c>
      <c r="E9" s="548"/>
      <c r="H9" s="548" t="s">
        <v>1168</v>
      </c>
      <c r="I9" s="548"/>
      <c r="J9" s="490"/>
      <c r="K9" s="490"/>
      <c r="L9" s="490"/>
      <c r="M9" s="490"/>
      <c r="N9" s="490"/>
      <c r="O9" s="490"/>
      <c r="P9" s="490"/>
      <c r="Q9" s="490"/>
      <c r="R9" s="549"/>
      <c r="S9" s="505"/>
      <c r="T9" s="157"/>
      <c r="U9" s="56"/>
      <c r="V9" s="115"/>
    </row>
    <row r="10" spans="1:22" s="104" customFormat="1" ht="15.6">
      <c r="A10" s="145"/>
      <c r="B10" s="540"/>
      <c r="C10" s="1030"/>
      <c r="D10" s="548" t="s">
        <v>1171</v>
      </c>
      <c r="E10" s="548"/>
      <c r="H10" s="548" t="s">
        <v>1172</v>
      </c>
      <c r="I10" s="548"/>
      <c r="J10" s="490"/>
      <c r="K10" s="490"/>
      <c r="L10" s="490"/>
      <c r="M10" s="490"/>
      <c r="N10" s="490"/>
      <c r="O10" s="490"/>
      <c r="P10" s="490"/>
      <c r="Q10" s="490"/>
      <c r="R10" s="549"/>
      <c r="S10" s="505"/>
      <c r="T10" s="157"/>
      <c r="U10" s="56"/>
      <c r="V10" s="115"/>
    </row>
    <row r="11" spans="1:22" s="104" customFormat="1" ht="15.6">
      <c r="A11" s="145"/>
      <c r="B11" s="540"/>
      <c r="C11" s="1030"/>
      <c r="D11" s="548" t="s">
        <v>1211</v>
      </c>
      <c r="E11" s="548"/>
      <c r="H11" s="548" t="s">
        <v>1173</v>
      </c>
      <c r="I11" s="548"/>
      <c r="J11" s="490"/>
      <c r="K11" s="490"/>
      <c r="L11" s="490"/>
      <c r="M11" s="490"/>
      <c r="N11" s="490"/>
      <c r="O11" s="490"/>
      <c r="P11" s="490"/>
      <c r="Q11" s="490"/>
      <c r="R11" s="549"/>
      <c r="S11" s="505"/>
      <c r="T11" s="157"/>
      <c r="U11" s="56"/>
      <c r="V11" s="115"/>
    </row>
    <row r="12" spans="1:22" s="104" customFormat="1" ht="15.6">
      <c r="A12" s="145"/>
      <c r="B12" s="540"/>
      <c r="C12" s="1030"/>
      <c r="D12" s="548" t="s">
        <v>1210</v>
      </c>
      <c r="E12" s="548"/>
      <c r="H12" s="548" t="s">
        <v>1168</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12" t="s">
        <v>1174</v>
      </c>
      <c r="E15" s="1412"/>
      <c r="F15" s="1412"/>
      <c r="G15" s="1412"/>
      <c r="H15" s="1412"/>
      <c r="I15" s="1412"/>
      <c r="J15" s="1412"/>
      <c r="K15" s="1412"/>
      <c r="L15" s="1412"/>
      <c r="M15" s="1412"/>
      <c r="N15" s="1412"/>
      <c r="O15" s="1412"/>
      <c r="P15" s="1412"/>
      <c r="Q15" s="1412"/>
      <c r="R15" s="549"/>
      <c r="S15" s="505"/>
      <c r="T15" s="157"/>
      <c r="U15" s="56"/>
      <c r="V15" s="115"/>
    </row>
    <row r="16" spans="1:22" s="104" customFormat="1" ht="12.75" hidden="1" customHeight="1">
      <c r="A16" s="145"/>
      <c r="B16" s="540"/>
      <c r="C16" s="547"/>
      <c r="D16" s="1412"/>
      <c r="E16" s="1412"/>
      <c r="F16" s="1412"/>
      <c r="G16" s="1412"/>
      <c r="H16" s="1412"/>
      <c r="I16" s="1412"/>
      <c r="J16" s="1412"/>
      <c r="K16" s="1412"/>
      <c r="L16" s="1412"/>
      <c r="M16" s="1412"/>
      <c r="N16" s="1412"/>
      <c r="O16" s="1412"/>
      <c r="P16" s="1412"/>
      <c r="Q16" s="1412"/>
      <c r="R16" s="549"/>
      <c r="S16" s="505"/>
      <c r="T16" s="157"/>
      <c r="U16" s="56"/>
      <c r="V16" s="115"/>
    </row>
    <row r="17" spans="1:22" s="104" customFormat="1" ht="23.4" customHeight="1" thickBot="1">
      <c r="A17" s="145"/>
      <c r="B17" s="540"/>
      <c r="C17" s="550"/>
      <c r="D17" s="1413"/>
      <c r="E17" s="1413"/>
      <c r="F17" s="1413"/>
      <c r="G17" s="1413"/>
      <c r="H17" s="1413"/>
      <c r="I17" s="1413"/>
      <c r="J17" s="1413"/>
      <c r="K17" s="1413"/>
      <c r="L17" s="1413"/>
      <c r="M17" s="1413"/>
      <c r="N17" s="1413"/>
      <c r="O17" s="1413"/>
      <c r="P17" s="1413"/>
      <c r="Q17" s="1413"/>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01"/>
      <c r="E19" s="1401"/>
      <c r="F19" s="1401"/>
      <c r="G19" s="1401"/>
      <c r="H19" s="1401"/>
      <c r="I19" s="1401"/>
      <c r="J19" s="1401"/>
      <c r="K19" s="1401"/>
      <c r="L19" s="1401"/>
      <c r="M19" s="1401"/>
      <c r="N19" s="1401"/>
      <c r="O19" s="1401"/>
      <c r="P19" s="1401"/>
      <c r="Q19" s="1401"/>
      <c r="R19" s="1402"/>
      <c r="S19" s="505"/>
      <c r="T19" s="157"/>
      <c r="U19" s="56"/>
      <c r="V19" s="115"/>
    </row>
    <row r="20" spans="1:22" s="135" customFormat="1" ht="36.6" customHeight="1">
      <c r="A20" s="1088"/>
      <c r="B20" s="1089"/>
      <c r="C20" s="1387" t="s">
        <v>1265</v>
      </c>
      <c r="D20" s="1388"/>
      <c r="E20" s="1388"/>
      <c r="F20" s="1388"/>
      <c r="G20" s="1388"/>
      <c r="H20" s="1388"/>
      <c r="I20" s="1388"/>
      <c r="J20" s="1388"/>
      <c r="K20" s="1388"/>
      <c r="L20" s="1388"/>
      <c r="M20" s="1388"/>
      <c r="N20" s="1388"/>
      <c r="O20" s="1388"/>
      <c r="P20" s="1388"/>
      <c r="Q20" s="1388"/>
      <c r="R20" s="1389"/>
      <c r="S20" s="511"/>
      <c r="T20" s="1090"/>
      <c r="U20" s="1091"/>
      <c r="V20" s="1092"/>
    </row>
    <row r="21" spans="1:22" s="135" customFormat="1" ht="15" customHeight="1">
      <c r="A21" s="1088"/>
      <c r="B21" s="1089"/>
      <c r="C21" s="1387" t="s">
        <v>1176</v>
      </c>
      <c r="D21" s="1388"/>
      <c r="E21" s="1388"/>
      <c r="F21" s="1388"/>
      <c r="G21" s="1388"/>
      <c r="H21" s="1388"/>
      <c r="I21" s="1388"/>
      <c r="J21" s="1388"/>
      <c r="K21" s="1388"/>
      <c r="L21" s="1388"/>
      <c r="M21" s="1388"/>
      <c r="N21" s="1388"/>
      <c r="O21" s="1388"/>
      <c r="P21" s="1388"/>
      <c r="Q21" s="1388"/>
      <c r="R21" s="1389"/>
      <c r="S21" s="511"/>
      <c r="T21" s="1090"/>
      <c r="U21" s="1091"/>
      <c r="V21" s="1092"/>
    </row>
    <row r="22" spans="1:22" s="135" customFormat="1" ht="15" customHeight="1">
      <c r="A22" s="1088"/>
      <c r="B22" s="1089"/>
      <c r="C22" s="1387" t="s">
        <v>1177</v>
      </c>
      <c r="D22" s="1388"/>
      <c r="E22" s="1388"/>
      <c r="F22" s="1388"/>
      <c r="G22" s="1388"/>
      <c r="H22" s="1388"/>
      <c r="I22" s="1388"/>
      <c r="J22" s="1388"/>
      <c r="K22" s="1388"/>
      <c r="L22" s="1388"/>
      <c r="M22" s="1388"/>
      <c r="N22" s="1388"/>
      <c r="O22" s="1388"/>
      <c r="P22" s="1388"/>
      <c r="Q22" s="1388"/>
      <c r="R22" s="1389"/>
      <c r="S22" s="511"/>
      <c r="T22" s="1090"/>
      <c r="U22" s="1091"/>
      <c r="V22" s="1092"/>
    </row>
    <row r="23" spans="1:22" s="135" customFormat="1" ht="15" customHeight="1">
      <c r="A23" s="1088"/>
      <c r="B23" s="1089"/>
      <c r="C23" s="1387" t="s">
        <v>1263</v>
      </c>
      <c r="D23" s="1388"/>
      <c r="E23" s="1388"/>
      <c r="F23" s="1388"/>
      <c r="G23" s="1388"/>
      <c r="H23" s="1388"/>
      <c r="I23" s="1388"/>
      <c r="J23" s="1388"/>
      <c r="K23" s="1388"/>
      <c r="L23" s="1388"/>
      <c r="M23" s="1388"/>
      <c r="N23" s="1388"/>
      <c r="O23" s="1388"/>
      <c r="P23" s="1388"/>
      <c r="Q23" s="1388"/>
      <c r="R23" s="1389"/>
      <c r="S23" s="511"/>
      <c r="T23" s="1090"/>
      <c r="U23" s="1091"/>
      <c r="V23" s="1092"/>
    </row>
    <row r="24" spans="1:22" s="135" customFormat="1" ht="15" customHeight="1">
      <c r="A24" s="1088"/>
      <c r="B24" s="1089"/>
      <c r="C24" s="1387" t="s">
        <v>1264</v>
      </c>
      <c r="D24" s="1388"/>
      <c r="E24" s="1388"/>
      <c r="F24" s="1388"/>
      <c r="G24" s="1388"/>
      <c r="H24" s="1388"/>
      <c r="I24" s="1388"/>
      <c r="J24" s="1388"/>
      <c r="K24" s="1388"/>
      <c r="L24" s="1388"/>
      <c r="M24" s="1388"/>
      <c r="N24" s="1388"/>
      <c r="O24" s="1388"/>
      <c r="P24" s="1388"/>
      <c r="Q24" s="1388"/>
      <c r="R24" s="1389"/>
      <c r="S24" s="511"/>
      <c r="T24" s="1090"/>
      <c r="U24" s="1091"/>
      <c r="V24" s="1092"/>
    </row>
    <row r="25" spans="1:22" s="135" customFormat="1" ht="15" customHeight="1">
      <c r="A25" s="1088"/>
      <c r="B25" s="1089"/>
      <c r="C25" s="1387" t="s">
        <v>1178</v>
      </c>
      <c r="D25" s="1388"/>
      <c r="E25" s="1388"/>
      <c r="F25" s="1388"/>
      <c r="G25" s="1388"/>
      <c r="H25" s="1388"/>
      <c r="I25" s="1388"/>
      <c r="J25" s="1388"/>
      <c r="K25" s="1388"/>
      <c r="L25" s="1388"/>
      <c r="M25" s="1388"/>
      <c r="N25" s="1388"/>
      <c r="O25" s="1388"/>
      <c r="P25" s="1388"/>
      <c r="Q25" s="1388"/>
      <c r="R25" s="1389"/>
      <c r="S25" s="511"/>
      <c r="T25" s="1090"/>
      <c r="U25" s="1091"/>
      <c r="V25" s="1092"/>
    </row>
    <row r="26" spans="1:22" s="135" customFormat="1" ht="15" customHeight="1">
      <c r="A26" s="1088"/>
      <c r="B26" s="1089"/>
      <c r="C26" s="1387" t="s">
        <v>1179</v>
      </c>
      <c r="D26" s="1388"/>
      <c r="E26" s="1388"/>
      <c r="F26" s="1388"/>
      <c r="G26" s="1388"/>
      <c r="H26" s="1388"/>
      <c r="I26" s="1388"/>
      <c r="J26" s="1388"/>
      <c r="K26" s="1388"/>
      <c r="L26" s="1388"/>
      <c r="M26" s="1388"/>
      <c r="N26" s="1388"/>
      <c r="O26" s="1388"/>
      <c r="P26" s="1388"/>
      <c r="Q26" s="1388"/>
      <c r="R26" s="1389"/>
      <c r="S26" s="511"/>
      <c r="T26" s="1090"/>
      <c r="U26" s="1091"/>
      <c r="V26" s="1092"/>
    </row>
    <row r="27" spans="1:22" s="135" customFormat="1" ht="15" customHeight="1">
      <c r="A27" s="1088"/>
      <c r="B27" s="1089"/>
      <c r="C27" s="1387" t="s">
        <v>1242</v>
      </c>
      <c r="D27" s="1388"/>
      <c r="E27" s="1388"/>
      <c r="F27" s="1388"/>
      <c r="G27" s="1388"/>
      <c r="H27" s="1388"/>
      <c r="I27" s="1388"/>
      <c r="J27" s="1388"/>
      <c r="K27" s="1388"/>
      <c r="L27" s="1388"/>
      <c r="M27" s="1388"/>
      <c r="N27" s="1388"/>
      <c r="O27" s="1388"/>
      <c r="P27" s="1388"/>
      <c r="Q27" s="1388"/>
      <c r="R27" s="1389"/>
      <c r="S27" s="511"/>
      <c r="T27" s="1090"/>
      <c r="U27" s="1091"/>
      <c r="V27" s="1092"/>
    </row>
    <row r="28" spans="1:22" s="135" customFormat="1" ht="15" customHeight="1">
      <c r="A28" s="1088"/>
      <c r="B28" s="1089"/>
      <c r="C28" s="1387" t="s">
        <v>1243</v>
      </c>
      <c r="D28" s="1388"/>
      <c r="E28" s="1388"/>
      <c r="F28" s="1388"/>
      <c r="G28" s="1388"/>
      <c r="H28" s="1388"/>
      <c r="I28" s="1388"/>
      <c r="J28" s="1388"/>
      <c r="K28" s="1388"/>
      <c r="L28" s="1388"/>
      <c r="M28" s="1388"/>
      <c r="N28" s="1388"/>
      <c r="O28" s="1388"/>
      <c r="P28" s="1388"/>
      <c r="Q28" s="1388"/>
      <c r="R28" s="1389"/>
      <c r="S28" s="511"/>
      <c r="T28" s="1090"/>
      <c r="U28" s="1091"/>
      <c r="V28" s="1092"/>
    </row>
    <row r="29" spans="1:22" s="135" customFormat="1" ht="15" customHeight="1">
      <c r="A29" s="1088"/>
      <c r="B29" s="1089"/>
      <c r="C29" s="1387" t="s">
        <v>1180</v>
      </c>
      <c r="D29" s="1388"/>
      <c r="E29" s="1388"/>
      <c r="F29" s="1388"/>
      <c r="G29" s="1388"/>
      <c r="H29" s="1388"/>
      <c r="I29" s="1388"/>
      <c r="J29" s="1388"/>
      <c r="K29" s="1388"/>
      <c r="L29" s="1388"/>
      <c r="M29" s="1388"/>
      <c r="N29" s="1388"/>
      <c r="O29" s="1388"/>
      <c r="P29" s="1388"/>
      <c r="Q29" s="1388"/>
      <c r="R29" s="1389"/>
      <c r="S29" s="511"/>
      <c r="T29" s="1090"/>
      <c r="U29" s="1091"/>
      <c r="V29" s="1092"/>
    </row>
    <row r="30" spans="1:22" s="135" customFormat="1" ht="27.6" customHeight="1" thickBot="1">
      <c r="A30" s="1088"/>
      <c r="B30" s="1089"/>
      <c r="C30" s="1409" t="s">
        <v>1266</v>
      </c>
      <c r="D30" s="1410"/>
      <c r="E30" s="1410"/>
      <c r="F30" s="1410"/>
      <c r="G30" s="1410"/>
      <c r="H30" s="1410"/>
      <c r="I30" s="1410"/>
      <c r="J30" s="1410"/>
      <c r="K30" s="1410"/>
      <c r="L30" s="1410"/>
      <c r="M30" s="1410"/>
      <c r="N30" s="1410"/>
      <c r="O30" s="1410"/>
      <c r="P30" s="1410"/>
      <c r="Q30" s="1410"/>
      <c r="R30" s="1411"/>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242</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252</v>
      </c>
      <c r="D33" s="555" t="s">
        <v>251</v>
      </c>
      <c r="E33" s="555" t="s">
        <v>253</v>
      </c>
      <c r="F33" s="1394" t="s">
        <v>256</v>
      </c>
      <c r="G33" s="1395"/>
      <c r="H33" s="1395"/>
      <c r="I33" s="1395"/>
      <c r="J33" s="1395"/>
      <c r="K33" s="1395"/>
      <c r="L33" s="1395"/>
      <c r="M33" s="1395"/>
      <c r="N33" s="1395"/>
      <c r="O33" s="1395"/>
      <c r="P33" s="1395"/>
      <c r="Q33" s="1395"/>
      <c r="R33" s="1396"/>
      <c r="S33" s="505"/>
      <c r="T33" s="157"/>
      <c r="U33" s="56"/>
      <c r="V33" s="115"/>
    </row>
    <row r="34" spans="1:22" s="104" customFormat="1" ht="35.1" customHeight="1">
      <c r="A34" s="145"/>
      <c r="B34" s="540"/>
      <c r="C34" s="556" t="s">
        <v>243</v>
      </c>
      <c r="D34" s="557" t="s">
        <v>254</v>
      </c>
      <c r="E34" s="558">
        <v>5</v>
      </c>
      <c r="F34" s="1397" t="s">
        <v>248</v>
      </c>
      <c r="G34" s="1398"/>
      <c r="H34" s="1398"/>
      <c r="I34" s="1398"/>
      <c r="J34" s="1398"/>
      <c r="K34" s="1398"/>
      <c r="L34" s="1398"/>
      <c r="M34" s="1398"/>
      <c r="N34" s="1398"/>
      <c r="O34" s="1398"/>
      <c r="P34" s="1398"/>
      <c r="Q34" s="1398"/>
      <c r="R34" s="1399"/>
      <c r="S34" s="505"/>
      <c r="T34" s="157"/>
      <c r="U34" s="56"/>
      <c r="V34" s="115"/>
    </row>
    <row r="35" spans="1:22" s="104" customFormat="1" ht="47.4" customHeight="1">
      <c r="A35" s="145"/>
      <c r="B35" s="540"/>
      <c r="C35" s="556" t="s">
        <v>244</v>
      </c>
      <c r="D35" s="558">
        <v>2006</v>
      </c>
      <c r="E35" s="558">
        <v>5</v>
      </c>
      <c r="F35" s="1397" t="s">
        <v>249</v>
      </c>
      <c r="G35" s="1398"/>
      <c r="H35" s="1398"/>
      <c r="I35" s="1398"/>
      <c r="J35" s="1398"/>
      <c r="K35" s="1398"/>
      <c r="L35" s="1398"/>
      <c r="M35" s="1398"/>
      <c r="N35" s="1398"/>
      <c r="O35" s="1398"/>
      <c r="P35" s="1398"/>
      <c r="Q35" s="1398"/>
      <c r="R35" s="1399"/>
      <c r="S35" s="505"/>
      <c r="T35" s="157"/>
      <c r="U35" s="56"/>
      <c r="V35" s="115"/>
    </row>
    <row r="36" spans="1:22" s="104" customFormat="1" ht="59.4" customHeight="1">
      <c r="A36" s="145"/>
      <c r="B36" s="540"/>
      <c r="C36" s="556" t="s">
        <v>245</v>
      </c>
      <c r="D36" s="558">
        <v>2007</v>
      </c>
      <c r="E36" s="558">
        <v>7</v>
      </c>
      <c r="F36" s="1397" t="s">
        <v>250</v>
      </c>
      <c r="G36" s="1398"/>
      <c r="H36" s="1398"/>
      <c r="I36" s="1398"/>
      <c r="J36" s="1398"/>
      <c r="K36" s="1398"/>
      <c r="L36" s="1398"/>
      <c r="M36" s="1398"/>
      <c r="N36" s="1398"/>
      <c r="O36" s="1398"/>
      <c r="P36" s="1398"/>
      <c r="Q36" s="1398"/>
      <c r="R36" s="1399"/>
      <c r="S36" s="505"/>
      <c r="T36" s="157"/>
      <c r="U36" s="56"/>
      <c r="V36" s="115"/>
    </row>
    <row r="37" spans="1:22" s="104" customFormat="1" ht="137.4" customHeight="1">
      <c r="A37" s="145"/>
      <c r="B37" s="540"/>
      <c r="C37" s="556" t="s">
        <v>246</v>
      </c>
      <c r="D37" s="558">
        <v>2010</v>
      </c>
      <c r="E37" s="558">
        <v>10</v>
      </c>
      <c r="F37" s="1400" t="s">
        <v>257</v>
      </c>
      <c r="G37" s="1398"/>
      <c r="H37" s="1398"/>
      <c r="I37" s="1398"/>
      <c r="J37" s="1398"/>
      <c r="K37" s="1398"/>
      <c r="L37" s="1398"/>
      <c r="M37" s="1398"/>
      <c r="N37" s="1398"/>
      <c r="O37" s="1398"/>
      <c r="P37" s="1398"/>
      <c r="Q37" s="1398"/>
      <c r="R37" s="1399"/>
      <c r="S37" s="505"/>
      <c r="T37" s="157"/>
      <c r="U37" s="56"/>
      <c r="V37" s="115"/>
    </row>
    <row r="38" spans="1:22" s="104" customFormat="1" ht="110.4" customHeight="1" thickBot="1">
      <c r="A38" s="145"/>
      <c r="B38" s="540"/>
      <c r="C38" s="559" t="s">
        <v>247</v>
      </c>
      <c r="D38" s="560">
        <v>2014</v>
      </c>
      <c r="E38" s="560">
        <v>12</v>
      </c>
      <c r="F38" s="1393" t="s">
        <v>255</v>
      </c>
      <c r="G38" s="1391"/>
      <c r="H38" s="1391"/>
      <c r="I38" s="1391"/>
      <c r="J38" s="1391"/>
      <c r="K38" s="1391"/>
      <c r="L38" s="1391"/>
      <c r="M38" s="1391"/>
      <c r="N38" s="1391"/>
      <c r="O38" s="1391"/>
      <c r="P38" s="1391"/>
      <c r="Q38" s="1391"/>
      <c r="R38" s="1392"/>
      <c r="S38" s="505"/>
      <c r="T38" s="157"/>
      <c r="U38" s="56"/>
      <c r="V38" s="115"/>
    </row>
    <row r="39" spans="1:22" s="104" customFormat="1" ht="180.6" customHeight="1" thickBot="1">
      <c r="A39" s="145"/>
      <c r="B39" s="540"/>
      <c r="C39" s="559" t="s">
        <v>662</v>
      </c>
      <c r="D39" s="560">
        <v>2020</v>
      </c>
      <c r="E39" s="561">
        <v>11</v>
      </c>
      <c r="F39" s="1390" t="s">
        <v>1175</v>
      </c>
      <c r="G39" s="1391"/>
      <c r="H39" s="1391"/>
      <c r="I39" s="1391"/>
      <c r="J39" s="1391"/>
      <c r="K39" s="1391"/>
      <c r="L39" s="1391"/>
      <c r="M39" s="1391"/>
      <c r="N39" s="1391"/>
      <c r="O39" s="1391"/>
      <c r="P39" s="1391"/>
      <c r="Q39" s="1391"/>
      <c r="R39" s="1392"/>
      <c r="S39" s="505"/>
      <c r="T39" s="157"/>
      <c r="U39" s="56"/>
      <c r="V39" s="115"/>
    </row>
    <row r="40" spans="1:22" s="104" customFormat="1" ht="17.399999999999999" customHeight="1">
      <c r="A40" s="145"/>
      <c r="B40" s="540"/>
      <c r="C40" s="316"/>
      <c r="D40" s="316"/>
      <c r="E40" s="316"/>
      <c r="F40" s="316"/>
      <c r="G40" s="316"/>
      <c r="H40" s="316"/>
      <c r="I40" s="316"/>
      <c r="J40" s="316"/>
      <c r="K40" s="316"/>
      <c r="L40" s="316" t="s">
        <v>148</v>
      </c>
      <c r="M40" s="317" t="s">
        <v>84</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09375" defaultRowHeight="13.2"/>
  <cols>
    <col min="1" max="1" width="9.109375" style="213"/>
    <col min="2" max="2" width="11.88671875" style="213" customWidth="1"/>
    <col min="3" max="5" width="40.44140625" style="213" customWidth="1"/>
    <col min="6" max="6" width="38.109375" style="213" bestFit="1" customWidth="1"/>
    <col min="7" max="7" width="2.88671875" style="213" bestFit="1" customWidth="1"/>
    <col min="8" max="9" width="22.88671875" style="213" customWidth="1"/>
    <col min="10" max="16384" width="9.109375" style="213"/>
  </cols>
  <sheetData>
    <row r="1" spans="2:7" ht="26.4">
      <c r="B1" s="215" t="s">
        <v>361</v>
      </c>
      <c r="E1" s="216" t="s">
        <v>317</v>
      </c>
      <c r="F1" s="216"/>
    </row>
    <row r="2" spans="2:7">
      <c r="B2" s="265" t="s">
        <v>27</v>
      </c>
      <c r="C2" s="265" t="s">
        <v>346</v>
      </c>
      <c r="D2" s="265"/>
      <c r="E2" s="265"/>
      <c r="F2" s="265"/>
    </row>
    <row r="3" spans="2:7">
      <c r="B3" s="265" t="s">
        <v>318</v>
      </c>
      <c r="C3" s="885" t="s">
        <v>362</v>
      </c>
      <c r="D3" s="885" t="s">
        <v>363</v>
      </c>
      <c r="E3" s="885" t="s">
        <v>364</v>
      </c>
      <c r="F3" s="885" t="s">
        <v>365</v>
      </c>
    </row>
    <row r="4" spans="2:7" ht="26.4">
      <c r="B4" s="265" t="s">
        <v>276</v>
      </c>
      <c r="C4" s="265" t="s">
        <v>366</v>
      </c>
      <c r="D4" s="265" t="s">
        <v>728</v>
      </c>
      <c r="E4" s="265" t="s">
        <v>333</v>
      </c>
      <c r="F4" s="265" t="s">
        <v>367</v>
      </c>
    </row>
    <row r="5" spans="2:7" ht="39.6">
      <c r="B5" s="265" t="s">
        <v>286</v>
      </c>
      <c r="C5" s="265" t="s">
        <v>368</v>
      </c>
      <c r="D5" s="885" t="s">
        <v>1079</v>
      </c>
      <c r="E5" s="885" t="s">
        <v>726</v>
      </c>
      <c r="F5" s="265" t="s">
        <v>369</v>
      </c>
    </row>
    <row r="6" spans="2:7">
      <c r="B6" s="265">
        <v>1</v>
      </c>
      <c r="C6" s="265"/>
      <c r="D6" s="265"/>
      <c r="E6" s="265"/>
      <c r="F6" s="265"/>
      <c r="G6" s="218">
        <v>1</v>
      </c>
    </row>
    <row r="7" spans="2:7">
      <c r="B7" s="265">
        <v>2</v>
      </c>
      <c r="C7" s="265"/>
      <c r="D7" s="265"/>
      <c r="E7" s="265"/>
      <c r="F7" s="265"/>
      <c r="G7" s="218">
        <v>2</v>
      </c>
    </row>
    <row r="8" spans="2:7">
      <c r="B8" s="265">
        <v>3</v>
      </c>
      <c r="C8" s="265" t="s">
        <v>269</v>
      </c>
      <c r="D8" s="265" t="s">
        <v>269</v>
      </c>
      <c r="E8" s="265"/>
      <c r="F8" s="265"/>
      <c r="G8" s="218">
        <v>3</v>
      </c>
    </row>
    <row r="9" spans="2:7">
      <c r="B9" s="265">
        <v>4</v>
      </c>
      <c r="C9" s="265"/>
      <c r="D9" s="265"/>
      <c r="E9" s="265" t="s">
        <v>269</v>
      </c>
      <c r="F9" s="265"/>
      <c r="G9" s="218">
        <v>4</v>
      </c>
    </row>
    <row r="10" spans="2:7" ht="39.6">
      <c r="B10" s="265">
        <v>5</v>
      </c>
      <c r="C10" s="265"/>
      <c r="D10" s="265" t="s">
        <v>727</v>
      </c>
      <c r="E10" s="265"/>
      <c r="F10" s="265"/>
      <c r="G10" s="218">
        <v>5</v>
      </c>
    </row>
    <row r="11" spans="2:7">
      <c r="B11" s="265">
        <v>6</v>
      </c>
      <c r="C11" s="265"/>
      <c r="D11" s="265" t="s">
        <v>370</v>
      </c>
      <c r="E11" s="265"/>
      <c r="F11" s="265"/>
      <c r="G11" s="218">
        <v>6</v>
      </c>
    </row>
    <row r="12" spans="2:7">
      <c r="B12" s="265">
        <v>7</v>
      </c>
      <c r="C12" s="265" t="s">
        <v>371</v>
      </c>
      <c r="D12" s="265"/>
      <c r="E12" s="265"/>
      <c r="F12" s="265" t="s">
        <v>372</v>
      </c>
      <c r="G12" s="218">
        <v>7</v>
      </c>
    </row>
    <row r="13" spans="2:7">
      <c r="B13" s="265">
        <v>8</v>
      </c>
      <c r="C13" s="265"/>
      <c r="D13" s="265"/>
      <c r="E13" s="265"/>
      <c r="F13" s="265"/>
      <c r="G13" s="218">
        <v>8</v>
      </c>
    </row>
    <row r="14" spans="2:7">
      <c r="B14" s="265">
        <v>9</v>
      </c>
      <c r="C14" s="265"/>
      <c r="D14" s="265" t="s">
        <v>373</v>
      </c>
      <c r="E14" s="265"/>
      <c r="F14" s="265"/>
      <c r="G14" s="218">
        <v>9</v>
      </c>
    </row>
    <row r="15" spans="2:7" ht="26.4">
      <c r="B15" s="265">
        <v>10</v>
      </c>
      <c r="C15" s="265" t="s">
        <v>374</v>
      </c>
      <c r="D15" s="265" t="s">
        <v>375</v>
      </c>
      <c r="E15" s="265" t="s">
        <v>337</v>
      </c>
      <c r="F15" s="265" t="s">
        <v>376</v>
      </c>
      <c r="G15" s="218">
        <v>10</v>
      </c>
    </row>
    <row r="16" spans="2:7" ht="26.4">
      <c r="B16" s="265">
        <v>10</v>
      </c>
      <c r="C16" s="265"/>
      <c r="D16" s="265"/>
      <c r="E16" s="886" t="s">
        <v>338</v>
      </c>
      <c r="F16" s="885"/>
      <c r="G16" s="218">
        <v>10</v>
      </c>
    </row>
    <row r="23" spans="2:6">
      <c r="B23" s="204" t="s">
        <v>345</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820</v>
      </c>
    </row>
    <row r="34" spans="2:2">
      <c r="B34" s="217" t="s">
        <v>368</v>
      </c>
    </row>
    <row r="35" spans="2:2">
      <c r="B35" s="217" t="s">
        <v>1079</v>
      </c>
    </row>
    <row r="36" spans="2:2">
      <c r="B36" s="217" t="s">
        <v>726</v>
      </c>
    </row>
    <row r="37" spans="2:2">
      <c r="B37" s="214" t="s">
        <v>369</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200" customWidth="1"/>
    <col min="2" max="2" width="13.109375" style="200" customWidth="1"/>
    <col min="3" max="3" width="12.109375" style="200" customWidth="1"/>
    <col min="4" max="5" width="29.44140625" style="200" customWidth="1"/>
    <col min="6" max="6" width="15.109375" style="200" customWidth="1"/>
    <col min="7" max="7" width="34.109375" style="200" customWidth="1"/>
    <col min="8" max="8" width="15.109375" style="200" customWidth="1"/>
    <col min="9" max="9" width="23.44140625" style="200" customWidth="1"/>
    <col min="10" max="10" width="24" style="200" customWidth="1"/>
    <col min="11" max="11" width="18.109375" style="200" customWidth="1"/>
    <col min="12" max="12" width="32.88671875" style="200" customWidth="1"/>
    <col min="13" max="13" width="9.88671875" style="200" bestFit="1" customWidth="1"/>
    <col min="14" max="14" width="21.5546875" style="200" customWidth="1"/>
    <col min="15" max="15" width="11.5546875" style="200" customWidth="1"/>
    <col min="16" max="16" width="102.44140625" style="200" bestFit="1" customWidth="1"/>
    <col min="17" max="17" width="52.5546875" style="200" customWidth="1"/>
    <col min="18" max="18" width="10.44140625" style="200" customWidth="1"/>
    <col min="19" max="19" width="12.109375" style="200" bestFit="1" customWidth="1"/>
    <col min="20" max="20" width="16.5546875" style="200" customWidth="1"/>
    <col min="21" max="16384" width="14.44140625" style="200"/>
  </cols>
  <sheetData>
    <row r="1" spans="2:18">
      <c r="B1" s="198" t="s">
        <v>17</v>
      </c>
      <c r="C1" s="175"/>
      <c r="D1" s="205" t="s">
        <v>295</v>
      </c>
      <c r="E1" s="205"/>
      <c r="F1" s="199"/>
      <c r="G1" s="175"/>
      <c r="H1" s="175"/>
      <c r="I1" s="211" t="s">
        <v>317</v>
      </c>
      <c r="J1" s="175"/>
      <c r="K1" s="175"/>
      <c r="L1" s="175"/>
      <c r="M1" s="175"/>
      <c r="N1" s="175"/>
      <c r="O1" s="175"/>
      <c r="P1" s="175"/>
      <c r="Q1" s="175"/>
      <c r="R1" s="175"/>
    </row>
    <row r="2" spans="2:18">
      <c r="B2" s="233" t="s">
        <v>27</v>
      </c>
      <c r="C2" s="875" t="s">
        <v>465</v>
      </c>
      <c r="D2" s="875"/>
      <c r="E2" s="875"/>
      <c r="F2" s="875"/>
      <c r="G2" s="875"/>
      <c r="H2" s="875"/>
      <c r="I2" s="875"/>
      <c r="J2" s="875"/>
      <c r="K2" s="875"/>
      <c r="L2" s="875"/>
      <c r="M2" s="175"/>
      <c r="N2" s="175"/>
      <c r="O2" s="175"/>
      <c r="P2" s="175"/>
      <c r="Q2" s="175"/>
      <c r="R2" s="175"/>
    </row>
    <row r="3" spans="2:18">
      <c r="B3" s="876" t="s">
        <v>318</v>
      </c>
      <c r="C3" s="876" t="s">
        <v>381</v>
      </c>
      <c r="D3" s="876" t="s">
        <v>382</v>
      </c>
      <c r="E3" s="876" t="s">
        <v>383</v>
      </c>
      <c r="F3" s="876" t="s">
        <v>384</v>
      </c>
      <c r="G3" s="876" t="s">
        <v>385</v>
      </c>
      <c r="H3" s="876" t="s">
        <v>386</v>
      </c>
      <c r="I3" s="876" t="s">
        <v>387</v>
      </c>
      <c r="J3" s="876" t="s">
        <v>388</v>
      </c>
      <c r="K3" s="876" t="s">
        <v>389</v>
      </c>
      <c r="L3" s="876" t="s">
        <v>815</v>
      </c>
      <c r="M3" s="176"/>
      <c r="N3" s="176"/>
      <c r="O3" s="176"/>
      <c r="P3" s="176"/>
      <c r="Q3" s="176"/>
      <c r="R3" s="176"/>
    </row>
    <row r="4" spans="2:18" ht="39.6">
      <c r="B4" s="887" t="s">
        <v>276</v>
      </c>
      <c r="C4" s="887" t="s">
        <v>397</v>
      </c>
      <c r="D4" s="887" t="s">
        <v>278</v>
      </c>
      <c r="E4" s="887"/>
      <c r="F4" s="887" t="s">
        <v>279</v>
      </c>
      <c r="G4" s="887" t="s">
        <v>280</v>
      </c>
      <c r="H4" s="887" t="s">
        <v>281</v>
      </c>
      <c r="I4" s="887" t="s">
        <v>282</v>
      </c>
      <c r="J4" s="887" t="s">
        <v>283</v>
      </c>
      <c r="K4" s="887" t="s">
        <v>284</v>
      </c>
      <c r="L4" s="887" t="s">
        <v>285</v>
      </c>
      <c r="M4" s="209"/>
      <c r="N4" s="209"/>
      <c r="O4" s="209"/>
      <c r="P4" s="209"/>
      <c r="Q4" s="209"/>
      <c r="R4" s="209"/>
    </row>
    <row r="5" spans="2:18" ht="92.4">
      <c r="B5" s="878" t="s">
        <v>286</v>
      </c>
      <c r="C5" s="878" t="s">
        <v>398</v>
      </c>
      <c r="D5" s="878" t="s">
        <v>809</v>
      </c>
      <c r="E5" s="878" t="s">
        <v>797</v>
      </c>
      <c r="F5" s="878" t="s">
        <v>288</v>
      </c>
      <c r="G5" s="878" t="s">
        <v>798</v>
      </c>
      <c r="H5" s="878" t="s">
        <v>289</v>
      </c>
      <c r="I5" s="878" t="s">
        <v>991</v>
      </c>
      <c r="J5" s="878" t="s">
        <v>799</v>
      </c>
      <c r="K5" s="878" t="s">
        <v>812</v>
      </c>
      <c r="L5" s="878" t="s">
        <v>816</v>
      </c>
      <c r="N5" s="177"/>
      <c r="P5" s="177"/>
      <c r="Q5" s="177"/>
      <c r="R5" s="177"/>
    </row>
    <row r="6" spans="2:18" ht="26.4">
      <c r="B6" s="879">
        <v>1</v>
      </c>
      <c r="C6" s="878" t="s">
        <v>267</v>
      </c>
      <c r="D6" s="878"/>
      <c r="E6" s="878"/>
      <c r="F6" s="878"/>
      <c r="G6" s="878"/>
      <c r="H6" s="878"/>
      <c r="I6" s="878" t="s">
        <v>336</v>
      </c>
      <c r="J6" s="878"/>
      <c r="K6" s="878"/>
      <c r="L6" s="878" t="s">
        <v>401</v>
      </c>
      <c r="M6" s="202">
        <v>1</v>
      </c>
      <c r="N6" s="177"/>
      <c r="P6" s="177"/>
      <c r="Q6" s="177"/>
      <c r="R6" s="177"/>
    </row>
    <row r="7" spans="2:18" ht="26.4">
      <c r="B7" s="879">
        <v>2</v>
      </c>
      <c r="C7" s="878" t="s">
        <v>290</v>
      </c>
      <c r="D7" s="232"/>
      <c r="E7" s="232"/>
      <c r="F7" s="878"/>
      <c r="G7" s="232"/>
      <c r="H7" s="878"/>
      <c r="I7" s="878" t="s">
        <v>800</v>
      </c>
      <c r="J7" s="878"/>
      <c r="K7" s="878"/>
      <c r="L7" s="878"/>
      <c r="M7" s="202">
        <v>2</v>
      </c>
      <c r="N7" s="177"/>
      <c r="P7" s="177"/>
      <c r="Q7" s="177"/>
      <c r="R7" s="177"/>
    </row>
    <row r="8" spans="2:18">
      <c r="B8" s="879">
        <v>3</v>
      </c>
      <c r="C8" s="878" t="s">
        <v>292</v>
      </c>
      <c r="D8" s="878" t="s">
        <v>1186</v>
      </c>
      <c r="E8" s="878"/>
      <c r="F8" s="878"/>
      <c r="G8" s="878" t="s">
        <v>1186</v>
      </c>
      <c r="H8" s="878"/>
      <c r="I8" s="878"/>
      <c r="J8" s="878"/>
      <c r="K8" s="878"/>
      <c r="L8" s="878"/>
      <c r="M8" s="202">
        <v>3</v>
      </c>
      <c r="N8" s="177"/>
      <c r="P8" s="177"/>
      <c r="Q8" s="177"/>
      <c r="R8" s="177"/>
    </row>
    <row r="9" spans="2:18" ht="26.4">
      <c r="B9" s="879">
        <v>4</v>
      </c>
      <c r="C9" s="878" t="s">
        <v>720</v>
      </c>
      <c r="D9" s="232"/>
      <c r="E9" s="232" t="s">
        <v>987</v>
      </c>
      <c r="F9" s="878"/>
      <c r="G9" s="878"/>
      <c r="H9" s="878"/>
      <c r="I9" s="878"/>
      <c r="J9" s="878"/>
      <c r="K9" s="878" t="s">
        <v>291</v>
      </c>
      <c r="L9" s="878" t="s">
        <v>291</v>
      </c>
      <c r="M9" s="202">
        <v>4</v>
      </c>
      <c r="N9" s="177"/>
      <c r="P9" s="177"/>
      <c r="Q9" s="177"/>
      <c r="R9" s="177"/>
    </row>
    <row r="10" spans="2:18" ht="26.4">
      <c r="B10" s="879">
        <v>5</v>
      </c>
      <c r="C10" s="232"/>
      <c r="D10" s="878" t="s">
        <v>268</v>
      </c>
      <c r="E10" s="878"/>
      <c r="F10" s="878" t="s">
        <v>269</v>
      </c>
      <c r="G10" s="878" t="s">
        <v>268</v>
      </c>
      <c r="H10" s="878" t="s">
        <v>269</v>
      </c>
      <c r="I10" s="878"/>
      <c r="J10" s="878"/>
      <c r="K10" s="878"/>
      <c r="L10" s="878"/>
      <c r="M10" s="202">
        <v>5</v>
      </c>
      <c r="N10" s="177"/>
      <c r="P10" s="177"/>
      <c r="Q10" s="177"/>
      <c r="R10" s="177"/>
    </row>
    <row r="11" spans="2:18">
      <c r="B11" s="879">
        <v>6</v>
      </c>
      <c r="C11" s="878" t="s">
        <v>721</v>
      </c>
      <c r="E11" s="232"/>
      <c r="F11" s="880"/>
      <c r="H11" s="880"/>
      <c r="I11" s="878"/>
      <c r="J11" s="878"/>
      <c r="K11" s="878" t="s">
        <v>323</v>
      </c>
      <c r="L11" s="878" t="s">
        <v>323</v>
      </c>
      <c r="M11" s="202">
        <v>6</v>
      </c>
      <c r="N11" s="177"/>
      <c r="P11" s="177"/>
      <c r="Q11" s="177"/>
      <c r="R11" s="177"/>
    </row>
    <row r="12" spans="2:18" ht="39.6">
      <c r="B12" s="879">
        <v>7</v>
      </c>
      <c r="C12" s="232"/>
      <c r="D12" s="878" t="s">
        <v>271</v>
      </c>
      <c r="E12" s="878" t="s">
        <v>801</v>
      </c>
      <c r="F12" s="878"/>
      <c r="G12" s="878" t="s">
        <v>271</v>
      </c>
      <c r="H12" s="878"/>
      <c r="I12" s="878" t="s">
        <v>802</v>
      </c>
      <c r="J12" s="878"/>
      <c r="K12" s="878"/>
      <c r="L12" s="878"/>
      <c r="M12" s="202">
        <v>7</v>
      </c>
      <c r="N12" s="177"/>
      <c r="P12" s="177"/>
      <c r="Q12" s="177"/>
      <c r="R12" s="177"/>
    </row>
    <row r="13" spans="2:18" ht="39.6">
      <c r="B13" s="879">
        <v>8</v>
      </c>
      <c r="C13" s="881" t="s">
        <v>722</v>
      </c>
      <c r="E13" s="878"/>
      <c r="F13" s="878"/>
      <c r="H13" s="878"/>
      <c r="I13" s="878"/>
      <c r="J13" s="878"/>
      <c r="K13" s="878" t="s">
        <v>804</v>
      </c>
      <c r="L13" s="878" t="s">
        <v>804</v>
      </c>
      <c r="M13" s="202">
        <v>8</v>
      </c>
      <c r="N13" s="177"/>
      <c r="P13" s="177"/>
      <c r="Q13" s="177"/>
      <c r="R13" s="177"/>
    </row>
    <row r="14" spans="2:18">
      <c r="B14" s="879">
        <v>9</v>
      </c>
      <c r="C14" s="881"/>
      <c r="D14" s="878"/>
      <c r="E14" s="878"/>
      <c r="F14" s="878"/>
      <c r="G14" s="878"/>
      <c r="H14" s="878"/>
      <c r="I14" s="878" t="s">
        <v>803</v>
      </c>
      <c r="J14" s="878" t="s">
        <v>269</v>
      </c>
      <c r="K14" s="878" t="s">
        <v>723</v>
      </c>
      <c r="L14" s="878"/>
      <c r="M14" s="202">
        <v>9</v>
      </c>
      <c r="N14" s="177"/>
      <c r="P14" s="177"/>
      <c r="Q14" s="177"/>
      <c r="R14" s="177"/>
    </row>
    <row r="15" spans="2:18" ht="39.6">
      <c r="B15" s="879">
        <v>10</v>
      </c>
      <c r="C15" s="878" t="s">
        <v>293</v>
      </c>
      <c r="D15" s="878" t="s">
        <v>294</v>
      </c>
      <c r="E15" s="878" t="s">
        <v>805</v>
      </c>
      <c r="F15" s="878" t="s">
        <v>262</v>
      </c>
      <c r="G15" s="878" t="s">
        <v>294</v>
      </c>
      <c r="H15" s="878" t="s">
        <v>262</v>
      </c>
      <c r="I15" s="878" t="s">
        <v>806</v>
      </c>
      <c r="J15" s="878" t="s">
        <v>262</v>
      </c>
      <c r="K15" s="878" t="s">
        <v>324</v>
      </c>
      <c r="L15" s="878" t="s">
        <v>723</v>
      </c>
      <c r="M15" s="202">
        <v>10</v>
      </c>
      <c r="N15" s="177"/>
      <c r="O15" s="203"/>
      <c r="P15" s="177"/>
      <c r="Q15" s="177"/>
      <c r="R15" s="177"/>
    </row>
    <row r="16" spans="2:18" ht="39.6">
      <c r="B16" s="882">
        <v>10</v>
      </c>
      <c r="C16" s="883"/>
      <c r="D16" s="884" t="s">
        <v>304</v>
      </c>
      <c r="E16" s="884" t="s">
        <v>807</v>
      </c>
      <c r="F16" s="883"/>
      <c r="G16" s="883"/>
      <c r="H16" s="883"/>
      <c r="I16" s="883"/>
      <c r="J16" s="883"/>
      <c r="K16" s="883"/>
      <c r="L16" s="883"/>
      <c r="M16" s="212">
        <v>10</v>
      </c>
      <c r="N16" s="203"/>
      <c r="O16" s="203"/>
      <c r="P16" s="203"/>
      <c r="Q16" s="203"/>
      <c r="R16" s="203"/>
    </row>
    <row r="17" spans="2:18" ht="66">
      <c r="B17" s="204"/>
      <c r="C17" s="203"/>
      <c r="D17" s="206" t="s">
        <v>325</v>
      </c>
      <c r="E17" s="206"/>
      <c r="F17" s="206" t="s">
        <v>724</v>
      </c>
      <c r="G17" s="206" t="s">
        <v>325</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6.4">
      <c r="B23" s="204" t="s">
        <v>343</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9.6">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9.6">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9.6">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26.4">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820</v>
      </c>
      <c r="C33" s="203"/>
      <c r="D33" s="203"/>
      <c r="E33" s="203"/>
      <c r="F33" s="203"/>
      <c r="G33" s="203"/>
      <c r="H33" s="203"/>
      <c r="I33" s="203"/>
      <c r="J33" s="203"/>
      <c r="K33" s="203"/>
      <c r="L33" s="203"/>
      <c r="M33" s="203"/>
      <c r="N33" s="203"/>
      <c r="O33" s="203"/>
      <c r="P33" s="203"/>
      <c r="Q33" s="203"/>
      <c r="R33" s="203"/>
    </row>
    <row r="34" spans="1:18">
      <c r="B34" s="200" t="s">
        <v>465</v>
      </c>
      <c r="C34" s="203"/>
      <c r="D34" s="203"/>
      <c r="E34" s="203"/>
      <c r="F34" s="203"/>
      <c r="G34" s="203"/>
      <c r="H34" s="203"/>
      <c r="I34" s="203"/>
      <c r="J34" s="203"/>
      <c r="K34" s="203"/>
      <c r="L34" s="203"/>
      <c r="M34" s="203"/>
      <c r="N34" s="203"/>
      <c r="O34" s="203"/>
      <c r="P34" s="203"/>
      <c r="Q34" s="203"/>
      <c r="R34" s="203"/>
    </row>
    <row r="35" spans="1:18">
      <c r="B35" s="217" t="s">
        <v>398</v>
      </c>
      <c r="C35" s="203"/>
      <c r="D35" s="203"/>
      <c r="E35" s="203"/>
      <c r="F35" s="203"/>
      <c r="G35" s="203"/>
      <c r="H35" s="203"/>
      <c r="I35" s="203"/>
      <c r="J35" s="203"/>
      <c r="K35" s="203"/>
      <c r="L35" s="203"/>
      <c r="M35" s="203"/>
      <c r="N35" s="203"/>
      <c r="O35" s="203"/>
      <c r="P35" s="203"/>
      <c r="Q35" s="203"/>
      <c r="R35" s="203"/>
    </row>
    <row r="36" spans="1:18">
      <c r="B36" s="217" t="s">
        <v>809</v>
      </c>
      <c r="C36" s="203"/>
      <c r="D36" s="203"/>
      <c r="E36" s="203"/>
      <c r="F36" s="203"/>
      <c r="G36" s="203"/>
      <c r="H36" s="203"/>
      <c r="I36" s="203"/>
      <c r="J36" s="203"/>
      <c r="K36" s="203"/>
      <c r="L36" s="203"/>
      <c r="M36" s="203"/>
      <c r="N36" s="203"/>
      <c r="O36" s="203"/>
      <c r="P36" s="203"/>
      <c r="Q36" s="203"/>
      <c r="R36" s="203"/>
    </row>
    <row r="37" spans="1:18">
      <c r="B37" s="217" t="s">
        <v>797</v>
      </c>
      <c r="C37" s="203"/>
      <c r="D37" s="203"/>
      <c r="E37" s="203"/>
      <c r="F37" s="203"/>
      <c r="G37" s="203"/>
      <c r="H37" s="203"/>
      <c r="I37" s="203"/>
      <c r="J37" s="203"/>
      <c r="K37" s="203"/>
      <c r="L37" s="203"/>
      <c r="M37" s="203"/>
      <c r="N37" s="203"/>
      <c r="O37" s="203"/>
      <c r="P37" s="203"/>
      <c r="Q37" s="203"/>
      <c r="R37" s="203"/>
    </row>
    <row r="38" spans="1:18">
      <c r="B38" s="217" t="s">
        <v>288</v>
      </c>
      <c r="C38" s="203"/>
      <c r="D38" s="203"/>
      <c r="E38" s="203"/>
      <c r="F38" s="203"/>
      <c r="G38" s="203"/>
      <c r="H38" s="203"/>
      <c r="I38" s="203"/>
      <c r="J38" s="203"/>
      <c r="K38" s="203"/>
      <c r="L38" s="203"/>
      <c r="M38" s="203"/>
      <c r="N38" s="203"/>
      <c r="O38" s="203"/>
      <c r="P38" s="203"/>
      <c r="Q38" s="203"/>
      <c r="R38" s="203"/>
    </row>
    <row r="39" spans="1:18">
      <c r="B39" s="217" t="s">
        <v>798</v>
      </c>
      <c r="C39" s="203"/>
      <c r="D39" s="203"/>
      <c r="E39" s="203"/>
      <c r="F39" s="203"/>
      <c r="G39" s="203"/>
      <c r="H39" s="203"/>
      <c r="I39" s="203"/>
      <c r="J39" s="203"/>
      <c r="K39" s="203"/>
      <c r="L39" s="203"/>
      <c r="M39" s="203"/>
      <c r="N39" s="203"/>
      <c r="O39" s="203"/>
      <c r="P39" s="203"/>
      <c r="Q39" s="203"/>
      <c r="R39" s="203"/>
    </row>
    <row r="40" spans="1:18">
      <c r="B40" s="217" t="s">
        <v>289</v>
      </c>
      <c r="C40" s="203"/>
      <c r="D40" s="203"/>
      <c r="E40" s="203"/>
      <c r="F40" s="203"/>
      <c r="G40" s="203"/>
      <c r="H40" s="203"/>
      <c r="I40" s="203"/>
      <c r="J40" s="203"/>
      <c r="K40" s="203"/>
      <c r="L40" s="203"/>
      <c r="M40" s="203"/>
      <c r="N40" s="203"/>
      <c r="O40" s="203"/>
      <c r="P40" s="203"/>
      <c r="Q40" s="203"/>
      <c r="R40" s="203"/>
    </row>
    <row r="41" spans="1:18">
      <c r="B41" s="217" t="s">
        <v>991</v>
      </c>
      <c r="C41" s="203"/>
      <c r="D41" s="203"/>
      <c r="E41" s="203"/>
      <c r="F41" s="203"/>
      <c r="G41" s="203"/>
      <c r="H41" s="203"/>
      <c r="I41" s="203"/>
      <c r="J41" s="203"/>
      <c r="K41" s="203"/>
      <c r="L41" s="203"/>
      <c r="M41" s="203"/>
      <c r="N41" s="203"/>
      <c r="O41" s="203"/>
      <c r="P41" s="203"/>
      <c r="Q41" s="203"/>
      <c r="R41" s="203"/>
    </row>
    <row r="42" spans="1:18">
      <c r="B42" s="217" t="s">
        <v>799</v>
      </c>
      <c r="C42" s="203"/>
      <c r="D42" s="203"/>
      <c r="E42" s="203"/>
      <c r="F42" s="203"/>
      <c r="G42" s="203"/>
      <c r="H42" s="203"/>
      <c r="I42" s="203"/>
      <c r="J42" s="203"/>
      <c r="K42" s="203"/>
      <c r="L42" s="203"/>
      <c r="M42" s="203"/>
      <c r="N42" s="203"/>
      <c r="O42" s="203"/>
      <c r="P42" s="203"/>
      <c r="Q42" s="203"/>
      <c r="R42" s="203"/>
    </row>
    <row r="43" spans="1:18">
      <c r="B43" s="217" t="s">
        <v>812</v>
      </c>
      <c r="C43" s="203"/>
      <c r="D43" s="203"/>
      <c r="E43" s="203"/>
      <c r="F43" s="203"/>
      <c r="G43" s="203"/>
      <c r="H43" s="203"/>
      <c r="I43" s="203"/>
      <c r="J43" s="203"/>
      <c r="K43" s="203"/>
      <c r="L43" s="203"/>
      <c r="M43" s="203"/>
      <c r="N43" s="203"/>
      <c r="O43" s="203"/>
      <c r="P43" s="203"/>
      <c r="Q43" s="203"/>
      <c r="R43" s="203"/>
    </row>
    <row r="44" spans="1:18">
      <c r="B44" s="217" t="s">
        <v>813</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278</v>
      </c>
      <c r="E93" s="209"/>
      <c r="F93" s="208">
        <v>10</v>
      </c>
      <c r="G93" s="209" t="s">
        <v>280</v>
      </c>
      <c r="H93" s="208">
        <v>10</v>
      </c>
      <c r="I93" s="208">
        <v>10</v>
      </c>
      <c r="J93" s="208">
        <v>10</v>
      </c>
      <c r="K93" s="203"/>
      <c r="L93" s="203"/>
      <c r="M93" s="203"/>
      <c r="N93" s="203"/>
      <c r="O93" s="203"/>
      <c r="P93" s="203"/>
      <c r="Q93" s="203"/>
      <c r="R93" s="203"/>
    </row>
    <row r="94" spans="2:19" ht="39.6">
      <c r="C94" s="209" t="s">
        <v>277</v>
      </c>
      <c r="D94" s="203">
        <v>2</v>
      </c>
      <c r="E94" s="203"/>
      <c r="F94" s="209" t="s">
        <v>279</v>
      </c>
      <c r="G94" s="203">
        <v>2</v>
      </c>
      <c r="H94" s="209" t="s">
        <v>281</v>
      </c>
      <c r="I94" s="209" t="s">
        <v>282</v>
      </c>
      <c r="J94" s="209" t="s">
        <v>283</v>
      </c>
      <c r="K94" s="209" t="s">
        <v>284</v>
      </c>
      <c r="L94" s="209" t="s">
        <v>285</v>
      </c>
      <c r="M94" s="210" t="s">
        <v>298</v>
      </c>
      <c r="N94" s="210" t="s">
        <v>299</v>
      </c>
      <c r="O94" s="210" t="s">
        <v>300</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213"/>
    <col min="2" max="2" width="11.88671875" style="213" customWidth="1"/>
    <col min="3" max="5" width="40.44140625" style="213" customWidth="1"/>
    <col min="6" max="6" width="38.109375" style="213" bestFit="1" customWidth="1"/>
    <col min="7" max="7" width="2.88671875" style="213" bestFit="1" customWidth="1"/>
    <col min="8" max="9" width="22.88671875" style="213" customWidth="1"/>
    <col min="10" max="16384" width="9.109375" style="213"/>
  </cols>
  <sheetData>
    <row r="1" spans="2:7" ht="26.4">
      <c r="B1" s="215" t="s">
        <v>399</v>
      </c>
      <c r="E1" s="216" t="s">
        <v>317</v>
      </c>
      <c r="F1" s="216"/>
    </row>
    <row r="2" spans="2:7">
      <c r="B2" s="265" t="s">
        <v>27</v>
      </c>
      <c r="C2" s="265" t="s">
        <v>396</v>
      </c>
      <c r="D2" s="265"/>
      <c r="E2" s="265"/>
      <c r="F2" s="265"/>
    </row>
    <row r="3" spans="2:7">
      <c r="B3" s="136" t="s">
        <v>318</v>
      </c>
      <c r="C3" s="136" t="s">
        <v>391</v>
      </c>
      <c r="D3" s="136" t="s">
        <v>392</v>
      </c>
      <c r="E3" s="136" t="s">
        <v>393</v>
      </c>
      <c r="F3" s="136" t="s">
        <v>394</v>
      </c>
    </row>
    <row r="4" spans="2:7" ht="26.4">
      <c r="B4" s="136" t="s">
        <v>276</v>
      </c>
      <c r="C4" s="136" t="s">
        <v>366</v>
      </c>
      <c r="D4" s="265" t="s">
        <v>728</v>
      </c>
      <c r="E4" s="136" t="s">
        <v>333</v>
      </c>
      <c r="F4" s="136" t="s">
        <v>367</v>
      </c>
    </row>
    <row r="5" spans="2:7" ht="39.6">
      <c r="B5" s="265" t="s">
        <v>286</v>
      </c>
      <c r="C5" s="265" t="s">
        <v>400</v>
      </c>
      <c r="D5" s="885" t="s">
        <v>1079</v>
      </c>
      <c r="E5" s="885" t="s">
        <v>726</v>
      </c>
      <c r="F5" s="885" t="s">
        <v>891</v>
      </c>
    </row>
    <row r="6" spans="2:7">
      <c r="B6" s="265">
        <v>1</v>
      </c>
      <c r="C6" s="265"/>
      <c r="D6" s="265"/>
      <c r="E6" s="265"/>
      <c r="F6" s="265"/>
      <c r="G6" s="218">
        <v>1</v>
      </c>
    </row>
    <row r="7" spans="2:7">
      <c r="B7" s="265">
        <v>2</v>
      </c>
      <c r="C7" s="265"/>
      <c r="D7" s="265"/>
      <c r="E7" s="265"/>
      <c r="F7" s="265"/>
      <c r="G7" s="218">
        <v>2</v>
      </c>
    </row>
    <row r="8" spans="2:7">
      <c r="B8" s="265">
        <v>3</v>
      </c>
      <c r="C8" s="265" t="s">
        <v>269</v>
      </c>
      <c r="D8" s="265" t="s">
        <v>269</v>
      </c>
      <c r="E8" s="265"/>
      <c r="F8" s="265"/>
      <c r="G8" s="218">
        <v>3</v>
      </c>
    </row>
    <row r="9" spans="2:7">
      <c r="B9" s="265">
        <v>4</v>
      </c>
      <c r="C9" s="265"/>
      <c r="D9" s="265"/>
      <c r="E9" s="265" t="s">
        <v>269</v>
      </c>
      <c r="F9" s="265"/>
      <c r="G9" s="218">
        <v>4</v>
      </c>
    </row>
    <row r="10" spans="2:7" ht="39.6">
      <c r="B10" s="265">
        <v>5</v>
      </c>
      <c r="C10" s="265"/>
      <c r="D10" s="265" t="s">
        <v>727</v>
      </c>
      <c r="E10" s="265"/>
      <c r="F10" s="265"/>
      <c r="G10" s="218">
        <v>5</v>
      </c>
    </row>
    <row r="11" spans="2:7">
      <c r="B11" s="265">
        <v>6</v>
      </c>
      <c r="C11" s="265"/>
      <c r="D11" s="265" t="s">
        <v>370</v>
      </c>
      <c r="E11" s="265"/>
      <c r="F11" s="265"/>
      <c r="G11" s="218">
        <v>6</v>
      </c>
    </row>
    <row r="12" spans="2:7">
      <c r="B12" s="265">
        <v>7</v>
      </c>
      <c r="C12" s="265" t="s">
        <v>371</v>
      </c>
      <c r="D12" s="265"/>
      <c r="E12" s="265"/>
      <c r="F12" s="265" t="s">
        <v>372</v>
      </c>
      <c r="G12" s="218">
        <v>7</v>
      </c>
    </row>
    <row r="13" spans="2:7">
      <c r="B13" s="265">
        <v>8</v>
      </c>
      <c r="C13" s="265"/>
      <c r="D13" s="265"/>
      <c r="E13" s="265"/>
      <c r="F13" s="265"/>
      <c r="G13" s="218">
        <v>8</v>
      </c>
    </row>
    <row r="14" spans="2:7">
      <c r="B14" s="265">
        <v>9</v>
      </c>
      <c r="C14" s="265"/>
      <c r="D14" s="265" t="s">
        <v>373</v>
      </c>
      <c r="E14" s="265"/>
      <c r="F14" s="265"/>
      <c r="G14" s="218">
        <v>9</v>
      </c>
    </row>
    <row r="15" spans="2:7" ht="26.4">
      <c r="B15" s="265">
        <v>10</v>
      </c>
      <c r="C15" s="265" t="s">
        <v>374</v>
      </c>
      <c r="D15" s="265" t="s">
        <v>375</v>
      </c>
      <c r="E15" s="265" t="s">
        <v>337</v>
      </c>
      <c r="F15" s="265" t="s">
        <v>376</v>
      </c>
      <c r="G15" s="218">
        <v>10</v>
      </c>
    </row>
    <row r="16" spans="2:7" ht="26.4">
      <c r="B16" s="265">
        <v>10</v>
      </c>
      <c r="C16" s="265"/>
      <c r="D16" s="265"/>
      <c r="E16" s="886" t="s">
        <v>338</v>
      </c>
      <c r="F16" s="885"/>
      <c r="G16" s="218">
        <v>10</v>
      </c>
    </row>
    <row r="23" spans="2:6">
      <c r="B23" s="204" t="s">
        <v>345</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820</v>
      </c>
    </row>
    <row r="34" spans="2:2">
      <c r="B34" s="217" t="s">
        <v>400</v>
      </c>
    </row>
    <row r="35" spans="2:2">
      <c r="B35" s="217" t="s">
        <v>1079</v>
      </c>
    </row>
    <row r="36" spans="2:2">
      <c r="B36" s="217" t="s">
        <v>726</v>
      </c>
    </row>
    <row r="37" spans="2:2">
      <c r="B37" s="214" t="s">
        <v>369</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1" max="1" width="9.109375" style="64"/>
    <col min="2" max="2" width="12.88671875" style="231" customWidth="1"/>
    <col min="3" max="3" width="20.109375" style="231" customWidth="1"/>
    <col min="4" max="4" width="32.5546875" style="231" customWidth="1"/>
    <col min="5" max="5" width="19.44140625" style="231" customWidth="1"/>
    <col min="6" max="6" width="24.88671875" style="231" customWidth="1"/>
    <col min="7" max="9" width="21.88671875" style="231" customWidth="1"/>
    <col min="10" max="16384" width="9.109375" style="64"/>
  </cols>
  <sheetData>
    <row r="1" spans="1:10">
      <c r="B1" s="222" t="s">
        <v>522</v>
      </c>
      <c r="C1" s="223"/>
      <c r="D1" s="224"/>
      <c r="E1" s="224"/>
      <c r="F1" s="225"/>
      <c r="G1" s="225"/>
      <c r="H1" s="225"/>
      <c r="I1" s="225"/>
    </row>
    <row r="2" spans="1:10">
      <c r="A2" s="279" t="s">
        <v>269</v>
      </c>
      <c r="B2" s="222" t="s">
        <v>27</v>
      </c>
      <c r="C2" s="888" t="s">
        <v>889</v>
      </c>
      <c r="D2" s="224"/>
      <c r="E2" s="224"/>
      <c r="F2" s="225"/>
      <c r="G2" s="225"/>
      <c r="H2" s="225"/>
      <c r="I2" s="225"/>
    </row>
    <row r="3" spans="1:10">
      <c r="A3" s="279" t="s">
        <v>262</v>
      </c>
      <c r="B3" s="226" t="s">
        <v>318</v>
      </c>
      <c r="C3" s="227" t="s">
        <v>404</v>
      </c>
      <c r="D3" s="227" t="s">
        <v>405</v>
      </c>
      <c r="E3" s="227" t="s">
        <v>406</v>
      </c>
      <c r="F3" s="227" t="s">
        <v>407</v>
      </c>
      <c r="G3" s="227" t="s">
        <v>408</v>
      </c>
      <c r="H3" s="227" t="s">
        <v>409</v>
      </c>
      <c r="I3" s="227" t="s">
        <v>410</v>
      </c>
    </row>
    <row r="4" spans="1:10" ht="26.4">
      <c r="B4" s="228" t="s">
        <v>276</v>
      </c>
      <c r="C4" s="889" t="s">
        <v>411</v>
      </c>
      <c r="D4" s="889" t="s">
        <v>412</v>
      </c>
      <c r="E4" s="889" t="s">
        <v>413</v>
      </c>
      <c r="F4" s="889" t="s">
        <v>414</v>
      </c>
      <c r="G4" s="889"/>
      <c r="H4" s="889" t="s">
        <v>415</v>
      </c>
      <c r="I4" s="889"/>
    </row>
    <row r="5" spans="1:10" ht="92.4">
      <c r="B5" s="890" t="s">
        <v>286</v>
      </c>
      <c r="C5" s="891" t="s">
        <v>729</v>
      </c>
      <c r="D5" s="892" t="s">
        <v>823</v>
      </c>
      <c r="E5" s="891" t="s">
        <v>533</v>
      </c>
      <c r="F5" s="891" t="s">
        <v>824</v>
      </c>
      <c r="G5" s="892" t="s">
        <v>416</v>
      </c>
      <c r="H5" s="892" t="s">
        <v>825</v>
      </c>
      <c r="I5" s="892" t="s">
        <v>826</v>
      </c>
    </row>
    <row r="6" spans="1:10">
      <c r="B6" s="893">
        <v>1</v>
      </c>
      <c r="C6" s="894" t="s">
        <v>432</v>
      </c>
      <c r="D6" s="894"/>
      <c r="E6" s="894"/>
      <c r="F6" s="895" t="s">
        <v>827</v>
      </c>
      <c r="G6" s="895" t="s">
        <v>827</v>
      </c>
      <c r="H6" s="894"/>
      <c r="I6" s="894"/>
      <c r="J6" s="64">
        <v>1</v>
      </c>
    </row>
    <row r="7" spans="1:10">
      <c r="B7" s="893">
        <v>2</v>
      </c>
      <c r="C7" s="895"/>
      <c r="D7" s="894"/>
      <c r="E7" s="894"/>
      <c r="F7" s="894"/>
      <c r="G7" s="894"/>
      <c r="H7" s="894"/>
      <c r="I7" s="894"/>
      <c r="J7" s="64">
        <v>2</v>
      </c>
    </row>
    <row r="8" spans="1:10">
      <c r="B8" s="893">
        <v>3</v>
      </c>
      <c r="C8" s="894" t="s">
        <v>433</v>
      </c>
      <c r="D8" s="894"/>
      <c r="E8" s="894"/>
      <c r="F8" s="894"/>
      <c r="G8" s="894"/>
      <c r="H8" s="894"/>
      <c r="I8" s="894"/>
      <c r="J8" s="64">
        <v>3</v>
      </c>
    </row>
    <row r="9" spans="1:10" ht="25.5" customHeight="1">
      <c r="B9" s="893">
        <v>4</v>
      </c>
      <c r="C9" s="895"/>
      <c r="D9" s="894"/>
      <c r="E9" s="894"/>
      <c r="F9" s="895"/>
      <c r="G9" s="895"/>
      <c r="H9" s="894"/>
      <c r="I9" s="895"/>
      <c r="J9" s="64">
        <v>4</v>
      </c>
    </row>
    <row r="10" spans="1:10">
      <c r="B10" s="893">
        <v>5</v>
      </c>
      <c r="C10" s="894" t="s">
        <v>434</v>
      </c>
      <c r="D10" s="894"/>
      <c r="E10" s="894"/>
      <c r="F10" s="894" t="s">
        <v>424</v>
      </c>
      <c r="G10" s="894"/>
      <c r="H10" s="895"/>
      <c r="I10" s="895" t="s">
        <v>336</v>
      </c>
      <c r="J10" s="64">
        <v>5</v>
      </c>
    </row>
    <row r="11" spans="1:10">
      <c r="B11" s="893">
        <v>6</v>
      </c>
      <c r="C11" s="895"/>
      <c r="D11" s="894" t="s">
        <v>417</v>
      </c>
      <c r="E11" s="894"/>
      <c r="F11" s="895"/>
      <c r="G11" s="896"/>
      <c r="H11" s="894"/>
      <c r="I11" s="894"/>
      <c r="J11" s="64">
        <v>6</v>
      </c>
    </row>
    <row r="12" spans="1:10">
      <c r="B12" s="893">
        <v>7</v>
      </c>
      <c r="C12" s="894" t="s">
        <v>447</v>
      </c>
      <c r="D12" s="894" t="s">
        <v>419</v>
      </c>
      <c r="E12" s="894"/>
      <c r="G12" s="895" t="s">
        <v>979</v>
      </c>
      <c r="H12" s="894"/>
      <c r="I12" s="894"/>
      <c r="J12" s="64">
        <v>7</v>
      </c>
    </row>
    <row r="13" spans="1:10" ht="26.4">
      <c r="B13" s="893">
        <v>8</v>
      </c>
      <c r="C13" s="894"/>
      <c r="D13" s="894" t="s">
        <v>420</v>
      </c>
      <c r="E13" s="894" t="s">
        <v>269</v>
      </c>
      <c r="F13" s="894" t="s">
        <v>271</v>
      </c>
      <c r="G13" s="897"/>
      <c r="H13" s="894" t="s">
        <v>895</v>
      </c>
      <c r="J13" s="64">
        <v>8</v>
      </c>
    </row>
    <row r="14" spans="1:10" ht="39.6">
      <c r="B14" s="893">
        <v>9</v>
      </c>
      <c r="C14" s="894"/>
      <c r="D14" s="894" t="s">
        <v>270</v>
      </c>
      <c r="E14" s="894"/>
      <c r="F14" s="894" t="s">
        <v>425</v>
      </c>
      <c r="G14" s="898" t="s">
        <v>978</v>
      </c>
      <c r="H14" s="895" t="s">
        <v>423</v>
      </c>
      <c r="I14" s="895" t="s">
        <v>896</v>
      </c>
      <c r="J14" s="64">
        <v>9</v>
      </c>
    </row>
    <row r="15" spans="1:10" ht="66">
      <c r="B15" s="893">
        <v>10</v>
      </c>
      <c r="C15" s="895" t="s">
        <v>661</v>
      </c>
      <c r="D15" s="894" t="s">
        <v>421</v>
      </c>
      <c r="E15" s="894" t="s">
        <v>262</v>
      </c>
      <c r="F15" s="895" t="s">
        <v>426</v>
      </c>
      <c r="G15" s="898" t="s">
        <v>981</v>
      </c>
      <c r="H15" s="894" t="s">
        <v>422</v>
      </c>
      <c r="I15" s="895" t="s">
        <v>730</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343</v>
      </c>
      <c r="C23" s="225" t="str">
        <f>C6</f>
        <v>&gt;50%</v>
      </c>
      <c r="D23" s="225" t="str">
        <f>D11</f>
        <v>Less frequenty than quarterly</v>
      </c>
      <c r="E23" s="225" t="s">
        <v>269</v>
      </c>
      <c r="F23" s="225" t="str">
        <f>F6</f>
        <v>No review</v>
      </c>
      <c r="G23" s="225" t="str">
        <f>G6</f>
        <v>No review</v>
      </c>
      <c r="H23" s="231" t="s">
        <v>895</v>
      </c>
      <c r="I23" s="247" t="s">
        <v>336</v>
      </c>
    </row>
    <row r="24" spans="2:15">
      <c r="B24" s="230"/>
      <c r="C24" s="225" t="str">
        <f>C8</f>
        <v>&gt;20% up to 50%</v>
      </c>
      <c r="D24" s="225" t="str">
        <f>D12</f>
        <v>Quarterly</v>
      </c>
      <c r="E24" s="225" t="s">
        <v>262</v>
      </c>
      <c r="F24" s="225" t="str">
        <f>F10</f>
        <v>Less frequently than annually</v>
      </c>
      <c r="G24" s="225" t="str">
        <f>G12</f>
        <v>Sum total only</v>
      </c>
      <c r="H24" s="231" t="s">
        <v>423</v>
      </c>
      <c r="I24" s="231" t="s">
        <v>896</v>
      </c>
    </row>
    <row r="25" spans="2:15">
      <c r="B25" s="230"/>
      <c r="C25" s="225" t="str">
        <f>C10</f>
        <v>&gt;10% up to 20%</v>
      </c>
      <c r="D25" s="225" t="str">
        <f>D13</f>
        <v>Bi-Monthly</v>
      </c>
      <c r="E25" s="225"/>
      <c r="F25" s="225" t="str">
        <f>F13</f>
        <v>Annually</v>
      </c>
      <c r="G25" s="231" t="str">
        <f>G14</f>
        <v>Totals grouped by use type or customer class</v>
      </c>
      <c r="H25" s="231" t="s">
        <v>422</v>
      </c>
      <c r="I25" s="231" t="s">
        <v>730</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820</v>
      </c>
      <c r="C33" s="226"/>
      <c r="D33" s="226"/>
      <c r="E33" s="226"/>
      <c r="F33" s="226"/>
      <c r="G33" s="226"/>
      <c r="H33" s="226"/>
      <c r="I33" s="226"/>
    </row>
    <row r="34" spans="2:9">
      <c r="B34" s="231" t="s">
        <v>889</v>
      </c>
      <c r="C34" s="226"/>
      <c r="D34" s="226"/>
      <c r="E34" s="226"/>
      <c r="F34" s="226"/>
      <c r="G34" s="226"/>
      <c r="H34" s="226"/>
      <c r="I34" s="226"/>
    </row>
    <row r="35" spans="2:9">
      <c r="B35" s="234" t="s">
        <v>729</v>
      </c>
      <c r="C35" s="226"/>
      <c r="D35" s="226"/>
      <c r="E35" s="226"/>
      <c r="F35" s="226"/>
      <c r="G35" s="226"/>
      <c r="H35" s="226"/>
      <c r="I35" s="226"/>
    </row>
    <row r="36" spans="2:9">
      <c r="B36" s="234" t="s">
        <v>823</v>
      </c>
      <c r="C36" s="226"/>
      <c r="D36" s="226"/>
      <c r="E36" s="226"/>
      <c r="F36" s="226"/>
      <c r="G36" s="226"/>
      <c r="H36" s="226"/>
      <c r="I36" s="226"/>
    </row>
    <row r="37" spans="2:9">
      <c r="B37" s="234" t="s">
        <v>533</v>
      </c>
      <c r="C37" s="226"/>
      <c r="D37" s="226"/>
      <c r="E37" s="226"/>
      <c r="F37" s="226"/>
      <c r="G37" s="226"/>
      <c r="H37" s="226"/>
      <c r="I37" s="226"/>
    </row>
    <row r="38" spans="2:9">
      <c r="B38" s="234" t="s">
        <v>824</v>
      </c>
      <c r="C38" s="226"/>
      <c r="D38" s="226"/>
      <c r="E38" s="226"/>
      <c r="F38" s="226"/>
      <c r="G38" s="226"/>
      <c r="H38" s="226"/>
      <c r="I38" s="226"/>
    </row>
    <row r="39" spans="2:9">
      <c r="B39" s="234" t="s">
        <v>416</v>
      </c>
      <c r="C39" s="226"/>
      <c r="D39" s="226"/>
      <c r="E39" s="226"/>
      <c r="F39" s="226"/>
      <c r="G39" s="226"/>
      <c r="H39" s="226"/>
      <c r="I39" s="226"/>
    </row>
    <row r="40" spans="2:9">
      <c r="B40" s="234" t="s">
        <v>825</v>
      </c>
      <c r="C40" s="226"/>
      <c r="D40" s="226"/>
      <c r="E40" s="226"/>
      <c r="F40" s="226"/>
      <c r="G40" s="226"/>
      <c r="H40" s="226"/>
      <c r="I40" s="226"/>
    </row>
    <row r="41" spans="2:9">
      <c r="B41" s="234" t="s">
        <v>826</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09375" defaultRowHeight="13.2"/>
  <cols>
    <col min="1" max="1" width="9.109375" style="64"/>
    <col min="2" max="2" width="12.88671875" style="231" customWidth="1"/>
    <col min="3" max="3" width="32.5546875" style="231" customWidth="1"/>
    <col min="4" max="4" width="19.44140625" style="231" customWidth="1"/>
    <col min="5" max="5" width="20.109375" style="231" customWidth="1"/>
    <col min="6" max="6" width="2.88671875" style="231" bestFit="1" customWidth="1"/>
    <col min="7" max="9" width="21.88671875" style="231" customWidth="1"/>
    <col min="10" max="16384" width="9.109375" style="64"/>
  </cols>
  <sheetData>
    <row r="1" spans="1:9">
      <c r="A1" s="221"/>
      <c r="B1" s="219" t="s">
        <v>427</v>
      </c>
      <c r="C1" s="236"/>
      <c r="D1" s="237"/>
      <c r="E1" s="236"/>
      <c r="F1" s="225"/>
      <c r="G1" s="225"/>
      <c r="H1" s="225"/>
      <c r="I1" s="225"/>
    </row>
    <row r="2" spans="1:9">
      <c r="A2" s="221"/>
      <c r="B2" s="592" t="s">
        <v>27</v>
      </c>
      <c r="C2" s="247" t="s">
        <v>937</v>
      </c>
      <c r="D2" s="247"/>
      <c r="E2" s="247"/>
      <c r="F2" s="225"/>
      <c r="G2" s="225"/>
      <c r="H2" s="225"/>
      <c r="I2" s="225"/>
    </row>
    <row r="3" spans="1:9">
      <c r="A3" s="221"/>
      <c r="B3" s="906" t="s">
        <v>318</v>
      </c>
      <c r="C3" s="906" t="s">
        <v>437</v>
      </c>
      <c r="D3" s="906" t="s">
        <v>438</v>
      </c>
      <c r="E3" s="906" t="s">
        <v>439</v>
      </c>
      <c r="F3" s="227"/>
      <c r="G3" s="227"/>
      <c r="H3" s="227"/>
      <c r="I3" s="227"/>
    </row>
    <row r="4" spans="1:9" ht="26.4">
      <c r="A4" s="221"/>
      <c r="B4" s="908" t="s">
        <v>276</v>
      </c>
      <c r="C4" s="900" t="s">
        <v>428</v>
      </c>
      <c r="D4" s="900" t="s">
        <v>429</v>
      </c>
      <c r="E4" s="900" t="s">
        <v>430</v>
      </c>
      <c r="F4" s="228"/>
      <c r="H4" s="228"/>
    </row>
    <row r="5" spans="1:9" ht="52.8">
      <c r="A5" s="221"/>
      <c r="B5" s="908" t="s">
        <v>286</v>
      </c>
      <c r="C5" s="902" t="s">
        <v>431</v>
      </c>
      <c r="D5" s="902" t="s">
        <v>829</v>
      </c>
      <c r="E5" s="902" t="s">
        <v>830</v>
      </c>
      <c r="F5" s="227"/>
      <c r="G5" s="227"/>
      <c r="H5" s="227"/>
      <c r="I5" s="227"/>
    </row>
    <row r="6" spans="1:9">
      <c r="A6" s="221"/>
      <c r="B6" s="909">
        <v>1</v>
      </c>
      <c r="C6" s="895"/>
      <c r="D6" s="895" t="s">
        <v>499</v>
      </c>
      <c r="E6" s="895"/>
      <c r="F6" s="220">
        <v>1</v>
      </c>
      <c r="H6" s="228"/>
    </row>
    <row r="7" spans="1:9" ht="92.4">
      <c r="A7" s="221"/>
      <c r="B7" s="909">
        <v>2</v>
      </c>
      <c r="C7" s="895"/>
      <c r="D7" s="895" t="s">
        <v>974</v>
      </c>
      <c r="E7" s="895" t="s">
        <v>271</v>
      </c>
      <c r="F7" s="220">
        <v>2</v>
      </c>
      <c r="G7" s="227"/>
      <c r="H7" s="227"/>
      <c r="I7" s="227"/>
    </row>
    <row r="8" spans="1:9">
      <c r="A8" s="221"/>
      <c r="B8" s="909">
        <v>3</v>
      </c>
      <c r="C8" s="895"/>
      <c r="D8" s="906"/>
      <c r="E8" s="895"/>
      <c r="F8" s="220">
        <v>3</v>
      </c>
      <c r="H8" s="228"/>
    </row>
    <row r="9" spans="1:9">
      <c r="A9" s="221"/>
      <c r="B9" s="909">
        <v>4</v>
      </c>
      <c r="C9" s="895"/>
      <c r="D9" s="895"/>
      <c r="E9" s="895" t="s">
        <v>435</v>
      </c>
      <c r="F9" s="220">
        <v>4</v>
      </c>
      <c r="G9" s="227"/>
      <c r="H9" s="227"/>
      <c r="I9" s="227"/>
    </row>
    <row r="10" spans="1:9" ht="79.2">
      <c r="A10" s="221"/>
      <c r="B10" s="909">
        <v>5</v>
      </c>
      <c r="C10" s="895" t="s">
        <v>432</v>
      </c>
      <c r="D10" s="895" t="s">
        <v>732</v>
      </c>
      <c r="E10" s="905"/>
      <c r="F10" s="220">
        <v>5</v>
      </c>
      <c r="H10" s="228"/>
    </row>
    <row r="11" spans="1:9">
      <c r="A11" s="221"/>
      <c r="B11" s="909">
        <v>6</v>
      </c>
      <c r="C11" s="895" t="s">
        <v>433</v>
      </c>
      <c r="D11" s="906"/>
      <c r="E11" s="895" t="s">
        <v>419</v>
      </c>
      <c r="F11" s="220">
        <v>6</v>
      </c>
      <c r="G11" s="227"/>
      <c r="H11" s="227"/>
      <c r="I11" s="227"/>
    </row>
    <row r="12" spans="1:9">
      <c r="A12" s="221"/>
      <c r="B12" s="909">
        <v>7</v>
      </c>
      <c r="C12" s="895"/>
      <c r="D12" s="895"/>
      <c r="E12" s="905"/>
      <c r="F12" s="220">
        <v>7</v>
      </c>
      <c r="H12" s="228"/>
    </row>
    <row r="13" spans="1:9">
      <c r="A13" s="221"/>
      <c r="B13" s="909">
        <v>8</v>
      </c>
      <c r="C13" s="895" t="s">
        <v>434</v>
      </c>
      <c r="D13" s="895"/>
      <c r="E13" s="895" t="s">
        <v>436</v>
      </c>
      <c r="F13" s="220">
        <v>8</v>
      </c>
      <c r="G13" s="227"/>
      <c r="H13" s="227"/>
      <c r="I13" s="227"/>
    </row>
    <row r="14" spans="1:9">
      <c r="A14" s="221"/>
      <c r="B14" s="909">
        <v>9</v>
      </c>
      <c r="C14" s="895" t="s">
        <v>447</v>
      </c>
      <c r="D14" s="895"/>
      <c r="E14" s="895"/>
      <c r="F14" s="220">
        <v>9</v>
      </c>
      <c r="H14" s="228"/>
    </row>
    <row r="15" spans="1:9" ht="79.2">
      <c r="A15" s="221"/>
      <c r="B15" s="909">
        <v>10</v>
      </c>
      <c r="C15" s="895" t="s">
        <v>661</v>
      </c>
      <c r="D15" s="895" t="s">
        <v>731</v>
      </c>
      <c r="E15" s="895" t="s">
        <v>270</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343</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820</v>
      </c>
      <c r="C33" s="226"/>
      <c r="D33" s="226"/>
      <c r="E33" s="226"/>
      <c r="F33" s="226"/>
      <c r="G33" s="226"/>
      <c r="H33" s="226"/>
      <c r="I33" s="226"/>
    </row>
    <row r="34" spans="2:9">
      <c r="B34" s="234" t="s">
        <v>937</v>
      </c>
      <c r="C34" s="226"/>
      <c r="D34" s="226"/>
      <c r="E34" s="226"/>
      <c r="F34" s="226"/>
      <c r="G34" s="226"/>
      <c r="H34" s="226"/>
      <c r="I34" s="226"/>
    </row>
    <row r="35" spans="2:9">
      <c r="B35" s="234" t="s">
        <v>431</v>
      </c>
      <c r="C35" s="226"/>
      <c r="D35" s="226"/>
      <c r="E35" s="226"/>
      <c r="F35" s="226"/>
      <c r="G35" s="226"/>
      <c r="H35" s="226"/>
      <c r="I35" s="226"/>
    </row>
    <row r="36" spans="2:9">
      <c r="B36" s="234" t="s">
        <v>829</v>
      </c>
      <c r="C36" s="226"/>
      <c r="D36" s="226"/>
      <c r="E36" s="226"/>
      <c r="F36" s="226"/>
      <c r="G36" s="226"/>
      <c r="H36" s="226"/>
      <c r="I36" s="226"/>
    </row>
    <row r="37" spans="2:9">
      <c r="B37" s="234" t="s">
        <v>830</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09375" defaultRowHeight="13.2"/>
  <cols>
    <col min="1" max="1" width="9.109375" style="241"/>
    <col min="2" max="2" width="12.88671875" style="231" customWidth="1"/>
    <col min="3" max="3" width="19.44140625" style="231" customWidth="1"/>
    <col min="4" max="4" width="20.109375" style="231" customWidth="1"/>
    <col min="5" max="5" width="28" style="231" customWidth="1"/>
    <col min="6" max="8" width="21.88671875" style="231" customWidth="1"/>
    <col min="9" max="16384" width="9.109375" style="241"/>
  </cols>
  <sheetData>
    <row r="1" spans="1:8">
      <c r="A1" s="221"/>
      <c r="B1" s="219" t="s">
        <v>448</v>
      </c>
      <c r="C1" s="237"/>
      <c r="D1" s="236"/>
      <c r="E1" s="225"/>
      <c r="F1" s="225"/>
      <c r="G1" s="225"/>
      <c r="H1" s="225"/>
    </row>
    <row r="2" spans="1:8">
      <c r="A2" s="221"/>
      <c r="B2" s="222" t="s">
        <v>27</v>
      </c>
      <c r="C2" s="247" t="s">
        <v>463</v>
      </c>
      <c r="D2" s="225"/>
      <c r="E2" s="225"/>
      <c r="F2" s="225"/>
      <c r="G2" s="225"/>
      <c r="H2" s="225"/>
    </row>
    <row r="3" spans="1:8">
      <c r="A3" s="221"/>
      <c r="B3" s="243" t="s">
        <v>318</v>
      </c>
      <c r="C3" s="899" t="s">
        <v>456</v>
      </c>
      <c r="D3" s="899" t="s">
        <v>457</v>
      </c>
      <c r="E3" s="899" t="s">
        <v>458</v>
      </c>
      <c r="F3" s="899" t="s">
        <v>459</v>
      </c>
      <c r="G3" s="243"/>
      <c r="H3" s="243"/>
    </row>
    <row r="4" spans="1:8" ht="26.4">
      <c r="A4" s="221"/>
      <c r="B4" s="228" t="s">
        <v>276</v>
      </c>
      <c r="C4" s="900" t="s">
        <v>449</v>
      </c>
      <c r="D4" s="900" t="s">
        <v>450</v>
      </c>
      <c r="E4" s="908" t="s">
        <v>412</v>
      </c>
      <c r="F4" s="136" t="s">
        <v>451</v>
      </c>
      <c r="G4" s="244"/>
    </row>
    <row r="5" spans="1:8" ht="79.2">
      <c r="A5" s="221"/>
      <c r="B5" s="228" t="s">
        <v>452</v>
      </c>
      <c r="C5" s="901" t="s">
        <v>453</v>
      </c>
      <c r="D5" s="901" t="s">
        <v>454</v>
      </c>
      <c r="E5" s="227" t="s">
        <v>831</v>
      </c>
      <c r="F5" s="227" t="s">
        <v>455</v>
      </c>
      <c r="G5" s="243"/>
      <c r="H5" s="243"/>
    </row>
    <row r="6" spans="1:8">
      <c r="A6" s="221"/>
      <c r="B6" s="903">
        <v>1</v>
      </c>
      <c r="C6" s="894"/>
      <c r="D6" s="894"/>
      <c r="F6" s="266"/>
      <c r="G6" s="245">
        <v>1</v>
      </c>
    </row>
    <row r="7" spans="1:8">
      <c r="A7" s="221"/>
      <c r="B7" s="903">
        <v>2</v>
      </c>
      <c r="C7" s="894" t="s">
        <v>269</v>
      </c>
      <c r="D7" s="894" t="s">
        <v>460</v>
      </c>
      <c r="E7" s="895"/>
      <c r="F7" s="227" t="s">
        <v>461</v>
      </c>
      <c r="G7" s="245">
        <v>2</v>
      </c>
      <c r="H7" s="243"/>
    </row>
    <row r="8" spans="1:8">
      <c r="A8" s="221"/>
      <c r="B8" s="903">
        <v>3</v>
      </c>
      <c r="C8" s="227"/>
      <c r="D8" s="894"/>
      <c r="E8" s="895"/>
      <c r="F8" s="266"/>
      <c r="G8" s="245">
        <v>3</v>
      </c>
    </row>
    <row r="9" spans="1:8" ht="52.8">
      <c r="A9" s="221"/>
      <c r="B9" s="903">
        <v>4</v>
      </c>
      <c r="C9" s="894" t="s">
        <v>734</v>
      </c>
      <c r="D9" s="894"/>
      <c r="G9" s="245">
        <v>4</v>
      </c>
      <c r="H9" s="243"/>
    </row>
    <row r="10" spans="1:8">
      <c r="A10" s="221"/>
      <c r="B10" s="903">
        <v>5</v>
      </c>
      <c r="C10" s="897"/>
      <c r="D10" s="905"/>
      <c r="E10" s="895" t="s">
        <v>733</v>
      </c>
      <c r="F10" s="227" t="s">
        <v>733</v>
      </c>
      <c r="G10" s="245">
        <v>5</v>
      </c>
    </row>
    <row r="11" spans="1:8" ht="26.4">
      <c r="A11" s="221"/>
      <c r="B11" s="903">
        <v>6</v>
      </c>
      <c r="C11" s="227"/>
      <c r="D11" s="894" t="s">
        <v>735</v>
      </c>
      <c r="G11" s="245">
        <v>6</v>
      </c>
      <c r="H11" s="243"/>
    </row>
    <row r="12" spans="1:8">
      <c r="A12" s="221"/>
      <c r="B12" s="903">
        <v>7</v>
      </c>
      <c r="C12" s="897"/>
      <c r="D12" s="907"/>
      <c r="E12" s="895" t="s">
        <v>271</v>
      </c>
      <c r="F12" s="227" t="s">
        <v>271</v>
      </c>
      <c r="G12" s="245">
        <v>7</v>
      </c>
    </row>
    <row r="13" spans="1:8" ht="39.6">
      <c r="A13" s="221"/>
      <c r="B13" s="903">
        <v>8</v>
      </c>
      <c r="C13" s="894"/>
      <c r="D13" s="894"/>
      <c r="E13" s="895" t="s">
        <v>419</v>
      </c>
      <c r="F13" s="906" t="s">
        <v>736</v>
      </c>
      <c r="G13" s="245">
        <v>8</v>
      </c>
      <c r="H13" s="243"/>
    </row>
    <row r="14" spans="1:8">
      <c r="A14" s="221"/>
      <c r="B14" s="903">
        <v>9</v>
      </c>
      <c r="C14" s="894"/>
      <c r="D14" s="894"/>
      <c r="E14" s="895" t="s">
        <v>420</v>
      </c>
      <c r="F14" s="266"/>
      <c r="G14" s="245">
        <v>9</v>
      </c>
    </row>
    <row r="15" spans="1:8" ht="26.4">
      <c r="A15" s="221"/>
      <c r="B15" s="903">
        <v>10</v>
      </c>
      <c r="C15" s="894" t="s">
        <v>737</v>
      </c>
      <c r="D15" s="894" t="s">
        <v>738</v>
      </c>
      <c r="E15" s="895" t="s">
        <v>832</v>
      </c>
      <c r="F15" s="906" t="s">
        <v>739</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343</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820</v>
      </c>
      <c r="C33" s="225"/>
      <c r="D33" s="225"/>
      <c r="E33" s="225"/>
      <c r="F33" s="225"/>
      <c r="G33" s="225"/>
      <c r="H33" s="225"/>
    </row>
    <row r="34" spans="2:8">
      <c r="B34" s="234" t="s">
        <v>463</v>
      </c>
      <c r="C34" s="225"/>
      <c r="D34" s="225"/>
      <c r="E34" s="225"/>
      <c r="F34" s="225"/>
      <c r="G34" s="225"/>
      <c r="H34" s="225"/>
    </row>
    <row r="35" spans="2:8">
      <c r="B35" s="234" t="s">
        <v>453</v>
      </c>
      <c r="C35" s="225"/>
      <c r="D35" s="225"/>
      <c r="E35" s="225"/>
      <c r="F35" s="225"/>
      <c r="G35" s="225"/>
      <c r="H35" s="225"/>
    </row>
    <row r="36" spans="2:8">
      <c r="B36" s="234" t="s">
        <v>454</v>
      </c>
      <c r="C36" s="225"/>
      <c r="D36" s="225"/>
      <c r="E36" s="225"/>
      <c r="F36" s="225"/>
      <c r="G36" s="225"/>
      <c r="H36" s="225"/>
    </row>
    <row r="37" spans="2:8">
      <c r="B37" s="234" t="s">
        <v>831</v>
      </c>
      <c r="C37" s="225"/>
      <c r="D37" s="225"/>
      <c r="E37" s="225"/>
      <c r="F37" s="225"/>
      <c r="G37" s="225"/>
      <c r="H37" s="225"/>
    </row>
    <row r="38" spans="2:8">
      <c r="B38" s="234" t="s">
        <v>455</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90D6EF31-FCB6-44C0-92E1-66E420FB322F}">
  <ds:schemaRefs>
    <ds:schemaRef ds:uri="df5a1bbb-24dc-472d-b5b2-ad007ec20f6c"/>
    <ds:schemaRef ds:uri="http://purl.org/dc/elements/1.1/"/>
    <ds:schemaRef ds:uri="http://schemas.microsoft.com/office/2006/metadata/properties"/>
    <ds:schemaRef ds:uri="6b11e1cc-f8f4-4753-8eb9-82c6086f7ab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Maslanka, Lisa</cp:lastModifiedBy>
  <cp:lastPrinted>2020-12-01T12:51:12Z</cp:lastPrinted>
  <dcterms:created xsi:type="dcterms:W3CDTF">2004-11-04T17:59:53Z</dcterms:created>
  <dcterms:modified xsi:type="dcterms:W3CDTF">2021-09-27T16:53:50Z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