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cow00\jobs\75808\TaskOrder2\Planning\Documents\2021_Submittal\BCA\"/>
    </mc:Choice>
  </mc:AlternateContent>
  <xr:revisionPtr revIDLastSave="0" documentId="13_ncr:1_{8D34B0BE-D42C-4775-B28E-58DD591E085E}" xr6:coauthVersionLast="45" xr6:coauthVersionMax="45" xr10:uidLastSave="{00000000-0000-0000-0000-000000000000}"/>
  <bookViews>
    <workbookView xWindow="1245" yWindow="-120" windowWidth="27675" windowHeight="16440" tabRatio="902" activeTab="3" xr2:uid="{00000000-000D-0000-FFFF-FFFF00000000}"/>
  </bookViews>
  <sheets>
    <sheet name="Summary" sheetId="12" r:id="rId1"/>
    <sheet name="Summary Table" sheetId="41" r:id="rId2"/>
    <sheet name="NPV" sheetId="5" r:id="rId3"/>
    <sheet name="Costs" sheetId="27" r:id="rId4"/>
    <sheet name="O&amp;M" sheetId="49" r:id="rId5"/>
    <sheet name="Flood Damage" sheetId="56" r:id="rId6"/>
    <sheet name="Flood_Safety" sheetId="61" r:id="rId7"/>
    <sheet name="Flood_Env_Prot" sheetId="62" r:id="rId8"/>
    <sheet name="Flood_Travel_Time" sheetId="57" r:id="rId9"/>
    <sheet name="Loss of Use" sheetId="54" r:id="rId10"/>
    <sheet name="LoU_Safety" sheetId="55" r:id="rId11"/>
    <sheet name="LoU_Env_Prot" sheetId="46" r:id="rId12"/>
    <sheet name="LoU_Econ" sheetId="39" r:id="rId13"/>
    <sheet name="Ton-miles" sheetId="52" r:id="rId14"/>
  </sheets>
  <externalReferences>
    <externalReference r:id="rId15"/>
    <externalReference r:id="rId16"/>
    <externalReference r:id="rId17"/>
    <externalReference r:id="rId18"/>
  </externalReferences>
  <definedNames>
    <definedName name="a">'[1]START Assumptions'!#REF!</definedName>
    <definedName name="Annual_Traffic_Growth_Rate">'[1]START Assumptions'!$B$39</definedName>
    <definedName name="Auto_Occ" localSheetId="8">'[1]START Assumptions'!#REF!</definedName>
    <definedName name="Auto_Occ">'[1]START Assumptions'!#REF!</definedName>
    <definedName name="Auto_Op_Cost">'[1]START Assumptions'!$B$37</definedName>
    <definedName name="Ave_Fatal_Cost" localSheetId="8">'[1]START Assumptions'!#REF!</definedName>
    <definedName name="Ave_Fatal_Cost">'[1]START Assumptions'!#REF!</definedName>
    <definedName name="Ave_PD_Cost" localSheetId="8">'[1]START Assumptions'!#REF!</definedName>
    <definedName name="Ave_PD_Cost">'[1]START Assumptions'!#REF!</definedName>
    <definedName name="Ave_Type_A_Cost" localSheetId="8">'[1]START Assumptions'!#REF!</definedName>
    <definedName name="Ave_Type_A_Cost">'[1]START Assumptions'!#REF!</definedName>
    <definedName name="Ave_Type_B_Cost" localSheetId="8">'[1]START Assumptions'!#REF!</definedName>
    <definedName name="Ave_Type_B_Cost">'[1]START Assumptions'!#REF!</definedName>
    <definedName name="Ave_Type_C_Cost">'[1]START Assumptions'!#REF!</definedName>
    <definedName name="Ave_Type_Fatal_Cost">'[1]START Assumptions'!#REF!</definedName>
    <definedName name="Ave_Type_PD_Cost">'[1]START Assumptions'!#REF!</definedName>
    <definedName name="Avg_Crash_Cost">'[1]START Assumptions'!#REF!</definedName>
    <definedName name="Base_Year">'[1]START Assumptions'!$B$31</definedName>
    <definedName name="Base_Year_Traffic" localSheetId="8">'[1]START Assumptions'!#REF!</definedName>
    <definedName name="Base_Year_Traffic">'[1]START Assumptions'!#REF!</definedName>
    <definedName name="Benefit_Period">'[1]START Assumptions'!$B$33</definedName>
    <definedName name="CIP" localSheetId="8">#REF!</definedName>
    <definedName name="CIP">#REF!</definedName>
    <definedName name="Const_Comp_Year">'[1]START Assumptions'!$B$32</definedName>
    <definedName name="Crash_Rate_AC" localSheetId="8">'[1]START Assumptions'!#REF!</definedName>
    <definedName name="Crash_Rate_AC">'[1]START Assumptions'!#REF!</definedName>
    <definedName name="Crash_Rate_BC" localSheetId="8">'[1]START Assumptions'!#REF!</definedName>
    <definedName name="Crash_Rate_BC">'[1]START Assumptions'!#REF!</definedName>
    <definedName name="dblStack" localSheetId="8">'[2]Tunnel Capacity'!$C$6</definedName>
    <definedName name="dblStack">'[3]Tunnel Capacity'!$C$6</definedName>
    <definedName name="Discount_Rate">'[1]START Assumptions'!$B$35</definedName>
    <definedName name="domstackRate" localSheetId="8">'[2]Tunnel Capacity'!$C$4</definedName>
    <definedName name="domstackRate">'[3]Tunnel Capacity'!$C$4</definedName>
    <definedName name="Fatal_Crash_Cost" localSheetId="8">'[1]START Assumptions'!#REF!</definedName>
    <definedName name="Fatal_Crash_Cost">'[1]START Assumptions'!#REF!</definedName>
    <definedName name="Fatal_Crash_Rate_AC" localSheetId="8">'[1]START Assumptions'!#REF!</definedName>
    <definedName name="Fatal_Crash_Rate_AC">'[1]START Assumptions'!#REF!</definedName>
    <definedName name="Fatal_Crash_Rate_BC" localSheetId="8">'[1]START Assumptions'!#REF!</definedName>
    <definedName name="Fatal_Crash_Rate_BC">'[1]START Assumptions'!#REF!</definedName>
    <definedName name="HCV_Cost_Op" localSheetId="8">'[1]START Assumptions'!#REF!</definedName>
    <definedName name="HCV_Cost_Op">'[1]START Assumptions'!#REF!</definedName>
    <definedName name="HCV_Density_AC">'[1]START Assumptions'!#REF!</definedName>
    <definedName name="HCV_Density_BC">'[1]START Assumptions'!#REF!</definedName>
    <definedName name="HCV_Occ">'[1]START Assumptions'!#REF!</definedName>
    <definedName name="HCV_Value_of_Time">'[1]START Assumptions'!#REF!</definedName>
    <definedName name="Injury_Crash_Cost">'[1]START Assumptions'!#REF!</definedName>
    <definedName name="Injury_Crash_Rate_AC">'[1]START Assumptions'!#REF!</definedName>
    <definedName name="Injury_Crash_Rate_BC">'[1]START Assumptions'!#REF!</definedName>
    <definedName name="intlstackRate" localSheetId="8">'[2]Tunnel Capacity'!$C$3</definedName>
    <definedName name="intlstackRate">'[3]Tunnel Capacity'!$C$3</definedName>
    <definedName name="Length_AC" localSheetId="8">'[1]START Assumptions'!#REF!</definedName>
    <definedName name="Length_AC">'[1]START Assumptions'!#REF!</definedName>
    <definedName name="Length_BC" localSheetId="8">'[1]START Assumptions'!#REF!</definedName>
    <definedName name="Length_BC">'[1]START Assumptions'!#REF!</definedName>
    <definedName name="List">'[4]NEW ROAD'!$A$2:$A$19</definedName>
    <definedName name="maxLength" localSheetId="8">'[2]Tunnel Capacity'!$C$2</definedName>
    <definedName name="maxLength">'[3]Tunnel Capacity'!$C$2</definedName>
    <definedName name="NEW">'[4]NEW ROAD'!$A$4:$A$5</definedName>
    <definedName name="NPV_Costs">'[1]START Costs'!$I$5</definedName>
    <definedName name="NPV_Distance" localSheetId="8">'[1]START Distance Benefit'!#REF!</definedName>
    <definedName name="NPV_Distance">'[1]START Distance Benefit'!#REF!</definedName>
    <definedName name="NPV_maint">'[1]START Costs'!$L$5</definedName>
    <definedName name="NPV_Safety" localSheetId="8">#REF!</definedName>
    <definedName name="NPV_Safety">#REF!</definedName>
    <definedName name="NPV_Time">#REF!</definedName>
    <definedName name="PD_Crash_Cost" localSheetId="8">'[1]START Assumptions'!#REF!</definedName>
    <definedName name="PD_Crash_Cost">'[1]START Assumptions'!#REF!</definedName>
    <definedName name="PD_Crash_Rate_AC" localSheetId="8">'[1]START Assumptions'!#REF!</definedName>
    <definedName name="PD_Crash_Rate_AC">'[1]START Assumptions'!#REF!</definedName>
    <definedName name="PD_Crash_Rate_BC">'[1]START Assumptions'!#REF!</definedName>
    <definedName name="_xlnm.Print_Area" localSheetId="8">Flood_Travel_Time!$A$59:$J$85,Flood_Travel_Time!$A$120:$M$123</definedName>
    <definedName name="printa" localSheetId="8">#REF!</definedName>
    <definedName name="printa">#REF!</definedName>
    <definedName name="Prop_Dam_Crash_Cost" localSheetId="8">'[1]START Assumptions'!#REF!</definedName>
    <definedName name="Prop_Dam_Crash_Cost">'[1]START Assumptions'!#REF!</definedName>
    <definedName name="singleStack" localSheetId="8">'[2]Tunnel Capacity'!$C$5</definedName>
    <definedName name="singleStack">'[3]Tunnel Capacity'!$C$5</definedName>
    <definedName name="Speed_AC" localSheetId="8">'[1]START Assumptions'!#REF!</definedName>
    <definedName name="Speed_AC">'[1]START Assumptions'!#REF!</definedName>
    <definedName name="Speed_BC" localSheetId="8">'[1]START Assumptions'!#REF!</definedName>
    <definedName name="Speed_BC">'[1]START Assumptions'!#REF!</definedName>
    <definedName name="Type_A_Crash_Rate_AC" localSheetId="8">'[1]START Assumptions'!#REF!</definedName>
    <definedName name="Type_A_Crash_Rate_AC">'[1]START Assumptions'!#REF!</definedName>
    <definedName name="Type_A_Crash_Rate_BC" localSheetId="8">'[1]START Assumptions'!#REF!</definedName>
    <definedName name="Type_A_Crash_Rate_BC">'[1]START Assumptions'!#REF!</definedName>
    <definedName name="Type_B_Crash_Rate_AC">'[1]START Assumptions'!#REF!</definedName>
    <definedName name="Type_B_Crash_Rate_BC">'[1]START Assumptions'!#REF!</definedName>
    <definedName name="Type_C_Crash_Rate_AC">'[1]START Assumptions'!#REF!</definedName>
    <definedName name="Type_C_Crash_Rate_BC">'[1]START Assumptions'!#REF!</definedName>
    <definedName name="Type_Fatal_Crash_Rate_AC">'[1]START Assumptions'!#REF!</definedName>
    <definedName name="Type_Fatal_Crash_Rate_BC">'[1]START Assumptions'!#REF!</definedName>
    <definedName name="Type_PD_Crash_Rate_AC">'[1]START Assumptions'!#REF!</definedName>
    <definedName name="Type_PD_Crash_Rate_BC">'[1]START Assumptions'!#REF!</definedName>
    <definedName name="Version2" localSheetId="8">#REF!</definedName>
    <definedName name="Version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7" l="1"/>
  <c r="F28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E11" i="54"/>
  <c r="F10" i="54"/>
  <c r="F9" i="54"/>
  <c r="E10" i="49" l="1"/>
  <c r="E11" i="49"/>
  <c r="E12" i="49"/>
  <c r="E13" i="49"/>
  <c r="E14" i="49"/>
  <c r="E15" i="49"/>
  <c r="E16" i="49"/>
  <c r="B4" i="27"/>
  <c r="D8" i="54"/>
  <c r="E39" i="39"/>
  <c r="B161" i="52"/>
  <c r="B162" i="52"/>
  <c r="I27" i="52"/>
  <c r="D50" i="39"/>
  <c r="B50" i="39"/>
  <c r="E49" i="39"/>
  <c r="E48" i="39"/>
  <c r="E47" i="39"/>
  <c r="E46" i="39"/>
  <c r="E45" i="39"/>
  <c r="E44" i="39"/>
  <c r="E43" i="39"/>
  <c r="E42" i="39"/>
  <c r="E41" i="39"/>
  <c r="E40" i="39"/>
  <c r="C8" i="54"/>
  <c r="B8" i="54"/>
  <c r="A9" i="54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55" i="39" l="1"/>
  <c r="E8" i="54"/>
  <c r="D6" i="5"/>
  <c r="C6" i="5"/>
  <c r="F8" i="54" l="1"/>
  <c r="J16" i="41"/>
  <c r="K13" i="41"/>
  <c r="L13" i="41" s="1"/>
  <c r="C13" i="41" s="1"/>
  <c r="F27" i="27"/>
  <c r="E5" i="27"/>
  <c r="E7" i="27" s="1"/>
  <c r="E28" i="27" l="1"/>
  <c r="F5" i="27"/>
  <c r="G5" i="27" l="1"/>
  <c r="O13" i="41"/>
  <c r="P13" i="41" s="1"/>
  <c r="B13" i="41" s="1"/>
  <c r="D13" i="41" s="1"/>
  <c r="E13" i="41" s="1"/>
  <c r="D6" i="52"/>
  <c r="H6" i="52" s="1"/>
  <c r="C7" i="52" l="1"/>
  <c r="G7" i="52" s="1"/>
  <c r="B7" i="52"/>
  <c r="F7" i="52" s="1"/>
  <c r="C8" i="52"/>
  <c r="G8" i="52" s="1"/>
  <c r="C13" i="52"/>
  <c r="G13" i="52" s="1"/>
  <c r="C14" i="52"/>
  <c r="G14" i="52" s="1"/>
  <c r="B8" i="52"/>
  <c r="F8" i="52" s="1"/>
  <c r="B9" i="52"/>
  <c r="F9" i="52" s="1"/>
  <c r="B13" i="52"/>
  <c r="F13" i="52" s="1"/>
  <c r="B14" i="52"/>
  <c r="F14" i="52" s="1"/>
  <c r="B15" i="52"/>
  <c r="F15" i="52" s="1"/>
  <c r="D15" i="52"/>
  <c r="H15" i="52" s="1"/>
  <c r="D14" i="52"/>
  <c r="H14" i="52" s="1"/>
  <c r="D13" i="52"/>
  <c r="H13" i="52" s="1"/>
  <c r="D12" i="52"/>
  <c r="H12" i="52" s="1"/>
  <c r="D11" i="52"/>
  <c r="H11" i="52" s="1"/>
  <c r="D10" i="52"/>
  <c r="H10" i="52" s="1"/>
  <c r="D9" i="52"/>
  <c r="H9" i="52" s="1"/>
  <c r="D8" i="52"/>
  <c r="H8" i="52" s="1"/>
  <c r="D5" i="52"/>
  <c r="H5" i="52" s="1"/>
  <c r="D7" i="52"/>
  <c r="H7" i="52" s="1"/>
  <c r="I14" i="52" l="1"/>
  <c r="I13" i="52"/>
  <c r="I8" i="52"/>
  <c r="I7" i="52"/>
  <c r="B34" i="54"/>
  <c r="C34" i="54" s="1"/>
  <c r="D16" i="52"/>
  <c r="E7" i="52"/>
  <c r="D82" i="62"/>
  <c r="C82" i="62"/>
  <c r="B82" i="62"/>
  <c r="D79" i="62"/>
  <c r="C79" i="62"/>
  <c r="B79" i="62"/>
  <c r="D76" i="62"/>
  <c r="C76" i="62"/>
  <c r="B76" i="62"/>
  <c r="D73" i="62"/>
  <c r="C73" i="62"/>
  <c r="B73" i="62"/>
  <c r="D70" i="62"/>
  <c r="C70" i="62"/>
  <c r="B70" i="62"/>
  <c r="A7" i="62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D97" i="61"/>
  <c r="C97" i="61"/>
  <c r="B97" i="61"/>
  <c r="B85" i="61"/>
  <c r="D84" i="61"/>
  <c r="C84" i="61"/>
  <c r="D83" i="61"/>
  <c r="C83" i="61"/>
  <c r="D82" i="61"/>
  <c r="C82" i="61"/>
  <c r="D81" i="61"/>
  <c r="C81" i="61"/>
  <c r="D80" i="61"/>
  <c r="C80" i="61"/>
  <c r="D74" i="61"/>
  <c r="F74" i="61" s="1"/>
  <c r="C74" i="61"/>
  <c r="B74" i="61"/>
  <c r="B37" i="61"/>
  <c r="A12" i="6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7" i="61"/>
  <c r="D6" i="27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" i="5"/>
  <c r="D4" i="5"/>
  <c r="C5" i="5"/>
  <c r="D5" i="5"/>
  <c r="E97" i="61" l="1"/>
  <c r="F97" i="61"/>
  <c r="E74" i="61"/>
  <c r="C85" i="61"/>
  <c r="E85" i="61" s="1"/>
  <c r="D85" i="61"/>
  <c r="F85" i="61" s="1"/>
  <c r="A8" i="61"/>
  <c r="A9" i="61" s="1"/>
  <c r="A10" i="61" s="1"/>
  <c r="B107" i="57" l="1"/>
  <c r="B101" i="57"/>
  <c r="B89" i="57"/>
  <c r="A62" i="57"/>
  <c r="A63" i="57" s="1"/>
  <c r="A64" i="57" s="1"/>
  <c r="A65" i="57" s="1"/>
  <c r="A66" i="57" s="1"/>
  <c r="A67" i="57" s="1"/>
  <c r="A68" i="57" s="1"/>
  <c r="A69" i="57" s="1"/>
  <c r="A70" i="57" s="1"/>
  <c r="B61" i="57"/>
  <c r="A36" i="57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E87" i="56"/>
  <c r="E88" i="56" s="1"/>
  <c r="D87" i="56"/>
  <c r="C87" i="56"/>
  <c r="B87" i="56"/>
  <c r="B88" i="56" s="1"/>
  <c r="F80" i="56"/>
  <c r="F87" i="56" s="1"/>
  <c r="F88" i="56" s="1"/>
  <c r="C74" i="56"/>
  <c r="B64" i="56" s="1"/>
  <c r="B3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A34" i="56"/>
  <c r="A35" i="56" s="1"/>
  <c r="A36" i="56" s="1"/>
  <c r="A37" i="56" s="1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B74" i="56" l="1"/>
  <c r="H33" i="56"/>
  <c r="I57" i="56"/>
  <c r="I43" i="56"/>
  <c r="B67" i="57"/>
  <c r="K67" i="57" s="1"/>
  <c r="L67" i="57" s="1"/>
  <c r="G9" i="57" s="1"/>
  <c r="B64" i="57"/>
  <c r="C61" i="57"/>
  <c r="D61" i="57" s="1"/>
  <c r="H37" i="56"/>
  <c r="A38" i="56"/>
  <c r="A39" i="56" s="1"/>
  <c r="A40" i="56" s="1"/>
  <c r="H36" i="56"/>
  <c r="I50" i="56"/>
  <c r="I44" i="56"/>
  <c r="I45" i="56"/>
  <c r="I46" i="56"/>
  <c r="H34" i="56"/>
  <c r="I55" i="56"/>
  <c r="I51" i="56"/>
  <c r="I39" i="56"/>
  <c r="I40" i="56"/>
  <c r="I41" i="56"/>
  <c r="I47" i="56"/>
  <c r="I42" i="56"/>
  <c r="I48" i="56"/>
  <c r="H38" i="56"/>
  <c r="B39" i="56"/>
  <c r="A71" i="57"/>
  <c r="A72" i="57" s="1"/>
  <c r="A73" i="57" s="1"/>
  <c r="B70" i="57"/>
  <c r="H35" i="56"/>
  <c r="H67" i="57"/>
  <c r="C64" i="57"/>
  <c r="D64" i="57" s="1"/>
  <c r="C67" i="57"/>
  <c r="I49" i="56"/>
  <c r="I52" i="56"/>
  <c r="I53" i="56"/>
  <c r="I54" i="56"/>
  <c r="I56" i="56"/>
  <c r="E67" i="57"/>
  <c r="I38" i="56"/>
  <c r="B69" i="57"/>
  <c r="B66" i="57"/>
  <c r="B63" i="57"/>
  <c r="B68" i="57"/>
  <c r="B65" i="57"/>
  <c r="B62" i="57"/>
  <c r="N67" i="57"/>
  <c r="H39" i="56" l="1"/>
  <c r="B71" i="57"/>
  <c r="B72" i="57"/>
  <c r="N72" i="57" s="1"/>
  <c r="H66" i="57"/>
  <c r="E66" i="57"/>
  <c r="N66" i="57"/>
  <c r="C66" i="57"/>
  <c r="K66" i="57"/>
  <c r="H69" i="57"/>
  <c r="E69" i="57"/>
  <c r="N69" i="57"/>
  <c r="K69" i="57"/>
  <c r="C69" i="57"/>
  <c r="D69" i="57" s="1"/>
  <c r="C9" i="57"/>
  <c r="C36" i="57"/>
  <c r="H72" i="57"/>
  <c r="E72" i="57"/>
  <c r="C72" i="57"/>
  <c r="D72" i="57" s="1"/>
  <c r="K72" i="57"/>
  <c r="C62" i="57"/>
  <c r="D62" i="57" s="1"/>
  <c r="C65" i="57"/>
  <c r="D65" i="57" s="1"/>
  <c r="H70" i="57"/>
  <c r="N70" i="57"/>
  <c r="E70" i="57"/>
  <c r="C70" i="57"/>
  <c r="K70" i="57"/>
  <c r="H40" i="56"/>
  <c r="A41" i="56"/>
  <c r="O67" i="57"/>
  <c r="G36" i="57" s="1"/>
  <c r="E68" i="57"/>
  <c r="D68" i="57"/>
  <c r="N68" i="57"/>
  <c r="K68" i="57"/>
  <c r="H68" i="57"/>
  <c r="C68" i="57"/>
  <c r="I67" i="57"/>
  <c r="E36" i="57" s="1"/>
  <c r="A74" i="57"/>
  <c r="B73" i="57"/>
  <c r="M67" i="57"/>
  <c r="F9" i="57" s="1"/>
  <c r="E71" i="57"/>
  <c r="N71" i="57"/>
  <c r="K71" i="57"/>
  <c r="H71" i="57"/>
  <c r="C71" i="57"/>
  <c r="D67" i="57"/>
  <c r="F67" i="57"/>
  <c r="E9" i="57" s="1"/>
  <c r="I9" i="57" s="1"/>
  <c r="B40" i="56"/>
  <c r="C63" i="57"/>
  <c r="D63" i="57" s="1"/>
  <c r="P67" i="57" l="1"/>
  <c r="F36" i="57" s="1"/>
  <c r="G67" i="57"/>
  <c r="D9" i="57" s="1"/>
  <c r="H9" i="57" s="1"/>
  <c r="J9" i="57" s="1"/>
  <c r="D39" i="56" s="1"/>
  <c r="B14" i="57"/>
  <c r="B41" i="57"/>
  <c r="B11" i="57"/>
  <c r="B38" i="57"/>
  <c r="A75" i="57"/>
  <c r="B74" i="57"/>
  <c r="C12" i="57"/>
  <c r="C39" i="57"/>
  <c r="I69" i="57"/>
  <c r="E38" i="57" s="1"/>
  <c r="C13" i="57"/>
  <c r="C40" i="57"/>
  <c r="F70" i="57"/>
  <c r="E12" i="57" s="1"/>
  <c r="L66" i="57"/>
  <c r="G8" i="57" s="1"/>
  <c r="C8" i="57"/>
  <c r="C35" i="57"/>
  <c r="L71" i="57"/>
  <c r="G13" i="57" s="1"/>
  <c r="I70" i="57"/>
  <c r="E39" i="57" s="1"/>
  <c r="F72" i="57"/>
  <c r="E14" i="57" s="1"/>
  <c r="D66" i="57"/>
  <c r="O71" i="57"/>
  <c r="G40" i="57" s="1"/>
  <c r="I36" i="57"/>
  <c r="D70" i="57"/>
  <c r="I72" i="57"/>
  <c r="E41" i="57" s="1"/>
  <c r="O66" i="57"/>
  <c r="G35" i="57" s="1"/>
  <c r="I71" i="57"/>
  <c r="E40" i="57" s="1"/>
  <c r="J71" i="57"/>
  <c r="D40" i="57" s="1"/>
  <c r="J67" i="57"/>
  <c r="D36" i="57" s="1"/>
  <c r="H36" i="57" s="1"/>
  <c r="O72" i="57"/>
  <c r="G41" i="57" s="1"/>
  <c r="D71" i="57"/>
  <c r="C37" i="57"/>
  <c r="C10" i="57"/>
  <c r="F66" i="57"/>
  <c r="E8" i="57" s="1"/>
  <c r="C41" i="57"/>
  <c r="C14" i="57"/>
  <c r="O70" i="57"/>
  <c r="G39" i="57" s="1"/>
  <c r="F71" i="57"/>
  <c r="E13" i="57" s="1"/>
  <c r="I68" i="57"/>
  <c r="E37" i="57" s="1"/>
  <c r="J68" i="57"/>
  <c r="D37" i="57" s="1"/>
  <c r="I66" i="57"/>
  <c r="E35" i="57" s="1"/>
  <c r="L68" i="57"/>
  <c r="G10" i="57" s="1"/>
  <c r="O68" i="57"/>
  <c r="G37" i="57" s="1"/>
  <c r="L69" i="57"/>
  <c r="G11" i="57" s="1"/>
  <c r="B10" i="57"/>
  <c r="B37" i="57"/>
  <c r="B36" i="57"/>
  <c r="B9" i="57"/>
  <c r="F68" i="57"/>
  <c r="E10" i="57" s="1"/>
  <c r="O69" i="57"/>
  <c r="G38" i="57" s="1"/>
  <c r="A42" i="56"/>
  <c r="H41" i="56"/>
  <c r="B41" i="56"/>
  <c r="C38" i="57"/>
  <c r="C11" i="57"/>
  <c r="H73" i="57"/>
  <c r="N73" i="57"/>
  <c r="E73" i="57"/>
  <c r="C73" i="57"/>
  <c r="K73" i="57"/>
  <c r="L70" i="57"/>
  <c r="G12" i="57" s="1"/>
  <c r="L72" i="57"/>
  <c r="G14" i="57" s="1"/>
  <c r="I14" i="57" s="1"/>
  <c r="F69" i="57"/>
  <c r="E11" i="57" s="1"/>
  <c r="I40" i="57" l="1"/>
  <c r="I38" i="57"/>
  <c r="J36" i="57"/>
  <c r="C39" i="56" s="1"/>
  <c r="E39" i="56" s="1"/>
  <c r="F39" i="56" s="1"/>
  <c r="P71" i="57"/>
  <c r="F40" i="57" s="1"/>
  <c r="H40" i="57" s="1"/>
  <c r="J40" i="57" s="1"/>
  <c r="C43" i="56" s="1"/>
  <c r="J70" i="57"/>
  <c r="D39" i="57" s="1"/>
  <c r="I12" i="57"/>
  <c r="I13" i="57"/>
  <c r="I37" i="57"/>
  <c r="J69" i="57"/>
  <c r="D38" i="57" s="1"/>
  <c r="G72" i="57"/>
  <c r="D14" i="57" s="1"/>
  <c r="P70" i="57"/>
  <c r="F39" i="57" s="1"/>
  <c r="H39" i="57" s="1"/>
  <c r="M72" i="57"/>
  <c r="F14" i="57" s="1"/>
  <c r="H14" i="57" s="1"/>
  <c r="J14" i="57" s="1"/>
  <c r="D44" i="56" s="1"/>
  <c r="M69" i="57"/>
  <c r="F11" i="57" s="1"/>
  <c r="H11" i="57" s="1"/>
  <c r="G70" i="57"/>
  <c r="D12" i="57" s="1"/>
  <c r="G66" i="57"/>
  <c r="D8" i="57" s="1"/>
  <c r="L73" i="57"/>
  <c r="G15" i="57" s="1"/>
  <c r="I11" i="57"/>
  <c r="J66" i="57"/>
  <c r="D35" i="57" s="1"/>
  <c r="P66" i="57"/>
  <c r="F35" i="57" s="1"/>
  <c r="M71" i="57"/>
  <c r="F13" i="57" s="1"/>
  <c r="C15" i="57"/>
  <c r="C42" i="57"/>
  <c r="E74" i="57"/>
  <c r="N74" i="57"/>
  <c r="K74" i="57"/>
  <c r="C74" i="57"/>
  <c r="D74" i="57" s="1"/>
  <c r="H74" i="57"/>
  <c r="F73" i="57"/>
  <c r="E15" i="57" s="1"/>
  <c r="B40" i="57"/>
  <c r="B13" i="57"/>
  <c r="J72" i="57"/>
  <c r="D41" i="57" s="1"/>
  <c r="O73" i="57"/>
  <c r="G42" i="57" s="1"/>
  <c r="P69" i="57"/>
  <c r="F38" i="57" s="1"/>
  <c r="G71" i="57"/>
  <c r="D13" i="57" s="1"/>
  <c r="P72" i="57"/>
  <c r="F41" i="57" s="1"/>
  <c r="B39" i="57"/>
  <c r="B12" i="57"/>
  <c r="A76" i="57"/>
  <c r="B75" i="57"/>
  <c r="M70" i="57"/>
  <c r="F12" i="57" s="1"/>
  <c r="I8" i="57"/>
  <c r="I73" i="57"/>
  <c r="E42" i="57" s="1"/>
  <c r="I41" i="57"/>
  <c r="D73" i="57"/>
  <c r="G68" i="57"/>
  <c r="D10" i="57" s="1"/>
  <c r="P68" i="57"/>
  <c r="F37" i="57" s="1"/>
  <c r="H37" i="57" s="1"/>
  <c r="J37" i="57" s="1"/>
  <c r="C40" i="56" s="1"/>
  <c r="I39" i="57"/>
  <c r="M66" i="57"/>
  <c r="F8" i="57" s="1"/>
  <c r="I35" i="57"/>
  <c r="G69" i="57"/>
  <c r="D11" i="57" s="1"/>
  <c r="M68" i="57"/>
  <c r="F10" i="57" s="1"/>
  <c r="B8" i="57"/>
  <c r="B35" i="57"/>
  <c r="A43" i="56"/>
  <c r="H42" i="56"/>
  <c r="B42" i="56"/>
  <c r="I10" i="57"/>
  <c r="J39" i="57" l="1"/>
  <c r="C42" i="56" s="1"/>
  <c r="G73" i="57"/>
  <c r="D15" i="57" s="1"/>
  <c r="H12" i="57"/>
  <c r="J12" i="57" s="1"/>
  <c r="D42" i="56" s="1"/>
  <c r="H10" i="57"/>
  <c r="J10" i="57" s="1"/>
  <c r="D40" i="56" s="1"/>
  <c r="E40" i="56" s="1"/>
  <c r="F40" i="56" s="1"/>
  <c r="J11" i="57"/>
  <c r="D41" i="56" s="1"/>
  <c r="H13" i="57"/>
  <c r="J13" i="57" s="1"/>
  <c r="D43" i="56" s="1"/>
  <c r="E43" i="56" s="1"/>
  <c r="H35" i="57"/>
  <c r="J35" i="57" s="1"/>
  <c r="H38" i="57"/>
  <c r="J38" i="57" s="1"/>
  <c r="C41" i="56" s="1"/>
  <c r="E41" i="56" s="1"/>
  <c r="F41" i="56" s="1"/>
  <c r="P73" i="57"/>
  <c r="F42" i="57" s="1"/>
  <c r="I42" i="57"/>
  <c r="F74" i="57"/>
  <c r="E16" i="57" s="1"/>
  <c r="C38" i="56"/>
  <c r="I74" i="57"/>
  <c r="E43" i="57" s="1"/>
  <c r="I15" i="57"/>
  <c r="H8" i="57"/>
  <c r="J8" i="57" s="1"/>
  <c r="C43" i="57"/>
  <c r="C16" i="57"/>
  <c r="M73" i="57"/>
  <c r="F15" i="57" s="1"/>
  <c r="H15" i="57" s="1"/>
  <c r="J73" i="57"/>
  <c r="D42" i="57" s="1"/>
  <c r="E42" i="56"/>
  <c r="F42" i="56" s="1"/>
  <c r="H75" i="57"/>
  <c r="E75" i="57"/>
  <c r="N75" i="57"/>
  <c r="K75" i="57"/>
  <c r="C75" i="57"/>
  <c r="A44" i="56"/>
  <c r="H43" i="56"/>
  <c r="B43" i="56"/>
  <c r="H41" i="57"/>
  <c r="J41" i="57" s="1"/>
  <c r="C44" i="56" s="1"/>
  <c r="E44" i="56" s="1"/>
  <c r="L74" i="57"/>
  <c r="G16" i="57" s="1"/>
  <c r="B16" i="57"/>
  <c r="B43" i="57"/>
  <c r="A77" i="57"/>
  <c r="B76" i="57"/>
  <c r="B42" i="57"/>
  <c r="B15" i="57"/>
  <c r="O74" i="57"/>
  <c r="G43" i="57" s="1"/>
  <c r="F43" i="56" l="1"/>
  <c r="G74" i="57"/>
  <c r="D16" i="57" s="1"/>
  <c r="J74" i="57"/>
  <c r="D43" i="57" s="1"/>
  <c r="H42" i="57"/>
  <c r="J42" i="57" s="1"/>
  <c r="I43" i="57"/>
  <c r="I16" i="57"/>
  <c r="M74" i="57"/>
  <c r="F16" i="57" s="1"/>
  <c r="H16" i="57" s="1"/>
  <c r="J16" i="57" s="1"/>
  <c r="D46" i="56" s="1"/>
  <c r="C45" i="56"/>
  <c r="H44" i="56"/>
  <c r="A45" i="56"/>
  <c r="B44" i="56"/>
  <c r="F44" i="56" s="1"/>
  <c r="D38" i="56"/>
  <c r="E38" i="56" s="1"/>
  <c r="F38" i="56" s="1"/>
  <c r="H76" i="57"/>
  <c r="N76" i="57"/>
  <c r="E76" i="57"/>
  <c r="C76" i="57"/>
  <c r="D76" i="57" s="1"/>
  <c r="K76" i="57"/>
  <c r="A78" i="57"/>
  <c r="B77" i="57"/>
  <c r="O75" i="57"/>
  <c r="G44" i="57" s="1"/>
  <c r="C44" i="57"/>
  <c r="C17" i="57"/>
  <c r="L75" i="57"/>
  <c r="G17" i="57" s="1"/>
  <c r="D75" i="57"/>
  <c r="F75" i="57"/>
  <c r="E17" i="57" s="1"/>
  <c r="I75" i="57"/>
  <c r="E44" i="57" s="1"/>
  <c r="P74" i="57"/>
  <c r="F43" i="57" s="1"/>
  <c r="H43" i="57" s="1"/>
  <c r="J43" i="57" s="1"/>
  <c r="C46" i="56" s="1"/>
  <c r="E46" i="56" s="1"/>
  <c r="J15" i="57"/>
  <c r="D45" i="56" s="1"/>
  <c r="M75" i="57" l="1"/>
  <c r="F17" i="57" s="1"/>
  <c r="I44" i="57"/>
  <c r="J75" i="57"/>
  <c r="D44" i="57" s="1"/>
  <c r="B45" i="57"/>
  <c r="B18" i="57"/>
  <c r="O76" i="57"/>
  <c r="G45" i="57" s="1"/>
  <c r="I76" i="57"/>
  <c r="E45" i="57" s="1"/>
  <c r="P75" i="57"/>
  <c r="F44" i="57" s="1"/>
  <c r="H44" i="57" s="1"/>
  <c r="J44" i="57" s="1"/>
  <c r="C47" i="56" s="1"/>
  <c r="E77" i="57"/>
  <c r="N77" i="57"/>
  <c r="K77" i="57"/>
  <c r="H77" i="57"/>
  <c r="C77" i="57"/>
  <c r="G75" i="57"/>
  <c r="D17" i="57" s="1"/>
  <c r="H17" i="57" s="1"/>
  <c r="J17" i="57" s="1"/>
  <c r="A79" i="57"/>
  <c r="B78" i="57"/>
  <c r="A46" i="56"/>
  <c r="H45" i="56"/>
  <c r="B45" i="56"/>
  <c r="L76" i="57"/>
  <c r="G18" i="57" s="1"/>
  <c r="B17" i="57"/>
  <c r="B44" i="57"/>
  <c r="C18" i="57"/>
  <c r="C45" i="57"/>
  <c r="I17" i="57"/>
  <c r="F76" i="57"/>
  <c r="E18" i="57" s="1"/>
  <c r="E45" i="56"/>
  <c r="G76" i="57" l="1"/>
  <c r="D18" i="57" s="1"/>
  <c r="J76" i="57"/>
  <c r="D45" i="57" s="1"/>
  <c r="I18" i="57"/>
  <c r="D47" i="56"/>
  <c r="E47" i="56" s="1"/>
  <c r="H78" i="57"/>
  <c r="E78" i="57"/>
  <c r="N78" i="57"/>
  <c r="K78" i="57"/>
  <c r="C78" i="57"/>
  <c r="I77" i="57"/>
  <c r="E46" i="57" s="1"/>
  <c r="A80" i="57"/>
  <c r="B79" i="57"/>
  <c r="C19" i="57"/>
  <c r="C46" i="57"/>
  <c r="L77" i="57"/>
  <c r="G19" i="57" s="1"/>
  <c r="D77" i="57"/>
  <c r="I45" i="57"/>
  <c r="M76" i="57"/>
  <c r="F18" i="57" s="1"/>
  <c r="H18" i="57" s="1"/>
  <c r="J18" i="57" s="1"/>
  <c r="D48" i="56" s="1"/>
  <c r="F77" i="57"/>
  <c r="E19" i="57" s="1"/>
  <c r="P76" i="57"/>
  <c r="F45" i="57" s="1"/>
  <c r="H45" i="57" s="1"/>
  <c r="J45" i="57" s="1"/>
  <c r="O77" i="57"/>
  <c r="G46" i="57" s="1"/>
  <c r="F45" i="56"/>
  <c r="A47" i="56"/>
  <c r="H46" i="56"/>
  <c r="B46" i="56"/>
  <c r="F46" i="56" s="1"/>
  <c r="J77" i="57" l="1"/>
  <c r="D46" i="57" s="1"/>
  <c r="I46" i="57"/>
  <c r="M77" i="57"/>
  <c r="F19" i="57" s="1"/>
  <c r="P77" i="57"/>
  <c r="F46" i="57" s="1"/>
  <c r="H46" i="57" s="1"/>
  <c r="J46" i="57" s="1"/>
  <c r="C49" i="56" s="1"/>
  <c r="C48" i="56"/>
  <c r="E48" i="56" s="1"/>
  <c r="G77" i="57"/>
  <c r="D19" i="57" s="1"/>
  <c r="C47" i="57"/>
  <c r="C20" i="57"/>
  <c r="L78" i="57"/>
  <c r="G20" i="57" s="1"/>
  <c r="A48" i="56"/>
  <c r="B47" i="56"/>
  <c r="F47" i="56" s="1"/>
  <c r="H47" i="56"/>
  <c r="D78" i="57"/>
  <c r="H19" i="57"/>
  <c r="O78" i="57"/>
  <c r="G47" i="57" s="1"/>
  <c r="I47" i="57" s="1"/>
  <c r="I19" i="57"/>
  <c r="F78" i="57"/>
  <c r="E20" i="57" s="1"/>
  <c r="H79" i="57"/>
  <c r="N79" i="57"/>
  <c r="E79" i="57"/>
  <c r="C79" i="57"/>
  <c r="D79" i="57" s="1"/>
  <c r="K79" i="57"/>
  <c r="A81" i="57"/>
  <c r="B80" i="57"/>
  <c r="B46" i="57"/>
  <c r="B19" i="57"/>
  <c r="I78" i="57"/>
  <c r="E47" i="57" s="1"/>
  <c r="J78" i="57" l="1"/>
  <c r="D47" i="57" s="1"/>
  <c r="B48" i="57"/>
  <c r="B21" i="57"/>
  <c r="I20" i="57"/>
  <c r="E80" i="57"/>
  <c r="N80" i="57"/>
  <c r="K80" i="57"/>
  <c r="H80" i="57"/>
  <c r="C80" i="57"/>
  <c r="P78" i="57"/>
  <c r="F47" i="57" s="1"/>
  <c r="H47" i="57" s="1"/>
  <c r="J47" i="57" s="1"/>
  <c r="M78" i="57"/>
  <c r="F20" i="57" s="1"/>
  <c r="H20" i="57" s="1"/>
  <c r="J20" i="57" s="1"/>
  <c r="D50" i="56" s="1"/>
  <c r="A82" i="57"/>
  <c r="B81" i="57"/>
  <c r="J19" i="57"/>
  <c r="L79" i="57"/>
  <c r="G21" i="57" s="1"/>
  <c r="B20" i="57"/>
  <c r="B47" i="57"/>
  <c r="G78" i="57"/>
  <c r="D20" i="57" s="1"/>
  <c r="C21" i="57"/>
  <c r="C48" i="57"/>
  <c r="F79" i="57"/>
  <c r="E21" i="57" s="1"/>
  <c r="O79" i="57"/>
  <c r="G48" i="57" s="1"/>
  <c r="A49" i="56"/>
  <c r="H48" i="56"/>
  <c r="B48" i="56"/>
  <c r="F48" i="56" s="1"/>
  <c r="I79" i="57"/>
  <c r="E48" i="57" s="1"/>
  <c r="A83" i="57" l="1"/>
  <c r="B82" i="57"/>
  <c r="C49" i="57"/>
  <c r="C22" i="57"/>
  <c r="G79" i="57"/>
  <c r="D21" i="57" s="1"/>
  <c r="I80" i="57"/>
  <c r="E49" i="57" s="1"/>
  <c r="H81" i="57"/>
  <c r="E81" i="57"/>
  <c r="N81" i="57"/>
  <c r="K81" i="57"/>
  <c r="C81" i="57"/>
  <c r="D81" i="57" s="1"/>
  <c r="L80" i="57"/>
  <c r="G22" i="57" s="1"/>
  <c r="J79" i="57"/>
  <c r="D48" i="57" s="1"/>
  <c r="O80" i="57"/>
  <c r="G49" i="57" s="1"/>
  <c r="C50" i="56"/>
  <c r="E50" i="56" s="1"/>
  <c r="A50" i="56"/>
  <c r="H49" i="56"/>
  <c r="B49" i="56"/>
  <c r="I21" i="57"/>
  <c r="D80" i="57"/>
  <c r="I48" i="57"/>
  <c r="M79" i="57"/>
  <c r="F21" i="57" s="1"/>
  <c r="H21" i="57" s="1"/>
  <c r="F80" i="57"/>
  <c r="E22" i="57" s="1"/>
  <c r="P79" i="57"/>
  <c r="F48" i="57" s="1"/>
  <c r="D49" i="56"/>
  <c r="E49" i="56" s="1"/>
  <c r="J80" i="57" l="1"/>
  <c r="D49" i="57" s="1"/>
  <c r="H48" i="57"/>
  <c r="J48" i="57" s="1"/>
  <c r="C51" i="56" s="1"/>
  <c r="M80" i="57"/>
  <c r="F22" i="57" s="1"/>
  <c r="I49" i="57"/>
  <c r="J21" i="57"/>
  <c r="D51" i="56" s="1"/>
  <c r="O81" i="57"/>
  <c r="G50" i="57" s="1"/>
  <c r="P80" i="57"/>
  <c r="F49" i="57" s="1"/>
  <c r="H49" i="57" s="1"/>
  <c r="J49" i="57" s="1"/>
  <c r="C52" i="56" s="1"/>
  <c r="I81" i="57"/>
  <c r="E50" i="57" s="1"/>
  <c r="I22" i="57"/>
  <c r="G80" i="57"/>
  <c r="D22" i="57" s="1"/>
  <c r="H22" i="57" s="1"/>
  <c r="J22" i="57" s="1"/>
  <c r="B22" i="57"/>
  <c r="B49" i="57"/>
  <c r="F81" i="57"/>
  <c r="E23" i="57" s="1"/>
  <c r="B23" i="57"/>
  <c r="B50" i="57"/>
  <c r="F49" i="56"/>
  <c r="H82" i="57"/>
  <c r="N82" i="57"/>
  <c r="E82" i="57"/>
  <c r="C82" i="57"/>
  <c r="K82" i="57"/>
  <c r="A51" i="56"/>
  <c r="B50" i="56"/>
  <c r="F50" i="56" s="1"/>
  <c r="H50" i="56"/>
  <c r="C50" i="57"/>
  <c r="C23" i="57"/>
  <c r="A84" i="57"/>
  <c r="B83" i="57"/>
  <c r="L81" i="57"/>
  <c r="G23" i="57" s="1"/>
  <c r="I23" i="57" s="1"/>
  <c r="E51" i="56" l="1"/>
  <c r="G81" i="57"/>
  <c r="D23" i="57" s="1"/>
  <c r="D52" i="56"/>
  <c r="E52" i="56" s="1"/>
  <c r="L82" i="57"/>
  <c r="G24" i="57" s="1"/>
  <c r="I82" i="57"/>
  <c r="E51" i="57" s="1"/>
  <c r="C24" i="57"/>
  <c r="C51" i="57"/>
  <c r="E83" i="57"/>
  <c r="N83" i="57"/>
  <c r="K83" i="57"/>
  <c r="H83" i="57"/>
  <c r="C83" i="57"/>
  <c r="D83" i="57" s="1"/>
  <c r="A52" i="56"/>
  <c r="B51" i="56"/>
  <c r="H51" i="56"/>
  <c r="F82" i="57"/>
  <c r="E24" i="57" s="1"/>
  <c r="I50" i="57"/>
  <c r="P81" i="57"/>
  <c r="F50" i="57" s="1"/>
  <c r="O82" i="57"/>
  <c r="G51" i="57" s="1"/>
  <c r="M81" i="57"/>
  <c r="F23" i="57" s="1"/>
  <c r="H23" i="57" s="1"/>
  <c r="J23" i="57" s="1"/>
  <c r="D53" i="56" s="1"/>
  <c r="J81" i="57"/>
  <c r="D50" i="57" s="1"/>
  <c r="D82" i="57"/>
  <c r="A85" i="57"/>
  <c r="B85" i="57" s="1"/>
  <c r="B84" i="57"/>
  <c r="F51" i="56" l="1"/>
  <c r="H50" i="57"/>
  <c r="J50" i="57" s="1"/>
  <c r="C53" i="56" s="1"/>
  <c r="E53" i="56" s="1"/>
  <c r="G82" i="57"/>
  <c r="D24" i="57" s="1"/>
  <c r="B52" i="57"/>
  <c r="B25" i="57"/>
  <c r="O83" i="57"/>
  <c r="G52" i="57" s="1"/>
  <c r="A53" i="56"/>
  <c r="B52" i="56"/>
  <c r="F52" i="56" s="1"/>
  <c r="H52" i="56"/>
  <c r="J82" i="57"/>
  <c r="D51" i="57" s="1"/>
  <c r="H84" i="57"/>
  <c r="E84" i="57"/>
  <c r="N84" i="57"/>
  <c r="K84" i="57"/>
  <c r="C84" i="57"/>
  <c r="D84" i="57" s="1"/>
  <c r="L83" i="57"/>
  <c r="G25" i="57" s="1"/>
  <c r="I25" i="57" s="1"/>
  <c r="H85" i="57"/>
  <c r="N85" i="57"/>
  <c r="E85" i="57"/>
  <c r="C85" i="57"/>
  <c r="K85" i="57"/>
  <c r="B51" i="57"/>
  <c r="B24" i="57"/>
  <c r="I51" i="57"/>
  <c r="M82" i="57"/>
  <c r="F24" i="57" s="1"/>
  <c r="H24" i="57" s="1"/>
  <c r="F83" i="57"/>
  <c r="E25" i="57" s="1"/>
  <c r="I24" i="57"/>
  <c r="C25" i="57"/>
  <c r="C52" i="57"/>
  <c r="P82" i="57"/>
  <c r="F51" i="57" s="1"/>
  <c r="H51" i="57" s="1"/>
  <c r="J51" i="57" s="1"/>
  <c r="C54" i="56" s="1"/>
  <c r="I83" i="57"/>
  <c r="E52" i="57" s="1"/>
  <c r="B26" i="57" l="1"/>
  <c r="B53" i="57"/>
  <c r="F84" i="57"/>
  <c r="E26" i="57" s="1"/>
  <c r="L85" i="57"/>
  <c r="G27" i="57" s="1"/>
  <c r="I85" i="57"/>
  <c r="E54" i="57" s="1"/>
  <c r="C27" i="57"/>
  <c r="C54" i="57"/>
  <c r="F85" i="57"/>
  <c r="E27" i="57" s="1"/>
  <c r="A54" i="56"/>
  <c r="B53" i="56"/>
  <c r="F53" i="56" s="1"/>
  <c r="H53" i="56"/>
  <c r="M83" i="57"/>
  <c r="F25" i="57" s="1"/>
  <c r="J24" i="57"/>
  <c r="D54" i="56" s="1"/>
  <c r="E54" i="56" s="1"/>
  <c r="I52" i="57"/>
  <c r="I84" i="57"/>
  <c r="E53" i="57" s="1"/>
  <c r="O85" i="57"/>
  <c r="G54" i="57" s="1"/>
  <c r="D85" i="57"/>
  <c r="G83" i="57"/>
  <c r="D25" i="57" s="1"/>
  <c r="P83" i="57"/>
  <c r="F52" i="57" s="1"/>
  <c r="C53" i="57"/>
  <c r="C26" i="57"/>
  <c r="L84" i="57"/>
  <c r="G26" i="57" s="1"/>
  <c r="I26" i="57" s="1"/>
  <c r="J83" i="57"/>
  <c r="D52" i="57" s="1"/>
  <c r="O84" i="57"/>
  <c r="G53" i="57" s="1"/>
  <c r="G85" i="57" l="1"/>
  <c r="D27" i="57" s="1"/>
  <c r="I53" i="57"/>
  <c r="I54" i="57"/>
  <c r="P84" i="57"/>
  <c r="F53" i="57" s="1"/>
  <c r="I27" i="57"/>
  <c r="B54" i="57"/>
  <c r="B27" i="57"/>
  <c r="M85" i="57"/>
  <c r="F27" i="57" s="1"/>
  <c r="H27" i="57" s="1"/>
  <c r="J27" i="57" s="1"/>
  <c r="J84" i="57"/>
  <c r="D53" i="57" s="1"/>
  <c r="J85" i="57"/>
  <c r="D54" i="57" s="1"/>
  <c r="H52" i="57"/>
  <c r="J52" i="57" s="1"/>
  <c r="C55" i="56" s="1"/>
  <c r="H25" i="57"/>
  <c r="J25" i="57" s="1"/>
  <c r="D55" i="56" s="1"/>
  <c r="A55" i="56"/>
  <c r="B54" i="56"/>
  <c r="F54" i="56" s="1"/>
  <c r="H54" i="56"/>
  <c r="G84" i="57"/>
  <c r="D26" i="57" s="1"/>
  <c r="M84" i="57"/>
  <c r="F26" i="57" s="1"/>
  <c r="P85" i="57"/>
  <c r="F54" i="57" s="1"/>
  <c r="H53" i="57" l="1"/>
  <c r="J53" i="57" s="1"/>
  <c r="C56" i="56" s="1"/>
  <c r="A56" i="56"/>
  <c r="B55" i="56"/>
  <c r="H55" i="56"/>
  <c r="H54" i="57"/>
  <c r="J54" i="57" s="1"/>
  <c r="E55" i="56"/>
  <c r="D57" i="56"/>
  <c r="H26" i="57"/>
  <c r="J26" i="57" s="1"/>
  <c r="D56" i="56" s="1"/>
  <c r="E56" i="56" s="1"/>
  <c r="J28" i="57" l="1"/>
  <c r="C57" i="56"/>
  <c r="E57" i="56" s="1"/>
  <c r="J55" i="57"/>
  <c r="F55" i="56"/>
  <c r="A57" i="56"/>
  <c r="H56" i="56"/>
  <c r="B56" i="56"/>
  <c r="F56" i="56" s="1"/>
  <c r="H57" i="56" l="1"/>
  <c r="B57" i="56"/>
  <c r="F57" i="56" s="1"/>
  <c r="B37" i="55" l="1"/>
  <c r="A7" i="55"/>
  <c r="A8" i="55" s="1"/>
  <c r="A9" i="55" s="1"/>
  <c r="A10" i="55" s="1"/>
  <c r="D97" i="55"/>
  <c r="C97" i="55"/>
  <c r="B97" i="55"/>
  <c r="B85" i="55"/>
  <c r="D84" i="55"/>
  <c r="C84" i="55"/>
  <c r="D83" i="55"/>
  <c r="C83" i="55"/>
  <c r="D82" i="55"/>
  <c r="C82" i="55"/>
  <c r="D81" i="55"/>
  <c r="C81" i="55"/>
  <c r="D80" i="55"/>
  <c r="C80" i="55"/>
  <c r="D74" i="55"/>
  <c r="C74" i="55"/>
  <c r="B74" i="55"/>
  <c r="A12" i="55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D152" i="52"/>
  <c r="D151" i="52"/>
  <c r="D150" i="52"/>
  <c r="B143" i="52"/>
  <c r="H132" i="52"/>
  <c r="F132" i="52"/>
  <c r="C132" i="52"/>
  <c r="D132" i="52" s="1"/>
  <c r="H131" i="52"/>
  <c r="F131" i="52"/>
  <c r="D131" i="52"/>
  <c r="H130" i="52"/>
  <c r="F130" i="52"/>
  <c r="D130" i="52"/>
  <c r="H129" i="52"/>
  <c r="F129" i="52"/>
  <c r="D129" i="52"/>
  <c r="H128" i="52"/>
  <c r="F128" i="52"/>
  <c r="D128" i="52"/>
  <c r="H127" i="52"/>
  <c r="F127" i="52"/>
  <c r="D127" i="52"/>
  <c r="H126" i="52"/>
  <c r="F126" i="52"/>
  <c r="D126" i="52"/>
  <c r="H125" i="52"/>
  <c r="F125" i="52"/>
  <c r="D125" i="52"/>
  <c r="H124" i="52"/>
  <c r="F124" i="52"/>
  <c r="D124" i="52"/>
  <c r="H123" i="52"/>
  <c r="F123" i="52"/>
  <c r="D123" i="52"/>
  <c r="H122" i="52"/>
  <c r="F122" i="52"/>
  <c r="D122" i="52"/>
  <c r="H121" i="52"/>
  <c r="F121" i="52"/>
  <c r="D121" i="52"/>
  <c r="H119" i="52"/>
  <c r="F119" i="52"/>
  <c r="C119" i="52"/>
  <c r="D119" i="52" s="1"/>
  <c r="H118" i="52"/>
  <c r="F118" i="52"/>
  <c r="C118" i="52"/>
  <c r="H117" i="52"/>
  <c r="F117" i="52"/>
  <c r="C117" i="52"/>
  <c r="H116" i="52"/>
  <c r="F116" i="52"/>
  <c r="C116" i="52"/>
  <c r="H115" i="52"/>
  <c r="F115" i="52"/>
  <c r="D115" i="52"/>
  <c r="H114" i="52"/>
  <c r="F114" i="52"/>
  <c r="D114" i="52"/>
  <c r="H113" i="52"/>
  <c r="E113" i="52"/>
  <c r="F113" i="52" s="1"/>
  <c r="C113" i="52"/>
  <c r="D113" i="52" s="1"/>
  <c r="H112" i="52"/>
  <c r="F112" i="52"/>
  <c r="C112" i="52"/>
  <c r="D112" i="52" s="1"/>
  <c r="H111" i="52"/>
  <c r="F111" i="52"/>
  <c r="C111" i="52"/>
  <c r="D111" i="52" s="1"/>
  <c r="H110" i="52"/>
  <c r="F110" i="52"/>
  <c r="C110" i="52"/>
  <c r="D110" i="52" s="1"/>
  <c r="H109" i="52"/>
  <c r="F109" i="52"/>
  <c r="C109" i="52"/>
  <c r="D109" i="52" s="1"/>
  <c r="H108" i="52"/>
  <c r="F108" i="52"/>
  <c r="C108" i="52"/>
  <c r="H107" i="52"/>
  <c r="F107" i="52"/>
  <c r="C107" i="52"/>
  <c r="D107" i="52" s="1"/>
  <c r="H106" i="52"/>
  <c r="F106" i="52"/>
  <c r="C106" i="52"/>
  <c r="H105" i="52"/>
  <c r="F105" i="52"/>
  <c r="D105" i="52"/>
  <c r="H104" i="52"/>
  <c r="F104" i="52"/>
  <c r="C104" i="52"/>
  <c r="G103" i="52"/>
  <c r="E103" i="52"/>
  <c r="F103" i="52" s="1"/>
  <c r="C103" i="52"/>
  <c r="D103" i="52" s="1"/>
  <c r="G102" i="52"/>
  <c r="H102" i="52" s="1"/>
  <c r="E102" i="52"/>
  <c r="C102" i="52"/>
  <c r="D102" i="52" s="1"/>
  <c r="H101" i="52"/>
  <c r="F101" i="52"/>
  <c r="C101" i="52"/>
  <c r="H100" i="52"/>
  <c r="F100" i="52"/>
  <c r="D100" i="52"/>
  <c r="G94" i="52"/>
  <c r="E94" i="52"/>
  <c r="C94" i="52"/>
  <c r="D93" i="52"/>
  <c r="F91" i="52"/>
  <c r="D91" i="52"/>
  <c r="H90" i="52"/>
  <c r="H88" i="52"/>
  <c r="F88" i="52"/>
  <c r="D88" i="52"/>
  <c r="H87" i="52"/>
  <c r="F87" i="52"/>
  <c r="D87" i="52"/>
  <c r="H84" i="52"/>
  <c r="F84" i="52"/>
  <c r="D84" i="52"/>
  <c r="F83" i="52"/>
  <c r="F82" i="52"/>
  <c r="D82" i="52"/>
  <c r="H81" i="52"/>
  <c r="F81" i="52"/>
  <c r="D81" i="52"/>
  <c r="H79" i="52"/>
  <c r="F79" i="52"/>
  <c r="D79" i="52"/>
  <c r="H77" i="52"/>
  <c r="F77" i="52"/>
  <c r="F76" i="52"/>
  <c r="D76" i="52"/>
  <c r="H74" i="52"/>
  <c r="D70" i="52"/>
  <c r="H67" i="52"/>
  <c r="F67" i="52"/>
  <c r="D67" i="52"/>
  <c r="H65" i="52"/>
  <c r="D65" i="52"/>
  <c r="H64" i="52"/>
  <c r="F64" i="52"/>
  <c r="D64" i="52"/>
  <c r="H61" i="52"/>
  <c r="F61" i="52"/>
  <c r="D61" i="52"/>
  <c r="H58" i="52"/>
  <c r="F58" i="52"/>
  <c r="D58" i="52"/>
  <c r="H57" i="52"/>
  <c r="F57" i="52"/>
  <c r="D57" i="52"/>
  <c r="D56" i="52"/>
  <c r="H55" i="52"/>
  <c r="F55" i="52"/>
  <c r="F54" i="52"/>
  <c r="D54" i="52"/>
  <c r="H53" i="52"/>
  <c r="D52" i="52"/>
  <c r="H51" i="52"/>
  <c r="F51" i="52"/>
  <c r="J43" i="52"/>
  <c r="G43" i="52"/>
  <c r="H43" i="52" s="1"/>
  <c r="D43" i="52"/>
  <c r="E43" i="52" s="1"/>
  <c r="J42" i="52"/>
  <c r="G42" i="52"/>
  <c r="H42" i="52" s="1"/>
  <c r="D42" i="52"/>
  <c r="E42" i="52" s="1"/>
  <c r="J41" i="52"/>
  <c r="H41" i="52"/>
  <c r="E41" i="52"/>
  <c r="J40" i="52"/>
  <c r="H40" i="52"/>
  <c r="E40" i="52"/>
  <c r="G39" i="52"/>
  <c r="H39" i="52" s="1"/>
  <c r="I38" i="52"/>
  <c r="J38" i="52" s="1"/>
  <c r="G38" i="52"/>
  <c r="H38" i="52" s="1"/>
  <c r="D38" i="52"/>
  <c r="E38" i="52" s="1"/>
  <c r="I37" i="52"/>
  <c r="J37" i="52" s="1"/>
  <c r="G37" i="52"/>
  <c r="H37" i="52" s="1"/>
  <c r="D37" i="52"/>
  <c r="E37" i="52" s="1"/>
  <c r="J36" i="52"/>
  <c r="G36" i="52"/>
  <c r="H36" i="52" s="1"/>
  <c r="D36" i="52"/>
  <c r="J35" i="52"/>
  <c r="H35" i="52"/>
  <c r="I34" i="52"/>
  <c r="J34" i="52" s="1"/>
  <c r="H34" i="52"/>
  <c r="I33" i="52"/>
  <c r="J33" i="52" s="1"/>
  <c r="G33" i="52"/>
  <c r="H33" i="52" s="1"/>
  <c r="D33" i="52"/>
  <c r="E33" i="52" s="1"/>
  <c r="I32" i="52"/>
  <c r="J32" i="52" s="1"/>
  <c r="G32" i="52"/>
  <c r="H32" i="52" s="1"/>
  <c r="D32" i="52"/>
  <c r="D31" i="52"/>
  <c r="E31" i="52" s="1"/>
  <c r="I30" i="52"/>
  <c r="G30" i="52"/>
  <c r="H30" i="52" s="1"/>
  <c r="D30" i="52"/>
  <c r="J29" i="52"/>
  <c r="G29" i="52"/>
  <c r="H29" i="52" s="1"/>
  <c r="D29" i="52"/>
  <c r="E29" i="52" s="1"/>
  <c r="J28" i="52"/>
  <c r="H28" i="52"/>
  <c r="E28" i="52"/>
  <c r="G27" i="52"/>
  <c r="H27" i="52" s="1"/>
  <c r="D27" i="52"/>
  <c r="E27" i="52" s="1"/>
  <c r="J26" i="52"/>
  <c r="H26" i="52"/>
  <c r="E26" i="52"/>
  <c r="J25" i="52"/>
  <c r="G25" i="52"/>
  <c r="H25" i="52" s="1"/>
  <c r="D25" i="52"/>
  <c r="G24" i="52"/>
  <c r="H24" i="52" s="1"/>
  <c r="J23" i="52"/>
  <c r="G23" i="52"/>
  <c r="H23" i="52" s="1"/>
  <c r="D23" i="52"/>
  <c r="E23" i="52" s="1"/>
  <c r="J22" i="52"/>
  <c r="H22" i="52"/>
  <c r="D21" i="52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D82" i="46"/>
  <c r="C82" i="46"/>
  <c r="B82" i="46"/>
  <c r="D79" i="46"/>
  <c r="C79" i="46"/>
  <c r="B79" i="46"/>
  <c r="D76" i="46"/>
  <c r="C76" i="46"/>
  <c r="B76" i="46"/>
  <c r="D73" i="46"/>
  <c r="C73" i="46"/>
  <c r="B73" i="46"/>
  <c r="D70" i="46"/>
  <c r="C70" i="46"/>
  <c r="B70" i="46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B55" i="49"/>
  <c r="G50" i="49"/>
  <c r="E50" i="49"/>
  <c r="D50" i="49"/>
  <c r="H49" i="49"/>
  <c r="F49" i="49"/>
  <c r="H48" i="49"/>
  <c r="F48" i="49"/>
  <c r="H47" i="49"/>
  <c r="F47" i="49"/>
  <c r="C34" i="49"/>
  <c r="C33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9" i="49"/>
  <c r="F26" i="27"/>
  <c r="O34" i="41" s="1"/>
  <c r="F25" i="27"/>
  <c r="F24" i="27"/>
  <c r="O32" i="41" s="1"/>
  <c r="F23" i="27"/>
  <c r="O31" i="41" s="1"/>
  <c r="F22" i="27"/>
  <c r="O30" i="41" s="1"/>
  <c r="F21" i="27"/>
  <c r="F20" i="27"/>
  <c r="O28" i="41" s="1"/>
  <c r="F19" i="27"/>
  <c r="O27" i="41" s="1"/>
  <c r="F18" i="27"/>
  <c r="O26" i="41" s="1"/>
  <c r="F17" i="27"/>
  <c r="O25" i="41" s="1"/>
  <c r="F16" i="27"/>
  <c r="O24" i="41" s="1"/>
  <c r="F15" i="27"/>
  <c r="O23" i="41" s="1"/>
  <c r="F14" i="27"/>
  <c r="F13" i="27"/>
  <c r="O21" i="41" s="1"/>
  <c r="F12" i="27"/>
  <c r="O20" i="41" s="1"/>
  <c r="F11" i="27"/>
  <c r="O19" i="41" s="1"/>
  <c r="F10" i="27"/>
  <c r="O18" i="41" s="1"/>
  <c r="F9" i="27"/>
  <c r="O17" i="41" s="1"/>
  <c r="F8" i="27"/>
  <c r="O16" i="41" s="1"/>
  <c r="F7" i="27"/>
  <c r="O15" i="41" s="1"/>
  <c r="F6" i="27"/>
  <c r="D7" i="27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C45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B5" i="5"/>
  <c r="B6" i="5" s="1"/>
  <c r="A5" i="5"/>
  <c r="A6" i="5" s="1"/>
  <c r="G15" i="4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N15" i="41"/>
  <c r="N16" i="41" s="1"/>
  <c r="N17" i="41" s="1"/>
  <c r="N18" i="41" s="1"/>
  <c r="N19" i="41" s="1"/>
  <c r="N20" i="41" s="1"/>
  <c r="N21" i="41" s="1"/>
  <c r="N22" i="41" s="1"/>
  <c r="N23" i="41" s="1"/>
  <c r="N24" i="41" s="1"/>
  <c r="N25" i="41" s="1"/>
  <c r="N26" i="41" s="1"/>
  <c r="N27" i="41" s="1"/>
  <c r="N28" i="41" s="1"/>
  <c r="N29" i="41" s="1"/>
  <c r="N30" i="41" s="1"/>
  <c r="N31" i="41" s="1"/>
  <c r="N32" i="41" s="1"/>
  <c r="N33" i="41" s="1"/>
  <c r="N34" i="41" s="1"/>
  <c r="N35" i="41" s="1"/>
  <c r="K14" i="4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D3" i="12"/>
  <c r="B3" i="12"/>
  <c r="C7" i="49" l="1"/>
  <c r="C16" i="49"/>
  <c r="C10" i="49"/>
  <c r="F10" i="49" s="1"/>
  <c r="C17" i="49"/>
  <c r="F50" i="49"/>
  <c r="F51" i="49" s="1"/>
  <c r="C18" i="49"/>
  <c r="F18" i="49" s="1"/>
  <c r="H25" i="41" s="1"/>
  <c r="O14" i="41"/>
  <c r="F28" i="27"/>
  <c r="J30" i="52"/>
  <c r="I44" i="52"/>
  <c r="C5" i="52"/>
  <c r="G5" i="52" s="1"/>
  <c r="C6" i="52"/>
  <c r="G6" i="52" s="1"/>
  <c r="E21" i="52"/>
  <c r="B11" i="52"/>
  <c r="F11" i="52" s="1"/>
  <c r="D104" i="52"/>
  <c r="C12" i="52"/>
  <c r="G12" i="52" s="1"/>
  <c r="E36" i="52"/>
  <c r="B5" i="52"/>
  <c r="F5" i="52" s="1"/>
  <c r="D116" i="52"/>
  <c r="C11" i="52"/>
  <c r="G11" i="52" s="1"/>
  <c r="E30" i="52"/>
  <c r="B6" i="52"/>
  <c r="F6" i="52" s="1"/>
  <c r="I6" i="52" s="1"/>
  <c r="E25" i="52"/>
  <c r="B10" i="52"/>
  <c r="F10" i="52" s="1"/>
  <c r="D106" i="52"/>
  <c r="C10" i="52"/>
  <c r="G10" i="52" s="1"/>
  <c r="D117" i="52"/>
  <c r="C15" i="52"/>
  <c r="E32" i="52"/>
  <c r="B12" i="52"/>
  <c r="F12" i="52" s="1"/>
  <c r="C44" i="39"/>
  <c r="C45" i="39"/>
  <c r="C41" i="39"/>
  <c r="C47" i="39"/>
  <c r="C39" i="39"/>
  <c r="C40" i="39"/>
  <c r="C42" i="39"/>
  <c r="C46" i="39"/>
  <c r="C49" i="39"/>
  <c r="C43" i="39"/>
  <c r="C48" i="39"/>
  <c r="D108" i="52"/>
  <c r="C9" i="52"/>
  <c r="E133" i="52"/>
  <c r="A7" i="5"/>
  <c r="A8" i="5" s="1"/>
  <c r="A9" i="5" s="1"/>
  <c r="B36" i="54"/>
  <c r="F102" i="52"/>
  <c r="F133" i="52" s="1"/>
  <c r="J27" i="52"/>
  <c r="J44" i="52" s="1"/>
  <c r="F94" i="52"/>
  <c r="C133" i="52"/>
  <c r="G133" i="52"/>
  <c r="H94" i="52"/>
  <c r="D101" i="52"/>
  <c r="H103" i="52"/>
  <c r="H133" i="52" s="1"/>
  <c r="D94" i="52"/>
  <c r="E97" i="55"/>
  <c r="C85" i="55"/>
  <c r="E85" i="55" s="1"/>
  <c r="F97" i="55"/>
  <c r="E74" i="55"/>
  <c r="F74" i="55"/>
  <c r="D85" i="55"/>
  <c r="F85" i="55" s="1"/>
  <c r="C20" i="49"/>
  <c r="F20" i="49" s="1"/>
  <c r="C23" i="49"/>
  <c r="F23" i="49" s="1"/>
  <c r="C13" i="49"/>
  <c r="F13" i="49" s="1"/>
  <c r="C26" i="49"/>
  <c r="F26" i="49" s="1"/>
  <c r="F16" i="49"/>
  <c r="C25" i="49"/>
  <c r="F25" i="49" s="1"/>
  <c r="C12" i="49"/>
  <c r="F12" i="49" s="1"/>
  <c r="C9" i="49"/>
  <c r="F9" i="49" s="1"/>
  <c r="C28" i="49"/>
  <c r="F28" i="49" s="1"/>
  <c r="C24" i="49"/>
  <c r="F24" i="49" s="1"/>
  <c r="C15" i="49"/>
  <c r="F15" i="49" s="1"/>
  <c r="C11" i="49"/>
  <c r="F11" i="49" s="1"/>
  <c r="C19" i="49"/>
  <c r="F19" i="49" s="1"/>
  <c r="C22" i="49"/>
  <c r="F22" i="49" s="1"/>
  <c r="F17" i="49"/>
  <c r="C21" i="49"/>
  <c r="F21" i="49" s="1"/>
  <c r="C27" i="49"/>
  <c r="F27" i="49" s="1"/>
  <c r="C8" i="49"/>
  <c r="C14" i="49"/>
  <c r="F14" i="49" s="1"/>
  <c r="O22" i="41"/>
  <c r="O33" i="41"/>
  <c r="O35" i="41"/>
  <c r="O29" i="41"/>
  <c r="A10" i="5"/>
  <c r="E29" i="49"/>
  <c r="H50" i="49"/>
  <c r="H51" i="49" s="1"/>
  <c r="E13" i="52"/>
  <c r="B6" i="61"/>
  <c r="H44" i="52"/>
  <c r="D118" i="52"/>
  <c r="E8" i="52"/>
  <c r="E14" i="52"/>
  <c r="I12" i="52" l="1"/>
  <c r="I10" i="52"/>
  <c r="I5" i="52"/>
  <c r="F16" i="52"/>
  <c r="G35" i="54" s="1"/>
  <c r="I11" i="52"/>
  <c r="E15" i="52"/>
  <c r="G15" i="52"/>
  <c r="I15" i="52" s="1"/>
  <c r="E9" i="52"/>
  <c r="G9" i="52"/>
  <c r="I9" i="52" s="1"/>
  <c r="E44" i="52"/>
  <c r="E12" i="52"/>
  <c r="C16" i="52"/>
  <c r="C6" i="61" s="1"/>
  <c r="G16" i="52"/>
  <c r="B16" i="52"/>
  <c r="E35" i="54" s="1"/>
  <c r="F35" i="54" s="1"/>
  <c r="C50" i="39"/>
  <c r="E5" i="52"/>
  <c r="D133" i="52"/>
  <c r="D34" i="54"/>
  <c r="D36" i="54" s="1"/>
  <c r="H16" i="52"/>
  <c r="E10" i="52"/>
  <c r="E6" i="61"/>
  <c r="B7" i="61"/>
  <c r="B6" i="55"/>
  <c r="E11" i="52"/>
  <c r="C36" i="54"/>
  <c r="E6" i="52"/>
  <c r="H35" i="41"/>
  <c r="H21" i="41"/>
  <c r="C29" i="49"/>
  <c r="H34" i="41"/>
  <c r="H17" i="41"/>
  <c r="H29" i="41"/>
  <c r="H20" i="41"/>
  <c r="H28" i="41"/>
  <c r="H24" i="41"/>
  <c r="H26" i="41"/>
  <c r="H30" i="41"/>
  <c r="F29" i="49"/>
  <c r="C2" i="49" s="1"/>
  <c r="H16" i="41"/>
  <c r="H32" i="41"/>
  <c r="H23" i="41"/>
  <c r="H18" i="41"/>
  <c r="H27" i="41"/>
  <c r="H19" i="41"/>
  <c r="H33" i="41"/>
  <c r="H22" i="41"/>
  <c r="A11" i="5"/>
  <c r="H31" i="41"/>
  <c r="D6" i="61" l="1"/>
  <c r="E16" i="52"/>
  <c r="E36" i="54"/>
  <c r="B8" i="61"/>
  <c r="E7" i="61"/>
  <c r="F36" i="54"/>
  <c r="C6" i="55"/>
  <c r="E6" i="55" s="1"/>
  <c r="F6" i="61"/>
  <c r="H6" i="61"/>
  <c r="C7" i="61"/>
  <c r="G36" i="54"/>
  <c r="B7" i="55"/>
  <c r="D6" i="55"/>
  <c r="I16" i="52"/>
  <c r="A12" i="5"/>
  <c r="B9" i="61" l="1"/>
  <c r="E8" i="61"/>
  <c r="I6" i="55"/>
  <c r="C7" i="55"/>
  <c r="E7" i="55" s="1"/>
  <c r="C8" i="55"/>
  <c r="E8" i="55" s="1"/>
  <c r="C29" i="55"/>
  <c r="E29" i="55" s="1"/>
  <c r="C26" i="55"/>
  <c r="E26" i="55" s="1"/>
  <c r="C31" i="55"/>
  <c r="E31" i="55" s="1"/>
  <c r="C17" i="55"/>
  <c r="E17" i="55" s="1"/>
  <c r="C10" i="55"/>
  <c r="E10" i="55" s="1"/>
  <c r="C13" i="55"/>
  <c r="E13" i="55" s="1"/>
  <c r="G6" i="55"/>
  <c r="C21" i="55"/>
  <c r="E21" i="55" s="1"/>
  <c r="C9" i="55"/>
  <c r="E9" i="55" s="1"/>
  <c r="C20" i="55"/>
  <c r="E20" i="55" s="1"/>
  <c r="C25" i="55"/>
  <c r="E25" i="55" s="1"/>
  <c r="C23" i="55"/>
  <c r="E23" i="55" s="1"/>
  <c r="C30" i="55"/>
  <c r="E30" i="55" s="1"/>
  <c r="C24" i="55"/>
  <c r="E24" i="55" s="1"/>
  <c r="C11" i="55"/>
  <c r="E11" i="55" s="1"/>
  <c r="C18" i="55"/>
  <c r="E18" i="55" s="1"/>
  <c r="C28" i="55"/>
  <c r="E28" i="55" s="1"/>
  <c r="C12" i="55"/>
  <c r="E12" i="55" s="1"/>
  <c r="C22" i="55"/>
  <c r="E22" i="55" s="1"/>
  <c r="C15" i="55"/>
  <c r="E15" i="55" s="1"/>
  <c r="C14" i="55"/>
  <c r="E14" i="55" s="1"/>
  <c r="C19" i="55"/>
  <c r="E19" i="55" s="1"/>
  <c r="F6" i="55"/>
  <c r="C27" i="55"/>
  <c r="E27" i="55" s="1"/>
  <c r="C16" i="55"/>
  <c r="E16" i="55" s="1"/>
  <c r="C8" i="61"/>
  <c r="F7" i="61"/>
  <c r="I6" i="61"/>
  <c r="D9" i="61"/>
  <c r="D20" i="61"/>
  <c r="D21" i="61"/>
  <c r="D24" i="61"/>
  <c r="G6" i="61"/>
  <c r="J6" i="61" s="1"/>
  <c r="D27" i="61"/>
  <c r="D22" i="61"/>
  <c r="D12" i="61"/>
  <c r="D30" i="61"/>
  <c r="D15" i="61"/>
  <c r="D11" i="61"/>
  <c r="D23" i="61"/>
  <c r="D18" i="61"/>
  <c r="D10" i="61"/>
  <c r="D31" i="61"/>
  <c r="D28" i="61"/>
  <c r="D7" i="61"/>
  <c r="D26" i="61"/>
  <c r="D8" i="61"/>
  <c r="D14" i="61"/>
  <c r="D25" i="61"/>
  <c r="D19" i="61"/>
  <c r="D13" i="61"/>
  <c r="D17" i="61"/>
  <c r="D29" i="61"/>
  <c r="D16" i="61"/>
  <c r="D7" i="55"/>
  <c r="B8" i="55"/>
  <c r="H6" i="55"/>
  <c r="A13" i="5"/>
  <c r="B10" i="61" l="1"/>
  <c r="E9" i="61"/>
  <c r="H7" i="55"/>
  <c r="G8" i="55"/>
  <c r="F8" i="55"/>
  <c r="K6" i="55"/>
  <c r="G7" i="55"/>
  <c r="F7" i="55"/>
  <c r="J6" i="55"/>
  <c r="K6" i="61"/>
  <c r="C9" i="61"/>
  <c r="I9" i="61" s="1"/>
  <c r="F8" i="61"/>
  <c r="G25" i="61"/>
  <c r="G30" i="61"/>
  <c r="G14" i="61"/>
  <c r="G12" i="61"/>
  <c r="G8" i="61"/>
  <c r="I8" i="61"/>
  <c r="H8" i="61"/>
  <c r="G22" i="61"/>
  <c r="G15" i="61"/>
  <c r="G26" i="61"/>
  <c r="G27" i="61"/>
  <c r="G19" i="61"/>
  <c r="H7" i="61"/>
  <c r="I7" i="61"/>
  <c r="G7" i="61"/>
  <c r="J7" i="61" s="1"/>
  <c r="G28" i="61"/>
  <c r="G24" i="61"/>
  <c r="G31" i="61"/>
  <c r="G21" i="61"/>
  <c r="G16" i="61"/>
  <c r="G10" i="61"/>
  <c r="G20" i="61"/>
  <c r="G29" i="61"/>
  <c r="G18" i="61"/>
  <c r="G9" i="61"/>
  <c r="G17" i="61"/>
  <c r="G23" i="61"/>
  <c r="G13" i="61"/>
  <c r="G11" i="61"/>
  <c r="M6" i="61"/>
  <c r="L6" i="61"/>
  <c r="D8" i="55"/>
  <c r="I8" i="55" s="1"/>
  <c r="B9" i="55"/>
  <c r="I7" i="55"/>
  <c r="A14" i="5"/>
  <c r="H8" i="55" l="1"/>
  <c r="J8" i="55"/>
  <c r="E10" i="61"/>
  <c r="B11" i="61"/>
  <c r="K8" i="55"/>
  <c r="H9" i="61"/>
  <c r="M9" i="61" s="1"/>
  <c r="K7" i="55"/>
  <c r="J7" i="55"/>
  <c r="J8" i="61"/>
  <c r="K8" i="61"/>
  <c r="K7" i="61"/>
  <c r="C10" i="61"/>
  <c r="F9" i="61"/>
  <c r="M7" i="61"/>
  <c r="L7" i="61"/>
  <c r="L8" i="61"/>
  <c r="M8" i="61"/>
  <c r="F9" i="55"/>
  <c r="G9" i="55"/>
  <c r="B10" i="55"/>
  <c r="D9" i="55"/>
  <c r="A15" i="5"/>
  <c r="E11" i="61" l="1"/>
  <c r="B12" i="61"/>
  <c r="L9" i="61"/>
  <c r="J9" i="61"/>
  <c r="K9" i="61"/>
  <c r="C11" i="61"/>
  <c r="F10" i="61"/>
  <c r="H10" i="61"/>
  <c r="I10" i="61"/>
  <c r="H9" i="55"/>
  <c r="I9" i="55"/>
  <c r="G10" i="55"/>
  <c r="B11" i="55"/>
  <c r="D10" i="55"/>
  <c r="F10" i="55"/>
  <c r="K9" i="55"/>
  <c r="J9" i="55"/>
  <c r="A16" i="5"/>
  <c r="E12" i="61" l="1"/>
  <c r="B13" i="61"/>
  <c r="J10" i="61"/>
  <c r="K10" i="61"/>
  <c r="M10" i="61"/>
  <c r="L10" i="61"/>
  <c r="C12" i="61"/>
  <c r="F11" i="61"/>
  <c r="H11" i="61"/>
  <c r="I11" i="61"/>
  <c r="H10" i="55"/>
  <c r="I10" i="55"/>
  <c r="K10" i="55"/>
  <c r="J10" i="55"/>
  <c r="D11" i="55"/>
  <c r="G11" i="55"/>
  <c r="B12" i="55"/>
  <c r="F11" i="55"/>
  <c r="A17" i="5"/>
  <c r="E13" i="61" l="1"/>
  <c r="B14" i="61"/>
  <c r="J11" i="61"/>
  <c r="K11" i="61"/>
  <c r="C13" i="61"/>
  <c r="F12" i="61"/>
  <c r="B6" i="62" s="1"/>
  <c r="I12" i="61"/>
  <c r="D6" i="62" s="1"/>
  <c r="H12" i="61"/>
  <c r="C6" i="62" s="1"/>
  <c r="L11" i="61"/>
  <c r="M11" i="61"/>
  <c r="F12" i="55"/>
  <c r="C6" i="39" s="1"/>
  <c r="D12" i="55"/>
  <c r="B6" i="39" s="1"/>
  <c r="B13" i="55"/>
  <c r="G12" i="55"/>
  <c r="D6" i="39" s="1"/>
  <c r="J11" i="55"/>
  <c r="K11" i="55"/>
  <c r="H11" i="55"/>
  <c r="I11" i="55"/>
  <c r="A18" i="5"/>
  <c r="E6" i="39" l="1"/>
  <c r="F6" i="39" s="1"/>
  <c r="B6" i="46"/>
  <c r="E14" i="61"/>
  <c r="B15" i="61"/>
  <c r="J12" i="61"/>
  <c r="K12" i="61"/>
  <c r="M12" i="61"/>
  <c r="L12" i="61"/>
  <c r="C14" i="61"/>
  <c r="F13" i="61"/>
  <c r="B7" i="62" s="1"/>
  <c r="I13" i="61"/>
  <c r="D7" i="62" s="1"/>
  <c r="H13" i="61"/>
  <c r="C7" i="62" s="1"/>
  <c r="D6" i="46"/>
  <c r="I12" i="55"/>
  <c r="H12" i="55"/>
  <c r="B14" i="55"/>
  <c r="D13" i="55"/>
  <c r="F13" i="55"/>
  <c r="G13" i="55"/>
  <c r="J12" i="55"/>
  <c r="K12" i="55"/>
  <c r="C6" i="46"/>
  <c r="A19" i="5"/>
  <c r="E15" i="61" l="1"/>
  <c r="B16" i="61"/>
  <c r="N12" i="61"/>
  <c r="J13" i="61"/>
  <c r="K13" i="61"/>
  <c r="L13" i="61"/>
  <c r="M13" i="61"/>
  <c r="C15" i="61"/>
  <c r="F14" i="61"/>
  <c r="B8" i="62" s="1"/>
  <c r="H14" i="61"/>
  <c r="C8" i="62" s="1"/>
  <c r="I14" i="61"/>
  <c r="D8" i="62" s="1"/>
  <c r="E6" i="62"/>
  <c r="J6" i="62" s="1"/>
  <c r="H6" i="62"/>
  <c r="F6" i="62"/>
  <c r="G6" i="62"/>
  <c r="B7" i="39"/>
  <c r="B7" i="46"/>
  <c r="H13" i="55"/>
  <c r="I13" i="55"/>
  <c r="D7" i="46"/>
  <c r="D7" i="39"/>
  <c r="F14" i="55"/>
  <c r="G14" i="55"/>
  <c r="D14" i="55"/>
  <c r="B15" i="55"/>
  <c r="H6" i="46"/>
  <c r="E6" i="46"/>
  <c r="F6" i="46"/>
  <c r="G6" i="46"/>
  <c r="C7" i="39"/>
  <c r="C7" i="46"/>
  <c r="K13" i="55"/>
  <c r="J13" i="55"/>
  <c r="A20" i="5"/>
  <c r="J38" i="56" l="1"/>
  <c r="L13" i="55"/>
  <c r="B9" i="54" s="1"/>
  <c r="E16" i="61"/>
  <c r="B17" i="61"/>
  <c r="K15" i="41"/>
  <c r="E7" i="39"/>
  <c r="F7" i="39" s="1"/>
  <c r="G7" i="39" s="1"/>
  <c r="D9" i="54" s="1"/>
  <c r="O12" i="61"/>
  <c r="J14" i="61"/>
  <c r="K14" i="61"/>
  <c r="I6" i="62"/>
  <c r="K38" i="56" s="1"/>
  <c r="L6" i="62"/>
  <c r="M14" i="61"/>
  <c r="L14" i="61"/>
  <c r="N13" i="61"/>
  <c r="J39" i="56" s="1"/>
  <c r="C16" i="61"/>
  <c r="F15" i="61"/>
  <c r="B9" i="62" s="1"/>
  <c r="H15" i="61"/>
  <c r="C9" i="62" s="1"/>
  <c r="I15" i="61"/>
  <c r="D9" i="62" s="1"/>
  <c r="H7" i="62"/>
  <c r="F7" i="62"/>
  <c r="E7" i="62"/>
  <c r="J7" i="62" s="1"/>
  <c r="L7" i="62" s="1"/>
  <c r="G7" i="62"/>
  <c r="B16" i="55"/>
  <c r="D15" i="55"/>
  <c r="F15" i="55"/>
  <c r="G15" i="55"/>
  <c r="H7" i="46"/>
  <c r="G7" i="46"/>
  <c r="F7" i="46"/>
  <c r="E7" i="46"/>
  <c r="J7" i="46" s="1"/>
  <c r="B8" i="39"/>
  <c r="B8" i="46"/>
  <c r="I14" i="55"/>
  <c r="H14" i="55"/>
  <c r="D8" i="39"/>
  <c r="D8" i="46"/>
  <c r="K14" i="55"/>
  <c r="J14" i="55"/>
  <c r="C8" i="46"/>
  <c r="C8" i="39"/>
  <c r="A21" i="5"/>
  <c r="L38" i="56" l="1"/>
  <c r="C8" i="56" s="1"/>
  <c r="I7" i="46"/>
  <c r="K7" i="46" s="1"/>
  <c r="C9" i="54" s="1"/>
  <c r="E9" i="54" s="1"/>
  <c r="J17" i="41" s="1"/>
  <c r="E17" i="61"/>
  <c r="B18" i="61"/>
  <c r="H7" i="39"/>
  <c r="K6" i="62"/>
  <c r="E8" i="39"/>
  <c r="F8" i="39" s="1"/>
  <c r="G8" i="39" s="1"/>
  <c r="D10" i="54" s="1"/>
  <c r="N14" i="61"/>
  <c r="J15" i="61"/>
  <c r="K15" i="61"/>
  <c r="L15" i="61"/>
  <c r="M15" i="61"/>
  <c r="C17" i="61"/>
  <c r="F16" i="61"/>
  <c r="B10" i="62" s="1"/>
  <c r="H16" i="61"/>
  <c r="C10" i="62" s="1"/>
  <c r="I16" i="61"/>
  <c r="D10" i="62" s="1"/>
  <c r="E8" i="62"/>
  <c r="J8" i="62" s="1"/>
  <c r="L8" i="62" s="1"/>
  <c r="H8" i="62"/>
  <c r="G8" i="62"/>
  <c r="F8" i="62"/>
  <c r="O13" i="61"/>
  <c r="I7" i="62"/>
  <c r="K39" i="56" s="1"/>
  <c r="L39" i="56" s="1"/>
  <c r="H8" i="46"/>
  <c r="E8" i="46"/>
  <c r="J8" i="46" s="1"/>
  <c r="F8" i="46"/>
  <c r="G8" i="46"/>
  <c r="L14" i="55"/>
  <c r="D9" i="46"/>
  <c r="D9" i="39"/>
  <c r="J15" i="55"/>
  <c r="C9" i="39"/>
  <c r="K15" i="55"/>
  <c r="C9" i="46"/>
  <c r="B9" i="39"/>
  <c r="B9" i="46"/>
  <c r="I15" i="55"/>
  <c r="H15" i="55"/>
  <c r="D16" i="55"/>
  <c r="F16" i="55"/>
  <c r="B17" i="55"/>
  <c r="G16" i="55"/>
  <c r="A22" i="5"/>
  <c r="B8" i="56" l="1"/>
  <c r="D8" i="56" s="1"/>
  <c r="E8" i="56" s="1"/>
  <c r="B10" i="54"/>
  <c r="B19" i="61"/>
  <c r="E18" i="61"/>
  <c r="H8" i="39"/>
  <c r="E9" i="39"/>
  <c r="F9" i="39" s="1"/>
  <c r="G9" i="39" s="1"/>
  <c r="D11" i="54" s="1"/>
  <c r="B9" i="56"/>
  <c r="C9" i="56"/>
  <c r="O14" i="61"/>
  <c r="J40" i="56"/>
  <c r="J16" i="61"/>
  <c r="K16" i="61"/>
  <c r="I8" i="62"/>
  <c r="C18" i="61"/>
  <c r="F17" i="61"/>
  <c r="B11" i="62" s="1"/>
  <c r="H17" i="61"/>
  <c r="C11" i="62" s="1"/>
  <c r="I17" i="61"/>
  <c r="D11" i="62" s="1"/>
  <c r="L16" i="61"/>
  <c r="M16" i="61"/>
  <c r="K7" i="62"/>
  <c r="N15" i="61"/>
  <c r="J41" i="56" s="1"/>
  <c r="H9" i="62"/>
  <c r="G9" i="62"/>
  <c r="F9" i="62"/>
  <c r="E9" i="62"/>
  <c r="J9" i="62" s="1"/>
  <c r="L9" i="62" s="1"/>
  <c r="I8" i="46"/>
  <c r="C10" i="39"/>
  <c r="C10" i="46"/>
  <c r="K16" i="55"/>
  <c r="J16" i="55"/>
  <c r="B10" i="39"/>
  <c r="B10" i="46"/>
  <c r="H16" i="55"/>
  <c r="I16" i="55"/>
  <c r="H9" i="46"/>
  <c r="F9" i="46"/>
  <c r="G9" i="46"/>
  <c r="E9" i="46"/>
  <c r="J9" i="46" s="1"/>
  <c r="G17" i="55"/>
  <c r="B18" i="55"/>
  <c r="F17" i="55"/>
  <c r="D17" i="55"/>
  <c r="L15" i="55"/>
  <c r="D10" i="46"/>
  <c r="D10" i="39"/>
  <c r="A23" i="5"/>
  <c r="I16" i="41" l="1"/>
  <c r="K16" i="41" s="1"/>
  <c r="L16" i="41" s="1"/>
  <c r="B11" i="54"/>
  <c r="E19" i="61"/>
  <c r="B20" i="61"/>
  <c r="H9" i="39"/>
  <c r="D9" i="56"/>
  <c r="E10" i="39"/>
  <c r="F10" i="39" s="1"/>
  <c r="G10" i="39" s="1"/>
  <c r="D12" i="54" s="1"/>
  <c r="K8" i="62"/>
  <c r="K40" i="56"/>
  <c r="L40" i="56" s="1"/>
  <c r="K17" i="61"/>
  <c r="J17" i="61"/>
  <c r="I9" i="62"/>
  <c r="N16" i="61"/>
  <c r="M17" i="61"/>
  <c r="L17" i="61"/>
  <c r="C19" i="61"/>
  <c r="F18" i="61"/>
  <c r="B12" i="62" s="1"/>
  <c r="H18" i="61"/>
  <c r="C12" i="62" s="1"/>
  <c r="I18" i="61"/>
  <c r="D12" i="62" s="1"/>
  <c r="F10" i="62"/>
  <c r="E10" i="62"/>
  <c r="J10" i="62" s="1"/>
  <c r="H10" i="62"/>
  <c r="G10" i="62"/>
  <c r="O15" i="61"/>
  <c r="L16" i="55"/>
  <c r="I9" i="46"/>
  <c r="B11" i="39"/>
  <c r="B11" i="46"/>
  <c r="H17" i="55"/>
  <c r="I17" i="55"/>
  <c r="C11" i="39"/>
  <c r="C11" i="46"/>
  <c r="K17" i="55"/>
  <c r="J17" i="55"/>
  <c r="B19" i="55"/>
  <c r="D18" i="55"/>
  <c r="F18" i="55"/>
  <c r="G18" i="55"/>
  <c r="G10" i="46"/>
  <c r="E10" i="46"/>
  <c r="J10" i="46" s="1"/>
  <c r="H10" i="46"/>
  <c r="F10" i="46"/>
  <c r="D11" i="39"/>
  <c r="D11" i="46"/>
  <c r="A24" i="5"/>
  <c r="I17" i="41" l="1"/>
  <c r="E9" i="56"/>
  <c r="B12" i="54"/>
  <c r="B21" i="61"/>
  <c r="E20" i="61"/>
  <c r="H10" i="39"/>
  <c r="E11" i="39"/>
  <c r="F11" i="39" s="1"/>
  <c r="G11" i="39" s="1"/>
  <c r="D13" i="54" s="1"/>
  <c r="B10" i="56"/>
  <c r="C10" i="56"/>
  <c r="K9" i="62"/>
  <c r="K41" i="56"/>
  <c r="L41" i="56" s="1"/>
  <c r="O16" i="61"/>
  <c r="J42" i="56"/>
  <c r="J18" i="61"/>
  <c r="K18" i="61"/>
  <c r="I10" i="62"/>
  <c r="L10" i="62"/>
  <c r="M18" i="61"/>
  <c r="L18" i="61"/>
  <c r="C20" i="61"/>
  <c r="F19" i="61"/>
  <c r="B13" i="62" s="1"/>
  <c r="I19" i="61"/>
  <c r="D13" i="62" s="1"/>
  <c r="H19" i="61"/>
  <c r="C13" i="62" s="1"/>
  <c r="N17" i="61"/>
  <c r="J43" i="56" s="1"/>
  <c r="F11" i="62"/>
  <c r="H11" i="62"/>
  <c r="G11" i="62"/>
  <c r="E11" i="62"/>
  <c r="J11" i="62" s="1"/>
  <c r="L11" i="62" s="1"/>
  <c r="I10" i="46"/>
  <c r="L17" i="55"/>
  <c r="D19" i="55"/>
  <c r="F19" i="55"/>
  <c r="G19" i="55"/>
  <c r="B20" i="55"/>
  <c r="B12" i="39"/>
  <c r="B12" i="46"/>
  <c r="H18" i="55"/>
  <c r="I18" i="55"/>
  <c r="H11" i="46"/>
  <c r="F11" i="46"/>
  <c r="G11" i="46"/>
  <c r="E11" i="46"/>
  <c r="J11" i="46" s="1"/>
  <c r="D12" i="39"/>
  <c r="D12" i="46"/>
  <c r="J18" i="55"/>
  <c r="C12" i="39"/>
  <c r="K18" i="55"/>
  <c r="C12" i="46"/>
  <c r="A25" i="5"/>
  <c r="B13" i="54" l="1"/>
  <c r="E21" i="61"/>
  <c r="B22" i="61"/>
  <c r="H11" i="39"/>
  <c r="E12" i="39"/>
  <c r="F12" i="39" s="1"/>
  <c r="G12" i="39" s="1"/>
  <c r="D14" i="54" s="1"/>
  <c r="C11" i="56"/>
  <c r="B11" i="56"/>
  <c r="D10" i="56"/>
  <c r="K10" i="62"/>
  <c r="K42" i="56"/>
  <c r="L42" i="56" s="1"/>
  <c r="K19" i="61"/>
  <c r="J19" i="61"/>
  <c r="O17" i="61"/>
  <c r="C21" i="61"/>
  <c r="F20" i="61"/>
  <c r="B14" i="62" s="1"/>
  <c r="H20" i="61"/>
  <c r="C14" i="62" s="1"/>
  <c r="I20" i="61"/>
  <c r="D14" i="62" s="1"/>
  <c r="F12" i="62"/>
  <c r="E12" i="62"/>
  <c r="J12" i="62" s="1"/>
  <c r="L12" i="62" s="1"/>
  <c r="H12" i="62"/>
  <c r="G12" i="62"/>
  <c r="N18" i="61"/>
  <c r="I11" i="62"/>
  <c r="K43" i="56" s="1"/>
  <c r="L43" i="56" s="1"/>
  <c r="M19" i="61"/>
  <c r="L19" i="61"/>
  <c r="I11" i="46"/>
  <c r="L18" i="55"/>
  <c r="K19" i="55"/>
  <c r="J19" i="55"/>
  <c r="C13" i="46"/>
  <c r="C13" i="39"/>
  <c r="G12" i="46"/>
  <c r="E12" i="46"/>
  <c r="J12" i="46" s="1"/>
  <c r="F12" i="46"/>
  <c r="H12" i="46"/>
  <c r="D20" i="55"/>
  <c r="B21" i="55"/>
  <c r="G20" i="55"/>
  <c r="F20" i="55"/>
  <c r="D13" i="39"/>
  <c r="D13" i="46"/>
  <c r="B13" i="39"/>
  <c r="B13" i="46"/>
  <c r="I19" i="55"/>
  <c r="H19" i="55"/>
  <c r="A26" i="5"/>
  <c r="I18" i="41" l="1"/>
  <c r="E10" i="56"/>
  <c r="B14" i="54"/>
  <c r="E22" i="61"/>
  <c r="B23" i="61"/>
  <c r="H12" i="39"/>
  <c r="E13" i="39"/>
  <c r="F13" i="39" s="1"/>
  <c r="G13" i="39" s="1"/>
  <c r="D15" i="54" s="1"/>
  <c r="D11" i="56"/>
  <c r="C13" i="56"/>
  <c r="B13" i="56"/>
  <c r="C12" i="56"/>
  <c r="B12" i="56"/>
  <c r="N19" i="61"/>
  <c r="O19" i="61" s="1"/>
  <c r="O18" i="61"/>
  <c r="J44" i="56"/>
  <c r="K20" i="61"/>
  <c r="J20" i="61"/>
  <c r="I12" i="62"/>
  <c r="L20" i="61"/>
  <c r="M20" i="61"/>
  <c r="F13" i="62"/>
  <c r="H13" i="62"/>
  <c r="E13" i="62"/>
  <c r="J13" i="62" s="1"/>
  <c r="L13" i="62" s="1"/>
  <c r="G13" i="62"/>
  <c r="C22" i="61"/>
  <c r="F21" i="61"/>
  <c r="B15" i="62" s="1"/>
  <c r="I21" i="61"/>
  <c r="D15" i="62" s="1"/>
  <c r="H21" i="61"/>
  <c r="C15" i="62" s="1"/>
  <c r="K11" i="62"/>
  <c r="H13" i="46"/>
  <c r="E13" i="46"/>
  <c r="J13" i="46" s="1"/>
  <c r="G13" i="46"/>
  <c r="F13" i="46"/>
  <c r="B14" i="39"/>
  <c r="B14" i="46"/>
  <c r="H20" i="55"/>
  <c r="I20" i="55"/>
  <c r="L19" i="55"/>
  <c r="C14" i="39"/>
  <c r="C14" i="46"/>
  <c r="J20" i="55"/>
  <c r="K20" i="55"/>
  <c r="I12" i="46"/>
  <c r="D14" i="39"/>
  <c r="D14" i="46"/>
  <c r="G21" i="55"/>
  <c r="F21" i="55"/>
  <c r="B22" i="55"/>
  <c r="D21" i="55"/>
  <c r="A27" i="5"/>
  <c r="I19" i="41" l="1"/>
  <c r="E11" i="56"/>
  <c r="B15" i="54"/>
  <c r="E23" i="61"/>
  <c r="B24" i="61"/>
  <c r="D12" i="56"/>
  <c r="E12" i="56" s="1"/>
  <c r="D13" i="56"/>
  <c r="H13" i="39"/>
  <c r="E14" i="39"/>
  <c r="F14" i="39" s="1"/>
  <c r="G14" i="39" s="1"/>
  <c r="D16" i="54" s="1"/>
  <c r="J45" i="56"/>
  <c r="K12" i="62"/>
  <c r="K44" i="56"/>
  <c r="L44" i="56" s="1"/>
  <c r="I13" i="46"/>
  <c r="J21" i="61"/>
  <c r="K21" i="61"/>
  <c r="C23" i="61"/>
  <c r="F22" i="61"/>
  <c r="B16" i="62" s="1"/>
  <c r="H22" i="61"/>
  <c r="C16" i="62" s="1"/>
  <c r="I22" i="61"/>
  <c r="D16" i="62" s="1"/>
  <c r="L21" i="61"/>
  <c r="M21" i="61"/>
  <c r="I13" i="62"/>
  <c r="K45" i="56" s="1"/>
  <c r="H14" i="62"/>
  <c r="G14" i="62"/>
  <c r="F14" i="62"/>
  <c r="E14" i="62"/>
  <c r="J14" i="62" s="1"/>
  <c r="L14" i="62" s="1"/>
  <c r="N20" i="61"/>
  <c r="J21" i="55"/>
  <c r="C15" i="39"/>
  <c r="C15" i="46"/>
  <c r="K21" i="55"/>
  <c r="B23" i="55"/>
  <c r="F22" i="55"/>
  <c r="G22" i="55"/>
  <c r="D22" i="55"/>
  <c r="F14" i="46"/>
  <c r="G14" i="46"/>
  <c r="E14" i="46"/>
  <c r="J14" i="46" s="1"/>
  <c r="H14" i="46"/>
  <c r="B15" i="39"/>
  <c r="B15" i="46"/>
  <c r="H21" i="55"/>
  <c r="I21" i="55"/>
  <c r="D15" i="39"/>
  <c r="D15" i="46"/>
  <c r="L20" i="55"/>
  <c r="A28" i="5"/>
  <c r="I21" i="41" l="1"/>
  <c r="E13" i="56"/>
  <c r="I20" i="41"/>
  <c r="B16" i="54"/>
  <c r="E24" i="61"/>
  <c r="B25" i="61"/>
  <c r="H14" i="39"/>
  <c r="E15" i="39"/>
  <c r="F15" i="39" s="1"/>
  <c r="G15" i="39" s="1"/>
  <c r="D17" i="54" s="1"/>
  <c r="C14" i="56"/>
  <c r="B14" i="56"/>
  <c r="L45" i="56"/>
  <c r="O20" i="61"/>
  <c r="J46" i="56"/>
  <c r="J22" i="61"/>
  <c r="K22" i="61"/>
  <c r="I14" i="62"/>
  <c r="M22" i="61"/>
  <c r="L22" i="61"/>
  <c r="E15" i="62"/>
  <c r="J15" i="62" s="1"/>
  <c r="L15" i="62" s="1"/>
  <c r="H15" i="62"/>
  <c r="F15" i="62"/>
  <c r="G15" i="62"/>
  <c r="K13" i="62"/>
  <c r="N21" i="61"/>
  <c r="C24" i="61"/>
  <c r="F23" i="61"/>
  <c r="B17" i="62" s="1"/>
  <c r="I23" i="61"/>
  <c r="D17" i="62" s="1"/>
  <c r="H23" i="61"/>
  <c r="C17" i="62" s="1"/>
  <c r="D23" i="55"/>
  <c r="G23" i="55"/>
  <c r="F23" i="55"/>
  <c r="B24" i="55"/>
  <c r="B16" i="39"/>
  <c r="B16" i="46"/>
  <c r="H22" i="55"/>
  <c r="I22" i="55"/>
  <c r="I14" i="46"/>
  <c r="H15" i="46"/>
  <c r="F15" i="46"/>
  <c r="E15" i="46"/>
  <c r="J15" i="46" s="1"/>
  <c r="G15" i="46"/>
  <c r="C16" i="39"/>
  <c r="C16" i="46"/>
  <c r="K22" i="55"/>
  <c r="J22" i="55"/>
  <c r="D16" i="39"/>
  <c r="D16" i="46"/>
  <c r="L21" i="55"/>
  <c r="A29" i="5"/>
  <c r="B17" i="54" l="1"/>
  <c r="E25" i="61"/>
  <c r="B26" i="61"/>
  <c r="H15" i="39"/>
  <c r="E16" i="39"/>
  <c r="F16" i="39" s="1"/>
  <c r="G16" i="39" s="1"/>
  <c r="D18" i="54" s="1"/>
  <c r="N22" i="61"/>
  <c r="J48" i="56" s="1"/>
  <c r="D14" i="56"/>
  <c r="B15" i="56"/>
  <c r="C15" i="56"/>
  <c r="K14" i="62"/>
  <c r="K46" i="56"/>
  <c r="L46" i="56" s="1"/>
  <c r="O21" i="61"/>
  <c r="J47" i="56"/>
  <c r="J23" i="61"/>
  <c r="K23" i="61"/>
  <c r="C25" i="61"/>
  <c r="F24" i="61"/>
  <c r="B18" i="62" s="1"/>
  <c r="H24" i="61"/>
  <c r="C18" i="62" s="1"/>
  <c r="I24" i="61"/>
  <c r="D18" i="62" s="1"/>
  <c r="I15" i="62"/>
  <c r="M23" i="61"/>
  <c r="L23" i="61"/>
  <c r="H16" i="62"/>
  <c r="F16" i="62"/>
  <c r="E16" i="62"/>
  <c r="J16" i="62" s="1"/>
  <c r="L16" i="62" s="1"/>
  <c r="G16" i="62"/>
  <c r="I15" i="46"/>
  <c r="G16" i="46"/>
  <c r="E16" i="46"/>
  <c r="J16" i="46" s="1"/>
  <c r="H16" i="46"/>
  <c r="F16" i="46"/>
  <c r="L22" i="55"/>
  <c r="F24" i="55"/>
  <c r="B25" i="55"/>
  <c r="D24" i="55"/>
  <c r="G24" i="55"/>
  <c r="D17" i="39"/>
  <c r="D17" i="46"/>
  <c r="K23" i="55"/>
  <c r="J23" i="55"/>
  <c r="C17" i="39"/>
  <c r="C17" i="46"/>
  <c r="B17" i="39"/>
  <c r="B17" i="46"/>
  <c r="H23" i="55"/>
  <c r="I23" i="55"/>
  <c r="A30" i="5"/>
  <c r="I22" i="41" l="1"/>
  <c r="E14" i="56"/>
  <c r="B18" i="54"/>
  <c r="E26" i="61"/>
  <c r="B27" i="61"/>
  <c r="H16" i="39"/>
  <c r="O22" i="61"/>
  <c r="E17" i="39"/>
  <c r="F17" i="39" s="1"/>
  <c r="G17" i="39" s="1"/>
  <c r="D19" i="54" s="1"/>
  <c r="C16" i="56"/>
  <c r="B16" i="56"/>
  <c r="D15" i="56"/>
  <c r="K15" i="62"/>
  <c r="K47" i="56"/>
  <c r="L47" i="56" s="1"/>
  <c r="N23" i="61"/>
  <c r="I16" i="46"/>
  <c r="J24" i="61"/>
  <c r="K24" i="61"/>
  <c r="I16" i="62"/>
  <c r="G17" i="62"/>
  <c r="F17" i="62"/>
  <c r="E17" i="62"/>
  <c r="J17" i="62" s="1"/>
  <c r="L17" i="62" s="1"/>
  <c r="H17" i="62"/>
  <c r="L24" i="61"/>
  <c r="M24" i="61"/>
  <c r="C26" i="61"/>
  <c r="F25" i="61"/>
  <c r="B19" i="62" s="1"/>
  <c r="H25" i="61"/>
  <c r="C19" i="62" s="1"/>
  <c r="I25" i="61"/>
  <c r="D19" i="62" s="1"/>
  <c r="K24" i="55"/>
  <c r="C18" i="39"/>
  <c r="C18" i="46"/>
  <c r="J24" i="55"/>
  <c r="D18" i="39"/>
  <c r="D18" i="46"/>
  <c r="B26" i="55"/>
  <c r="D25" i="55"/>
  <c r="F25" i="55"/>
  <c r="G25" i="55"/>
  <c r="H17" i="46"/>
  <c r="G17" i="46"/>
  <c r="F17" i="46"/>
  <c r="E17" i="46"/>
  <c r="J17" i="46" s="1"/>
  <c r="L23" i="55"/>
  <c r="B18" i="39"/>
  <c r="B18" i="46"/>
  <c r="H24" i="55"/>
  <c r="I24" i="55"/>
  <c r="A31" i="5"/>
  <c r="I23" i="41" l="1"/>
  <c r="E15" i="56"/>
  <c r="B19" i="54"/>
  <c r="E27" i="61"/>
  <c r="B28" i="61"/>
  <c r="H17" i="39"/>
  <c r="E18" i="39"/>
  <c r="F18" i="39" s="1"/>
  <c r="G18" i="39" s="1"/>
  <c r="D20" i="54" s="1"/>
  <c r="D16" i="56"/>
  <c r="B17" i="56"/>
  <c r="C17" i="56"/>
  <c r="K16" i="62"/>
  <c r="K48" i="56"/>
  <c r="L48" i="56" s="1"/>
  <c r="O23" i="61"/>
  <c r="J49" i="56"/>
  <c r="J25" i="61"/>
  <c r="K25" i="61"/>
  <c r="L25" i="61"/>
  <c r="M25" i="61"/>
  <c r="C27" i="61"/>
  <c r="F26" i="61"/>
  <c r="B20" i="62" s="1"/>
  <c r="H26" i="61"/>
  <c r="C20" i="62" s="1"/>
  <c r="I26" i="61"/>
  <c r="D20" i="62" s="1"/>
  <c r="G18" i="62"/>
  <c r="F18" i="62"/>
  <c r="E18" i="62"/>
  <c r="J18" i="62" s="1"/>
  <c r="L18" i="62" s="1"/>
  <c r="H18" i="62"/>
  <c r="I17" i="62"/>
  <c r="N24" i="61"/>
  <c r="D19" i="39"/>
  <c r="D19" i="46"/>
  <c r="B19" i="39"/>
  <c r="B19" i="46"/>
  <c r="I25" i="55"/>
  <c r="H25" i="55"/>
  <c r="C19" i="46"/>
  <c r="K25" i="55"/>
  <c r="J25" i="55"/>
  <c r="C19" i="39"/>
  <c r="H18" i="46"/>
  <c r="E18" i="46"/>
  <c r="J18" i="46" s="1"/>
  <c r="G18" i="46"/>
  <c r="F18" i="46"/>
  <c r="I17" i="46"/>
  <c r="B27" i="55"/>
  <c r="D26" i="55"/>
  <c r="F26" i="55"/>
  <c r="G26" i="55"/>
  <c r="L24" i="55"/>
  <c r="A32" i="5"/>
  <c r="I24" i="41" l="1"/>
  <c r="E16" i="56"/>
  <c r="B20" i="54"/>
  <c r="E28" i="61"/>
  <c r="B29" i="61"/>
  <c r="H18" i="39"/>
  <c r="E19" i="39"/>
  <c r="F19" i="39" s="1"/>
  <c r="G19" i="39" s="1"/>
  <c r="D21" i="54" s="1"/>
  <c r="B18" i="56"/>
  <c r="C18" i="56"/>
  <c r="D17" i="56"/>
  <c r="K17" i="62"/>
  <c r="K49" i="56"/>
  <c r="L49" i="56" s="1"/>
  <c r="O24" i="61"/>
  <c r="J50" i="56"/>
  <c r="J26" i="61"/>
  <c r="K26" i="61"/>
  <c r="C28" i="61"/>
  <c r="F27" i="61"/>
  <c r="B21" i="62" s="1"/>
  <c r="I27" i="61"/>
  <c r="D21" i="62" s="1"/>
  <c r="H27" i="61"/>
  <c r="C21" i="62" s="1"/>
  <c r="H19" i="62"/>
  <c r="E19" i="62"/>
  <c r="J19" i="62" s="1"/>
  <c r="L19" i="62" s="1"/>
  <c r="F19" i="62"/>
  <c r="G19" i="62"/>
  <c r="M26" i="61"/>
  <c r="L26" i="61"/>
  <c r="I18" i="62"/>
  <c r="N25" i="61"/>
  <c r="L25" i="55"/>
  <c r="D20" i="46"/>
  <c r="D20" i="39"/>
  <c r="C20" i="39"/>
  <c r="C20" i="46"/>
  <c r="K26" i="55"/>
  <c r="J26" i="55"/>
  <c r="B20" i="39"/>
  <c r="B20" i="46"/>
  <c r="I26" i="55"/>
  <c r="H26" i="55"/>
  <c r="F27" i="55"/>
  <c r="B28" i="55"/>
  <c r="D27" i="55"/>
  <c r="G27" i="55"/>
  <c r="H19" i="46"/>
  <c r="E19" i="46"/>
  <c r="J19" i="46" s="1"/>
  <c r="G19" i="46"/>
  <c r="F19" i="46"/>
  <c r="I18" i="46"/>
  <c r="A33" i="5"/>
  <c r="I25" i="41" l="1"/>
  <c r="E17" i="56"/>
  <c r="B21" i="54"/>
  <c r="E29" i="61"/>
  <c r="B30" i="61"/>
  <c r="H19" i="39"/>
  <c r="E20" i="39"/>
  <c r="F20" i="39" s="1"/>
  <c r="G20" i="39" s="1"/>
  <c r="D22" i="54" s="1"/>
  <c r="C19" i="56"/>
  <c r="B19" i="56"/>
  <c r="D18" i="56"/>
  <c r="K18" i="62"/>
  <c r="K50" i="56"/>
  <c r="L50" i="56" s="1"/>
  <c r="O25" i="61"/>
  <c r="J51" i="56"/>
  <c r="N26" i="61"/>
  <c r="J27" i="61"/>
  <c r="K27" i="61"/>
  <c r="G20" i="62"/>
  <c r="F20" i="62"/>
  <c r="H20" i="62"/>
  <c r="E20" i="62"/>
  <c r="J20" i="62" s="1"/>
  <c r="L20" i="62" s="1"/>
  <c r="I19" i="62"/>
  <c r="M27" i="61"/>
  <c r="L27" i="61"/>
  <c r="C29" i="61"/>
  <c r="F28" i="61"/>
  <c r="B22" i="62" s="1"/>
  <c r="H28" i="61"/>
  <c r="C22" i="62" s="1"/>
  <c r="I28" i="61"/>
  <c r="D22" i="62" s="1"/>
  <c r="I19" i="46"/>
  <c r="D28" i="55"/>
  <c r="F28" i="55"/>
  <c r="G28" i="55"/>
  <c r="B29" i="55"/>
  <c r="C21" i="46"/>
  <c r="K27" i="55"/>
  <c r="C21" i="39"/>
  <c r="J27" i="55"/>
  <c r="D21" i="39"/>
  <c r="D21" i="46"/>
  <c r="L26" i="55"/>
  <c r="H20" i="46"/>
  <c r="F20" i="46"/>
  <c r="E20" i="46"/>
  <c r="J20" i="46" s="1"/>
  <c r="G20" i="46"/>
  <c r="B21" i="39"/>
  <c r="B21" i="46"/>
  <c r="I27" i="55"/>
  <c r="H27" i="55"/>
  <c r="A34" i="5"/>
  <c r="I26" i="41" l="1"/>
  <c r="E18" i="56"/>
  <c r="B22" i="54"/>
  <c r="B31" i="61"/>
  <c r="E31" i="61" s="1"/>
  <c r="E30" i="61"/>
  <c r="D19" i="56"/>
  <c r="E19" i="56" s="1"/>
  <c r="H20" i="39"/>
  <c r="E21" i="39"/>
  <c r="F21" i="39" s="1"/>
  <c r="G21" i="39" s="1"/>
  <c r="D23" i="54" s="1"/>
  <c r="B20" i="56"/>
  <c r="C20" i="56"/>
  <c r="K19" i="62"/>
  <c r="K51" i="56"/>
  <c r="L51" i="56" s="1"/>
  <c r="O26" i="61"/>
  <c r="J52" i="56"/>
  <c r="J28" i="61"/>
  <c r="K28" i="61"/>
  <c r="N27" i="61"/>
  <c r="L28" i="61"/>
  <c r="M28" i="61"/>
  <c r="H21" i="62"/>
  <c r="E21" i="62"/>
  <c r="J21" i="62" s="1"/>
  <c r="L21" i="62" s="1"/>
  <c r="G21" i="62"/>
  <c r="F21" i="62"/>
  <c r="C30" i="61"/>
  <c r="F29" i="61"/>
  <c r="B23" i="62" s="1"/>
  <c r="I29" i="61"/>
  <c r="D23" i="62" s="1"/>
  <c r="H29" i="61"/>
  <c r="C23" i="62" s="1"/>
  <c r="I20" i="62"/>
  <c r="L27" i="55"/>
  <c r="G21" i="46"/>
  <c r="H21" i="46"/>
  <c r="E21" i="46"/>
  <c r="J21" i="46" s="1"/>
  <c r="F21" i="46"/>
  <c r="G29" i="55"/>
  <c r="B30" i="55"/>
  <c r="D29" i="55"/>
  <c r="F29" i="55"/>
  <c r="D22" i="39"/>
  <c r="D22" i="46"/>
  <c r="J28" i="55"/>
  <c r="K28" i="55"/>
  <c r="C22" i="39"/>
  <c r="C22" i="46"/>
  <c r="I20" i="46"/>
  <c r="B22" i="39"/>
  <c r="B22" i="46"/>
  <c r="I28" i="55"/>
  <c r="H28" i="55"/>
  <c r="A35" i="5"/>
  <c r="I27" i="41" l="1"/>
  <c r="B23" i="54"/>
  <c r="H21" i="39"/>
  <c r="E22" i="39"/>
  <c r="F22" i="39" s="1"/>
  <c r="G22" i="39" s="1"/>
  <c r="D24" i="54" s="1"/>
  <c r="C21" i="56"/>
  <c r="B21" i="56"/>
  <c r="D20" i="56"/>
  <c r="K20" i="62"/>
  <c r="K52" i="56"/>
  <c r="L52" i="56" s="1"/>
  <c r="I21" i="46"/>
  <c r="O27" i="61"/>
  <c r="J53" i="56"/>
  <c r="I21" i="62"/>
  <c r="J29" i="61"/>
  <c r="K29" i="61"/>
  <c r="C31" i="61"/>
  <c r="F30" i="61"/>
  <c r="B24" i="62" s="1"/>
  <c r="H30" i="61"/>
  <c r="C24" i="62" s="1"/>
  <c r="I30" i="61"/>
  <c r="D24" i="62" s="1"/>
  <c r="N28" i="61"/>
  <c r="M29" i="61"/>
  <c r="L29" i="61"/>
  <c r="G22" i="62"/>
  <c r="F22" i="62"/>
  <c r="E22" i="62"/>
  <c r="J22" i="62" s="1"/>
  <c r="L22" i="62" s="1"/>
  <c r="H22" i="62"/>
  <c r="D30" i="55"/>
  <c r="G30" i="55"/>
  <c r="F30" i="55"/>
  <c r="B31" i="55"/>
  <c r="B23" i="39"/>
  <c r="B23" i="46"/>
  <c r="I29" i="55"/>
  <c r="H29" i="55"/>
  <c r="D23" i="46"/>
  <c r="D23" i="39"/>
  <c r="L28" i="55"/>
  <c r="C23" i="39"/>
  <c r="C23" i="46"/>
  <c r="J29" i="55"/>
  <c r="K29" i="55"/>
  <c r="E22" i="46"/>
  <c r="J22" i="46" s="1"/>
  <c r="H22" i="46"/>
  <c r="F22" i="46"/>
  <c r="G22" i="46"/>
  <c r="A36" i="5"/>
  <c r="I28" i="41" l="1"/>
  <c r="E20" i="56"/>
  <c r="B24" i="54"/>
  <c r="D21" i="56"/>
  <c r="E21" i="56" s="1"/>
  <c r="H22" i="39"/>
  <c r="E23" i="39"/>
  <c r="F23" i="39" s="1"/>
  <c r="G23" i="39" s="1"/>
  <c r="D25" i="54" s="1"/>
  <c r="B22" i="56"/>
  <c r="C22" i="56"/>
  <c r="K21" i="62"/>
  <c r="K53" i="56"/>
  <c r="L53" i="56" s="1"/>
  <c r="N29" i="61"/>
  <c r="O28" i="61"/>
  <c r="J54" i="56"/>
  <c r="I22" i="62"/>
  <c r="J30" i="61"/>
  <c r="K30" i="61"/>
  <c r="M30" i="61"/>
  <c r="L30" i="61"/>
  <c r="F23" i="62"/>
  <c r="H23" i="62"/>
  <c r="E23" i="62"/>
  <c r="J23" i="62" s="1"/>
  <c r="L23" i="62" s="1"/>
  <c r="G23" i="62"/>
  <c r="F31" i="61"/>
  <c r="B25" i="62" s="1"/>
  <c r="H31" i="61"/>
  <c r="C25" i="62" s="1"/>
  <c r="I31" i="61"/>
  <c r="D25" i="62" s="1"/>
  <c r="I22" i="46"/>
  <c r="F31" i="55"/>
  <c r="G31" i="55"/>
  <c r="D31" i="55"/>
  <c r="D24" i="39"/>
  <c r="D24" i="46"/>
  <c r="C24" i="39"/>
  <c r="J30" i="55"/>
  <c r="C24" i="46"/>
  <c r="K30" i="55"/>
  <c r="L29" i="55"/>
  <c r="H23" i="46"/>
  <c r="G23" i="46"/>
  <c r="E23" i="46"/>
  <c r="J23" i="46" s="1"/>
  <c r="F23" i="46"/>
  <c r="B24" i="39"/>
  <c r="B24" i="46"/>
  <c r="H30" i="55"/>
  <c r="I30" i="55"/>
  <c r="A37" i="5"/>
  <c r="I29" i="41" l="1"/>
  <c r="B25" i="54"/>
  <c r="E24" i="39"/>
  <c r="H23" i="39"/>
  <c r="D22" i="56"/>
  <c r="C23" i="56"/>
  <c r="B23" i="56"/>
  <c r="K22" i="62"/>
  <c r="K54" i="56"/>
  <c r="L54" i="56" s="1"/>
  <c r="N30" i="61"/>
  <c r="O30" i="61" s="1"/>
  <c r="O29" i="61"/>
  <c r="J55" i="56"/>
  <c r="J31" i="61"/>
  <c r="K31" i="61"/>
  <c r="M31" i="61"/>
  <c r="L31" i="61"/>
  <c r="F24" i="62"/>
  <c r="G24" i="62"/>
  <c r="H24" i="62"/>
  <c r="E24" i="62"/>
  <c r="J24" i="62" s="1"/>
  <c r="L24" i="62" s="1"/>
  <c r="I23" i="62"/>
  <c r="I23" i="46"/>
  <c r="F24" i="39"/>
  <c r="G24" i="39" s="1"/>
  <c r="D26" i="54" s="1"/>
  <c r="L30" i="55"/>
  <c r="B25" i="39"/>
  <c r="B25" i="46"/>
  <c r="I31" i="55"/>
  <c r="H31" i="55"/>
  <c r="D25" i="46"/>
  <c r="D25" i="39"/>
  <c r="C25" i="39"/>
  <c r="J31" i="55"/>
  <c r="C25" i="46"/>
  <c r="K31" i="55"/>
  <c r="H24" i="46"/>
  <c r="E24" i="46"/>
  <c r="J24" i="46" s="1"/>
  <c r="F24" i="46"/>
  <c r="G24" i="46"/>
  <c r="A38" i="5"/>
  <c r="I30" i="41" l="1"/>
  <c r="E22" i="56"/>
  <c r="B26" i="54"/>
  <c r="H24" i="39"/>
  <c r="E25" i="39"/>
  <c r="F25" i="39" s="1"/>
  <c r="D23" i="56"/>
  <c r="B24" i="56"/>
  <c r="C24" i="56"/>
  <c r="J56" i="56"/>
  <c r="K23" i="62"/>
  <c r="K55" i="56"/>
  <c r="L55" i="56" s="1"/>
  <c r="N31" i="61"/>
  <c r="J57" i="56" s="1"/>
  <c r="I24" i="62"/>
  <c r="G25" i="62"/>
  <c r="E25" i="62"/>
  <c r="J25" i="62" s="1"/>
  <c r="H25" i="62"/>
  <c r="F25" i="62"/>
  <c r="L31" i="55"/>
  <c r="H25" i="46"/>
  <c r="E25" i="46"/>
  <c r="J25" i="46" s="1"/>
  <c r="J26" i="46" s="1"/>
  <c r="G25" i="46"/>
  <c r="F25" i="46"/>
  <c r="I24" i="46"/>
  <c r="A39" i="5"/>
  <c r="I31" i="41" l="1"/>
  <c r="E23" i="56"/>
  <c r="G25" i="39"/>
  <c r="D27" i="54" s="1"/>
  <c r="L32" i="55"/>
  <c r="B27" i="54"/>
  <c r="H25" i="39"/>
  <c r="H26" i="39" s="1"/>
  <c r="D24" i="56"/>
  <c r="C25" i="56"/>
  <c r="B25" i="56"/>
  <c r="N32" i="61"/>
  <c r="K24" i="62"/>
  <c r="K56" i="56"/>
  <c r="L56" i="56" s="1"/>
  <c r="O31" i="61"/>
  <c r="O32" i="61" s="1"/>
  <c r="I25" i="62"/>
  <c r="K57" i="56" s="1"/>
  <c r="L57" i="56" s="1"/>
  <c r="L25" i="62"/>
  <c r="L26" i="62" s="1"/>
  <c r="J26" i="62"/>
  <c r="I25" i="46"/>
  <c r="G26" i="39"/>
  <c r="A40" i="5"/>
  <c r="I32" i="41" l="1"/>
  <c r="E24" i="56"/>
  <c r="I26" i="46"/>
  <c r="D25" i="56"/>
  <c r="C27" i="56"/>
  <c r="B27" i="56"/>
  <c r="C26" i="56"/>
  <c r="B26" i="56"/>
  <c r="L58" i="56"/>
  <c r="I26" i="62"/>
  <c r="K25" i="62"/>
  <c r="K26" i="62" s="1"/>
  <c r="A41" i="5"/>
  <c r="I33" i="41" l="1"/>
  <c r="E25" i="56"/>
  <c r="D27" i="56"/>
  <c r="E27" i="56" s="1"/>
  <c r="D26" i="56"/>
  <c r="A42" i="5"/>
  <c r="I34" i="41" l="1"/>
  <c r="E26" i="56"/>
  <c r="I35" i="41"/>
  <c r="D28" i="56"/>
  <c r="B2" i="56" s="1"/>
  <c r="A43" i="5"/>
  <c r="E28" i="56" l="1"/>
  <c r="B3" i="56" s="1"/>
  <c r="A44" i="5"/>
  <c r="L15" i="41"/>
  <c r="C15" i="41" s="1"/>
  <c r="G8" i="49"/>
  <c r="G7" i="27"/>
  <c r="P15" i="41"/>
  <c r="B15" i="41" s="1"/>
  <c r="L14" i="41"/>
  <c r="C14" i="41" s="1"/>
  <c r="P14" i="41"/>
  <c r="G7" i="49"/>
  <c r="G6" i="27"/>
  <c r="B14" i="41" l="1"/>
  <c r="D14" i="41"/>
  <c r="E14" i="41" s="1"/>
  <c r="D15" i="41"/>
  <c r="E15" i="41"/>
  <c r="C16" i="41"/>
  <c r="P22" i="41"/>
  <c r="B22" i="41" s="1"/>
  <c r="P23" i="41"/>
  <c r="B23" i="41" s="1"/>
  <c r="L22" i="46"/>
  <c r="L24" i="46"/>
  <c r="P30" i="41"/>
  <c r="B30" i="41" s="1"/>
  <c r="L21" i="46"/>
  <c r="L10" i="46"/>
  <c r="P33" i="41"/>
  <c r="B33" i="41" s="1"/>
  <c r="L23" i="46"/>
  <c r="L15" i="46"/>
  <c r="G8" i="27"/>
  <c r="P29" i="41"/>
  <c r="B29" i="41" s="1"/>
  <c r="P26" i="41"/>
  <c r="B26" i="41" s="1"/>
  <c r="P19" i="41"/>
  <c r="B19" i="41" s="1"/>
  <c r="G20" i="27"/>
  <c r="G21" i="49"/>
  <c r="K18" i="46"/>
  <c r="M24" i="55"/>
  <c r="G9" i="49"/>
  <c r="L7" i="46"/>
  <c r="P24" i="41"/>
  <c r="B24" i="41" s="1"/>
  <c r="P28" i="41"/>
  <c r="B28" i="41" s="1"/>
  <c r="L20" i="46"/>
  <c r="L9" i="46"/>
  <c r="L8" i="46"/>
  <c r="P25" i="41"/>
  <c r="B25" i="41" s="1"/>
  <c r="P17" i="41"/>
  <c r="B17" i="41" s="1"/>
  <c r="P21" i="41"/>
  <c r="B21" i="41" s="1"/>
  <c r="M16" i="55"/>
  <c r="G12" i="27"/>
  <c r="K10" i="46"/>
  <c r="G13" i="49"/>
  <c r="G11" i="49"/>
  <c r="G10" i="27"/>
  <c r="K8" i="46"/>
  <c r="M14" i="55"/>
  <c r="L25" i="46"/>
  <c r="P31" i="41"/>
  <c r="B31" i="41" s="1"/>
  <c r="G19" i="27"/>
  <c r="M23" i="55"/>
  <c r="K17" i="46"/>
  <c r="G20" i="49"/>
  <c r="G25" i="27"/>
  <c r="M29" i="55"/>
  <c r="K23" i="46"/>
  <c r="G26" i="49"/>
  <c r="P20" i="41"/>
  <c r="B20" i="41" s="1"/>
  <c r="P18" i="41"/>
  <c r="B18" i="41" s="1"/>
  <c r="L19" i="46"/>
  <c r="P34" i="41"/>
  <c r="B34" i="41" s="1"/>
  <c r="L14" i="46"/>
  <c r="P16" i="41"/>
  <c r="B16" i="41" s="1"/>
  <c r="M22" i="55"/>
  <c r="G19" i="49"/>
  <c r="K16" i="46"/>
  <c r="G18" i="27"/>
  <c r="P27" i="41"/>
  <c r="B27" i="41" s="1"/>
  <c r="M31" i="55"/>
  <c r="G27" i="27"/>
  <c r="G28" i="49"/>
  <c r="K25" i="46"/>
  <c r="K15" i="46"/>
  <c r="M21" i="55"/>
  <c r="G17" i="27"/>
  <c r="G18" i="49"/>
  <c r="G26" i="27"/>
  <c r="M30" i="55"/>
  <c r="K24" i="46"/>
  <c r="G27" i="49"/>
  <c r="G21" i="27"/>
  <c r="M25" i="55"/>
  <c r="G22" i="49"/>
  <c r="K19" i="46"/>
  <c r="P32" i="41"/>
  <c r="B32" i="41" s="1"/>
  <c r="G23" i="27"/>
  <c r="M27" i="55"/>
  <c r="K21" i="46"/>
  <c r="G24" i="49"/>
  <c r="L16" i="46"/>
  <c r="G10" i="49"/>
  <c r="M13" i="55"/>
  <c r="G9" i="27"/>
  <c r="K17" i="41"/>
  <c r="G25" i="49"/>
  <c r="K22" i="46"/>
  <c r="M28" i="55"/>
  <c r="G24" i="27"/>
  <c r="G11" i="27"/>
  <c r="M15" i="55"/>
  <c r="G12" i="49"/>
  <c r="K9" i="46"/>
  <c r="G17" i="49"/>
  <c r="G16" i="27"/>
  <c r="M20" i="55"/>
  <c r="K14" i="46"/>
  <c r="L17" i="46"/>
  <c r="M26" i="55"/>
  <c r="G22" i="27"/>
  <c r="G23" i="49"/>
  <c r="K20" i="46"/>
  <c r="G13" i="27"/>
  <c r="G14" i="49"/>
  <c r="M17" i="55"/>
  <c r="K11" i="46"/>
  <c r="G15" i="49"/>
  <c r="M18" i="55"/>
  <c r="G14" i="27"/>
  <c r="K12" i="46"/>
  <c r="P35" i="41"/>
  <c r="B35" i="41" s="1"/>
  <c r="L13" i="46"/>
  <c r="L12" i="46"/>
  <c r="L11" i="46"/>
  <c r="L18" i="46"/>
  <c r="G15" i="27"/>
  <c r="M19" i="55"/>
  <c r="K13" i="46"/>
  <c r="G16" i="49"/>
  <c r="G28" i="27" l="1"/>
  <c r="G29" i="49"/>
  <c r="C3" i="49" s="1"/>
  <c r="P36" i="41"/>
  <c r="B36" i="41"/>
  <c r="C23" i="54"/>
  <c r="E23" i="54" s="1"/>
  <c r="C27" i="54"/>
  <c r="E27" i="54" s="1"/>
  <c r="C17" i="54"/>
  <c r="E17" i="54" s="1"/>
  <c r="C25" i="54"/>
  <c r="E25" i="54" s="1"/>
  <c r="C14" i="54"/>
  <c r="E14" i="54" s="1"/>
  <c r="C19" i="54"/>
  <c r="E19" i="54" s="1"/>
  <c r="C18" i="54"/>
  <c r="E18" i="54" s="1"/>
  <c r="C24" i="54"/>
  <c r="E24" i="54" s="1"/>
  <c r="C13" i="54"/>
  <c r="E13" i="54" s="1"/>
  <c r="C22" i="54"/>
  <c r="E22" i="54" s="1"/>
  <c r="C10" i="54"/>
  <c r="E10" i="54" s="1"/>
  <c r="J18" i="41" s="1"/>
  <c r="K18" i="41" s="1"/>
  <c r="L18" i="41" s="1"/>
  <c r="C18" i="41" s="1"/>
  <c r="D18" i="41" s="1"/>
  <c r="C21" i="54"/>
  <c r="E21" i="54" s="1"/>
  <c r="C26" i="54"/>
  <c r="E26" i="54" s="1"/>
  <c r="C12" i="54"/>
  <c r="E12" i="54" s="1"/>
  <c r="C15" i="54"/>
  <c r="E15" i="54" s="1"/>
  <c r="C20" i="54"/>
  <c r="E20" i="54" s="1"/>
  <c r="C11" i="54"/>
  <c r="C16" i="54"/>
  <c r="E16" i="54" s="1"/>
  <c r="M32" i="55"/>
  <c r="L17" i="41"/>
  <c r="C17" i="41" s="1"/>
  <c r="D17" i="41" s="1"/>
  <c r="D16" i="41"/>
  <c r="L26" i="46"/>
  <c r="K26" i="46"/>
  <c r="J23" i="41" l="1"/>
  <c r="K23" i="41" s="1"/>
  <c r="L23" i="41" s="1"/>
  <c r="C23" i="41" s="1"/>
  <c r="D23" i="41" s="1"/>
  <c r="J26" i="41"/>
  <c r="K26" i="41" s="1"/>
  <c r="L26" i="41" s="1"/>
  <c r="C26" i="41" s="1"/>
  <c r="D26" i="41" s="1"/>
  <c r="J33" i="41"/>
  <c r="K33" i="41" s="1"/>
  <c r="L33" i="41" s="1"/>
  <c r="C33" i="41" s="1"/>
  <c r="D33" i="41" s="1"/>
  <c r="J35" i="41"/>
  <c r="K35" i="41" s="1"/>
  <c r="L35" i="41" s="1"/>
  <c r="C35" i="41" s="1"/>
  <c r="D35" i="41" s="1"/>
  <c r="J27" i="41"/>
  <c r="K27" i="41" s="1"/>
  <c r="L27" i="41" s="1"/>
  <c r="C27" i="41" s="1"/>
  <c r="D27" i="41" s="1"/>
  <c r="J22" i="41"/>
  <c r="K22" i="41" s="1"/>
  <c r="L22" i="41" s="1"/>
  <c r="C22" i="41" s="1"/>
  <c r="D22" i="41" s="1"/>
  <c r="J29" i="41"/>
  <c r="K29" i="41" s="1"/>
  <c r="L29" i="41" s="1"/>
  <c r="C29" i="41" s="1"/>
  <c r="D29" i="41" s="1"/>
  <c r="J19" i="41"/>
  <c r="K19" i="41" s="1"/>
  <c r="L19" i="41" s="1"/>
  <c r="C19" i="41" s="1"/>
  <c r="D19" i="41" s="1"/>
  <c r="J31" i="41"/>
  <c r="K31" i="41" s="1"/>
  <c r="L31" i="41" s="1"/>
  <c r="C31" i="41" s="1"/>
  <c r="D31" i="41" s="1"/>
  <c r="J34" i="41"/>
  <c r="K34" i="41" s="1"/>
  <c r="L34" i="41" s="1"/>
  <c r="C34" i="41" s="1"/>
  <c r="D34" i="41" s="1"/>
  <c r="J25" i="41"/>
  <c r="K25" i="41" s="1"/>
  <c r="L25" i="41" s="1"/>
  <c r="C25" i="41" s="1"/>
  <c r="D25" i="41" s="1"/>
  <c r="J24" i="41"/>
  <c r="K24" i="41" s="1"/>
  <c r="L24" i="41" s="1"/>
  <c r="C24" i="41" s="1"/>
  <c r="D24" i="41" s="1"/>
  <c r="J28" i="41"/>
  <c r="K28" i="41" s="1"/>
  <c r="L28" i="41" s="1"/>
  <c r="C28" i="41" s="1"/>
  <c r="D28" i="41" s="1"/>
  <c r="J32" i="41"/>
  <c r="K32" i="41" s="1"/>
  <c r="L32" i="41" s="1"/>
  <c r="C32" i="41" s="1"/>
  <c r="D32" i="41" s="1"/>
  <c r="J20" i="41"/>
  <c r="K20" i="41" s="1"/>
  <c r="L20" i="41" s="1"/>
  <c r="C20" i="41" s="1"/>
  <c r="D20" i="41" s="1"/>
  <c r="J30" i="41"/>
  <c r="K30" i="41" s="1"/>
  <c r="L30" i="41" s="1"/>
  <c r="C30" i="41" s="1"/>
  <c r="D30" i="41" s="1"/>
  <c r="J21" i="41"/>
  <c r="K21" i="41" s="1"/>
  <c r="L21" i="41" s="1"/>
  <c r="C21" i="41" s="1"/>
  <c r="D21" i="41" s="1"/>
  <c r="E28" i="54"/>
  <c r="C2" i="54" s="1"/>
  <c r="E16" i="41"/>
  <c r="E17" i="41" s="1"/>
  <c r="E18" i="41" s="1"/>
  <c r="E3" i="12"/>
  <c r="D36" i="41" l="1"/>
  <c r="C3" i="54"/>
  <c r="E19" i="4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C36" i="41"/>
  <c r="L36" i="41"/>
  <c r="C6" i="41" s="1"/>
  <c r="C5" i="41"/>
  <c r="K36" i="41"/>
  <c r="F3" i="12" s="1"/>
  <c r="G3" i="12" l="1"/>
  <c r="C4" i="41"/>
  <c r="H3" i="12" s="1"/>
</calcChain>
</file>

<file path=xl/sharedStrings.xml><?xml version="1.0" encoding="utf-8"?>
<sst xmlns="http://schemas.openxmlformats.org/spreadsheetml/2006/main" count="1162" uniqueCount="451">
  <si>
    <t>Total</t>
  </si>
  <si>
    <t>Year</t>
  </si>
  <si>
    <t>Capital Costs</t>
  </si>
  <si>
    <t>Safety</t>
  </si>
  <si>
    <t>Total Net Benefit</t>
  </si>
  <si>
    <t>Net Present Value (NPV)</t>
  </si>
  <si>
    <t>Discount Rate</t>
  </si>
  <si>
    <t>Benefit-Cost Ratio</t>
  </si>
  <si>
    <t>No Build Scenario</t>
  </si>
  <si>
    <t>Total Cost</t>
  </si>
  <si>
    <t>Build Scenario</t>
  </si>
  <si>
    <t>Potential Cost Savings</t>
  </si>
  <si>
    <t>Build</t>
  </si>
  <si>
    <t>Damage Costs for Pollutant Emissions</t>
  </si>
  <si>
    <t>Volatile Organic Compounds</t>
  </si>
  <si>
    <t>Particulate Matter</t>
  </si>
  <si>
    <t>Sulfur Dioxide</t>
  </si>
  <si>
    <t>Project Cost</t>
  </si>
  <si>
    <t>Percent Project Cost Paid</t>
  </si>
  <si>
    <t>Project</t>
  </si>
  <si>
    <t>Total Net Benefit (NPV)</t>
  </si>
  <si>
    <t>Total Benefits</t>
  </si>
  <si>
    <t>Travel Time Savings</t>
  </si>
  <si>
    <t>Direct User Benefits</t>
  </si>
  <si>
    <t>Net Present Value</t>
  </si>
  <si>
    <t>Internal Rate of Return</t>
  </si>
  <si>
    <t>Benefit/Cost Ratio</t>
  </si>
  <si>
    <t>Analysis Year</t>
  </si>
  <si>
    <t>Operation and Maintenance Costs</t>
  </si>
  <si>
    <t>7% Discount</t>
  </si>
  <si>
    <t>Total Costs</t>
  </si>
  <si>
    <t>Net Direct Benefits</t>
  </si>
  <si>
    <t>Environmental</t>
  </si>
  <si>
    <t>Net Direct Benefits - 7% Discount</t>
  </si>
  <si>
    <t>Project Life (Years)</t>
  </si>
  <si>
    <t>Project Costs (NPV)</t>
  </si>
  <si>
    <t>Project Cost (NPV)</t>
  </si>
  <si>
    <t>20 Year BENEFITS</t>
  </si>
  <si>
    <t>20 Year COSTS</t>
  </si>
  <si>
    <t>20 Year Costs</t>
  </si>
  <si>
    <t>Total Benefit</t>
  </si>
  <si>
    <t>Cumulative</t>
  </si>
  <si>
    <t>Truck</t>
  </si>
  <si>
    <t>No-Build</t>
  </si>
  <si>
    <t>Environmental Cost Savings - Summary</t>
  </si>
  <si>
    <t>Potential Cost Savings (NPV)</t>
  </si>
  <si>
    <t>Inflation Adjustment</t>
  </si>
  <si>
    <t>Base Year</t>
  </si>
  <si>
    <t>Multiplier</t>
  </si>
  <si>
    <t>Operations &amp; Maintenance Savings</t>
  </si>
  <si>
    <t>Infrastructure Condition</t>
  </si>
  <si>
    <t>Annual Cost</t>
  </si>
  <si>
    <t>Capital Cost Calculations</t>
  </si>
  <si>
    <t>N/A</t>
  </si>
  <si>
    <t>Operations and Maintenance Costs</t>
  </si>
  <si>
    <t>Maintenance per Pile</t>
  </si>
  <si>
    <t>Port of Muskogee</t>
  </si>
  <si>
    <t>Port of Catoosa</t>
  </si>
  <si>
    <t>Oakley's 33</t>
  </si>
  <si>
    <t>Poor</t>
  </si>
  <si>
    <t>Good</t>
  </si>
  <si>
    <t>Supplemental Project Information</t>
  </si>
  <si>
    <t>Port</t>
  </si>
  <si>
    <t>Deadman Anchors</t>
  </si>
  <si>
    <t>Gallons/million ton-mile</t>
  </si>
  <si>
    <t>CO2</t>
  </si>
  <si>
    <t>Tons per million ton-miles</t>
  </si>
  <si>
    <t>Dolphin Structures</t>
  </si>
  <si>
    <t>Existing</t>
  </si>
  <si>
    <t>Rail</t>
  </si>
  <si>
    <t>http://www.aopoa.net/history/facts.htm</t>
  </si>
  <si>
    <t>lbs per thousand ton-miles</t>
  </si>
  <si>
    <t>Nitrous Oxide</t>
  </si>
  <si>
    <t>Ton-Miles</t>
  </si>
  <si>
    <t>Waterway Ton-Miles</t>
  </si>
  <si>
    <t>Tons</t>
  </si>
  <si>
    <t>Value</t>
  </si>
  <si>
    <t>Commodity</t>
  </si>
  <si>
    <t>Iron/Steel</t>
  </si>
  <si>
    <t>Fertilizer</t>
  </si>
  <si>
    <t>Chemicals (Other)</t>
  </si>
  <si>
    <t>Petroleum</t>
  </si>
  <si>
    <t>Aggregates</t>
  </si>
  <si>
    <t>Coke &amp; Coal</t>
  </si>
  <si>
    <t>Minerals/Building Materials</t>
  </si>
  <si>
    <t>Food/Farm Products</t>
  </si>
  <si>
    <t>Wheat</t>
  </si>
  <si>
    <t>Equipment / Machinery</t>
  </si>
  <si>
    <t>Soybeans</t>
  </si>
  <si>
    <t>2015-2018  Average</t>
  </si>
  <si>
    <t>Muskogee</t>
  </si>
  <si>
    <t>Catoosa</t>
  </si>
  <si>
    <t>Oklahoma River Miles</t>
  </si>
  <si>
    <t>Mile Marker</t>
  </si>
  <si>
    <t>Total Tons</t>
  </si>
  <si>
    <t>Ports %</t>
  </si>
  <si>
    <t>Port Tons</t>
  </si>
  <si>
    <t>OK Average River Miles</t>
  </si>
  <si>
    <t>Average River Miles</t>
  </si>
  <si>
    <t>Oakley's 33 - Grand River</t>
  </si>
  <si>
    <t>Assumed based on anecdotal evidence from port directors that  90% of cargo would be diverted to rail and 10% to trucks.</t>
  </si>
  <si>
    <t>Average Value per Ton</t>
  </si>
  <si>
    <t>Source: National Waterways Foundation, Waterways: Working for America, February 2017</t>
  </si>
  <si>
    <t>Spillage (Gallons)</t>
  </si>
  <si>
    <t>Assumes products weigh the same as water, 8.34 lbs.</t>
  </si>
  <si>
    <t>Spillage (Tons)</t>
  </si>
  <si>
    <t>Functional Barge Capacity</t>
  </si>
  <si>
    <t>End of Life in 2025 Dolphin Structures</t>
  </si>
  <si>
    <t>2025 Lost Capacity</t>
  </si>
  <si>
    <t>2023 Recovered Capacity</t>
  </si>
  <si>
    <t>2023 Replacement Monopiles</t>
  </si>
  <si>
    <t>System Capacity Percentage</t>
  </si>
  <si>
    <t>Structures being Replaced</t>
  </si>
  <si>
    <t>Structure Type being Replaced</t>
  </si>
  <si>
    <t>Dolphin</t>
  </si>
  <si>
    <t>Deadman</t>
  </si>
  <si>
    <t>Barge</t>
  </si>
  <si>
    <t>Operations &amp; Maintenance Savings (NPV)</t>
  </si>
  <si>
    <t>Source: Port Operators</t>
  </si>
  <si>
    <t>Replace Deadman Anchor</t>
  </si>
  <si>
    <t>Per Anchor</t>
  </si>
  <si>
    <t>Assumed 25% of diverted goods are not moved.</t>
  </si>
  <si>
    <t>Injuries</t>
  </si>
  <si>
    <t>Fatalities</t>
  </si>
  <si>
    <t>Freight Barge and Tank Barge</t>
  </si>
  <si>
    <t>Average</t>
  </si>
  <si>
    <t>https://www.bts.gov/topics/national-transportation-statistics</t>
  </si>
  <si>
    <t>Appendix D, Rail Transport Profile</t>
  </si>
  <si>
    <t>Class I, Revenue ton-miles of freight</t>
  </si>
  <si>
    <t>Section 2.E Railroad Safety, Table 2-41, Table 2-39, Table 2-40</t>
  </si>
  <si>
    <t>Appendix D, Truck Transport Profile</t>
  </si>
  <si>
    <t>Internal ton-miles, Domestic Water Freight</t>
  </si>
  <si>
    <t>Truck, ton-miles</t>
  </si>
  <si>
    <t>https://www.fmcsa.dot.gov/safety/data-and-statistics/motor-carrier-safety-progress-reports</t>
  </si>
  <si>
    <t>Safety Rates per ton-mile</t>
  </si>
  <si>
    <t>Property Damage Only Crashes</t>
  </si>
  <si>
    <t>Per Vehicle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</si>
  <si>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</si>
  <si>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</si>
  <si>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</si>
  <si>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</si>
  <si>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</si>
  <si>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</si>
  <si>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</si>
  <si>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</si>
  <si>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</si>
  <si>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</si>
  <si>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Inland Waterways</t>
  </si>
  <si>
    <t>Freight Rail</t>
  </si>
  <si>
    <t>Trucks</t>
  </si>
  <si>
    <t>Oklahoma State Border</t>
  </si>
  <si>
    <t>Oakley's 33 - Main</t>
  </si>
  <si>
    <t>Source: BCA Guidance 2021</t>
  </si>
  <si>
    <t>Unit Value ($2019)</t>
  </si>
  <si>
    <t>Nox</t>
  </si>
  <si>
    <t>SO2</t>
  </si>
  <si>
    <t>PM2.5</t>
  </si>
  <si>
    <t>Assume Metric Ton = 1.10231 Short Ton</t>
  </si>
  <si>
    <t>Assume Metric Ton = 1000000 grams</t>
  </si>
  <si>
    <t>Source: BCA Guildelines 2021</t>
  </si>
  <si>
    <t>$ / Metric Ton</t>
  </si>
  <si>
    <t>https://www.americanwaterways.com/sites/default/files/legacy/tti/tti_study_greenhouse_gas_insert.pdf</t>
  </si>
  <si>
    <t>grams per ton-mile</t>
  </si>
  <si>
    <t>Metric tons per million ton-miles</t>
  </si>
  <si>
    <t>Assume Western Rail for PM</t>
  </si>
  <si>
    <t>Assumed original value of C02 is in short tons</t>
  </si>
  <si>
    <t>https://www.maritime.dot.gov/sites/marad.dot.gov/files/docs/resources/3711/waterworksrev.pdf</t>
  </si>
  <si>
    <t>Assume 1 Metric Ton = 2204.62 lbs</t>
  </si>
  <si>
    <t>https://www.oecd.org/environment/envtrade/2386636.pdf</t>
  </si>
  <si>
    <t>pg 29</t>
  </si>
  <si>
    <t>Grams per tonne-kilometer</t>
  </si>
  <si>
    <t>Took the average for all ranges in SO2 &amp; VOC</t>
  </si>
  <si>
    <t>Grams per metric ton-kilometer</t>
  </si>
  <si>
    <t>Assume 1 Mile = 1.60934 Kilometer</t>
  </si>
  <si>
    <t xml:space="preserve">Section 2.C - Table 2-23 Truck Occupant Safety Data </t>
  </si>
  <si>
    <t>https://oklahoma.gov/content/dam/ok/en/odot/documents/waterway/pdfs/ww-oklahoma-ports.pdf</t>
  </si>
  <si>
    <t>https://tulsaports.com/wp-content/uploads/2019/01/18TPC_2018-Tonnage-Report.pdf</t>
  </si>
  <si>
    <t>https://www.muskogeeport.com/reports/</t>
  </si>
  <si>
    <t>http://www.nationalwaterwaysfoundation.org/study/Work4America.pdf</t>
  </si>
  <si>
    <t>Infrastructure Damages</t>
  </si>
  <si>
    <t>Revenue Losses</t>
  </si>
  <si>
    <t>Commodity Losses</t>
  </si>
  <si>
    <t xml:space="preserve">Salaries/Wages </t>
  </si>
  <si>
    <t>Demurrage Charges</t>
  </si>
  <si>
    <t>Oakley Inc</t>
  </si>
  <si>
    <t>Port 33</t>
  </si>
  <si>
    <t>Terminal</t>
  </si>
  <si>
    <t>Lock 16</t>
  </si>
  <si>
    <t>Additional Charges</t>
  </si>
  <si>
    <t xml:space="preserve">Overtime Expenses </t>
  </si>
  <si>
    <t>Total (M)</t>
  </si>
  <si>
    <t>Port Total (M)</t>
  </si>
  <si>
    <t>Oakley's Terminal Muskogee - Grand River</t>
  </si>
  <si>
    <t xml:space="preserve">        </t>
  </si>
  <si>
    <t>Tonnage Information Oakley's Port 33</t>
  </si>
  <si>
    <t>2018 Tonnages</t>
  </si>
  <si>
    <t>2019 Tonnages</t>
  </si>
  <si>
    <t>2020 Tonnages</t>
  </si>
  <si>
    <t>Bauxite</t>
  </si>
  <si>
    <t>Calcined Coke</t>
  </si>
  <si>
    <t>Coal</t>
  </si>
  <si>
    <t>Cookie Meal</t>
  </si>
  <si>
    <t>Foundry 310F Grade Pig Iron</t>
  </si>
  <si>
    <t>Hard Red Winter Wheat</t>
  </si>
  <si>
    <t>Lightweight Aggregate</t>
  </si>
  <si>
    <t>Milo</t>
  </si>
  <si>
    <t>Nodular 050N Grade Pig Iron</t>
  </si>
  <si>
    <t>Nodular NS50 Grade Pig Iron</t>
  </si>
  <si>
    <t>Pig Iron</t>
  </si>
  <si>
    <t>Raw Coke</t>
  </si>
  <si>
    <t>Slag</t>
  </si>
  <si>
    <t>Super U Urea</t>
  </si>
  <si>
    <t>NPSZ 12-40-0-7S-1ZN</t>
  </si>
  <si>
    <t>Ammonium Sulfate 20.5-0-0-23.5</t>
  </si>
  <si>
    <t>Dap 18-46-0</t>
  </si>
  <si>
    <t>Map 11-52-0</t>
  </si>
  <si>
    <t>Potash/Gran 0-0-60</t>
  </si>
  <si>
    <t>Prilled Urea 46-0-0</t>
  </si>
  <si>
    <t>Prill Amm Nitr 34-0-0</t>
  </si>
  <si>
    <t>Urea/Gran</t>
  </si>
  <si>
    <t>Coke</t>
  </si>
  <si>
    <t>-</t>
  </si>
  <si>
    <t>Sintered Bauxite</t>
  </si>
  <si>
    <t>Corplex 12-40-0</t>
  </si>
  <si>
    <t>NPSZ 12-45-0-5S+1ZN</t>
  </si>
  <si>
    <t>Superu (R)</t>
  </si>
  <si>
    <t>Turf Area</t>
  </si>
  <si>
    <t>Copper Slag</t>
  </si>
  <si>
    <t>Rock Salt</t>
  </si>
  <si>
    <t>Bulk</t>
  </si>
  <si>
    <t>Tonnage Information Port of Muskogee</t>
  </si>
  <si>
    <t>Asphalt</t>
  </si>
  <si>
    <t>Barite</t>
  </si>
  <si>
    <t>Calcine Coke</t>
  </si>
  <si>
    <t>Clay</t>
  </si>
  <si>
    <t>Feldspar</t>
  </si>
  <si>
    <t>Fly Ash</t>
  </si>
  <si>
    <t>Molasses</t>
  </si>
  <si>
    <t>Nepheline Syenite</t>
  </si>
  <si>
    <t>Rebar</t>
  </si>
  <si>
    <t>Scrap Steel</t>
  </si>
  <si>
    <t>Steel Coils</t>
  </si>
  <si>
    <t>Wire Rod Coils</t>
  </si>
  <si>
    <t>Zircon Sand</t>
  </si>
  <si>
    <t>Beams</t>
  </si>
  <si>
    <t>Steel Plate</t>
  </si>
  <si>
    <t>% Ton</t>
  </si>
  <si>
    <t>Total Tonnage</t>
  </si>
  <si>
    <t>Chemour Coke</t>
  </si>
  <si>
    <t>Sugar</t>
  </si>
  <si>
    <t>Pipe</t>
  </si>
  <si>
    <t>Potash</t>
  </si>
  <si>
    <t xml:space="preserve">Argentine Coke </t>
  </si>
  <si>
    <t>Tonnage Information Port of Catoosa</t>
  </si>
  <si>
    <t>Gavilon Fert - Fertilizer</t>
  </si>
  <si>
    <t>Gavilon Fert - Potash/Salt</t>
  </si>
  <si>
    <t>Tuloma - Steel/Pipe</t>
  </si>
  <si>
    <t>Low Water Warf - Misc.</t>
  </si>
  <si>
    <t>Bayou - Steel/Pipe</t>
  </si>
  <si>
    <t>Tuloma - Mfg</t>
  </si>
  <si>
    <t>Gavilon Grain (LWW) - Salt</t>
  </si>
  <si>
    <t>Gavilon Grain (East) - Salt</t>
  </si>
  <si>
    <t>Gavilon Grain (East) - Fertilizer</t>
  </si>
  <si>
    <t>Low Water Warf - Misc. Grain</t>
  </si>
  <si>
    <t>Debruce - Misc. Grain</t>
  </si>
  <si>
    <t xml:space="preserve">Benntag SW - Caustic Soda </t>
  </si>
  <si>
    <t>Safety Kleen/BKEP/Nu-Star - Asphalt</t>
  </si>
  <si>
    <t>Westway - Liquif Fertilizer</t>
  </si>
  <si>
    <t>Westway Trading - Molasses</t>
  </si>
  <si>
    <t>SemMaterials - Refined Petroleum</t>
  </si>
  <si>
    <t>Westway Trading - Caustic Soda</t>
  </si>
  <si>
    <t>Safety Kleen - Misc.</t>
  </si>
  <si>
    <t>Westway - Calcium Chloride</t>
  </si>
  <si>
    <t>Inbound Tonnage</t>
  </si>
  <si>
    <t>Outbound Tonnage</t>
  </si>
  <si>
    <t>Tuloma - Steel</t>
  </si>
  <si>
    <t>Gavilon Grain - Gypsum</t>
  </si>
  <si>
    <t>Gavilon Fert - Gypsum</t>
  </si>
  <si>
    <t>Gavilon Fert - Salt</t>
  </si>
  <si>
    <t>Gavilon Grain (West) - Wheat</t>
  </si>
  <si>
    <t>Gavilon Grain (East) - Wheat</t>
  </si>
  <si>
    <t>Gavilon Grain (West) - Soy Products</t>
  </si>
  <si>
    <t>Gavilon Grain (East) - Soy Products</t>
  </si>
  <si>
    <t>Gavilon Grain (West) - Misc. Grain Prod</t>
  </si>
  <si>
    <t>Gavilon Grain (East) - Misc. Grain Prod</t>
  </si>
  <si>
    <t>Terra Nitrogen - Ammonia</t>
  </si>
  <si>
    <t>Terra Nitrogen - Liq. Fert.</t>
  </si>
  <si>
    <t>Safety Kleen/BKEP - Misc.</t>
  </si>
  <si>
    <t>Safety Kleen/Holly - Asphalt</t>
  </si>
  <si>
    <t>Safety Kleen/BKEP/Petro Source - Ref. Petro</t>
  </si>
  <si>
    <t>Petro Source/Safety Kleen - UnRef. Petro Crude</t>
  </si>
  <si>
    <t>Nustar - Asphalt</t>
  </si>
  <si>
    <t>Watco - Mfg</t>
  </si>
  <si>
    <t>Watco - Steel/Pipe</t>
  </si>
  <si>
    <t>Watco- Steel</t>
  </si>
  <si>
    <t>100 year Flood</t>
  </si>
  <si>
    <t>Odds of Barge Breaking Loose in Flood</t>
  </si>
  <si>
    <t>Probability of Barge Breaking Free - Muskogee</t>
  </si>
  <si>
    <t>Strike Risks</t>
  </si>
  <si>
    <t>US 62 Bridge</t>
  </si>
  <si>
    <t>Damage Potential</t>
  </si>
  <si>
    <t>Webber Falls Dam &amp; Lock 16</t>
  </si>
  <si>
    <t>Annualized Risk</t>
  </si>
  <si>
    <t>Probability</t>
  </si>
  <si>
    <t>Savings</t>
  </si>
  <si>
    <t>NPV</t>
  </si>
  <si>
    <t>Notes</t>
  </si>
  <si>
    <t>Category</t>
  </si>
  <si>
    <t>Value/Ton</t>
  </si>
  <si>
    <t>Odds of Barge Breaking Loose with Improved Moorings</t>
  </si>
  <si>
    <t>Reported Losses from 2019 Flood (in millions)</t>
  </si>
  <si>
    <t>Assumed based on discussion with port directors that  90% of cargo would be diverted to rail and 10% to trucks.</t>
  </si>
  <si>
    <t>Number</t>
  </si>
  <si>
    <t>End of Life</t>
  </si>
  <si>
    <t>Moorings End of Life</t>
  </si>
  <si>
    <t>Catoosa Liquid Dolphins</t>
  </si>
  <si>
    <t>Muskogee Dolphin Line</t>
  </si>
  <si>
    <t>Catoosa Dolphins Liquid Tons</t>
  </si>
  <si>
    <t>Capacity Reduction</t>
  </si>
  <si>
    <t>Goods Using Moorings at Risk in Ton</t>
  </si>
  <si>
    <t>Percent Rail</t>
  </si>
  <si>
    <t>Percent Truck</t>
  </si>
  <si>
    <t>Goods not moved</t>
  </si>
  <si>
    <t>Waterway Ton Diversion Percentages</t>
  </si>
  <si>
    <t>Diversion Routes</t>
  </si>
  <si>
    <t>Start</t>
  </si>
  <si>
    <t>End</t>
  </si>
  <si>
    <t>Rail (Catoosa)</t>
  </si>
  <si>
    <t>Rail (Muskogee)</t>
  </si>
  <si>
    <t>Rail Provider</t>
  </si>
  <si>
    <t>UP</t>
  </si>
  <si>
    <t>Diversion is from Mississippi to Muskogee or Clairmore, to be conservative Little Rock is used.</t>
  </si>
  <si>
    <t>Little Rock</t>
  </si>
  <si>
    <t>Clairmore</t>
  </si>
  <si>
    <t>Estimated Route Distance</t>
  </si>
  <si>
    <t>Distance (miles)</t>
  </si>
  <si>
    <t>Truck (Catoosa)</t>
  </si>
  <si>
    <t>Truck (Muskogee)</t>
  </si>
  <si>
    <t>Google Distance</t>
  </si>
  <si>
    <t>Waterway Tons Diverted</t>
  </si>
  <si>
    <t>Diverted Ton-Miles</t>
  </si>
  <si>
    <t>Fatalitiies</t>
  </si>
  <si>
    <t>Inuries</t>
  </si>
  <si>
    <t>Base</t>
  </si>
  <si>
    <t>Diversion</t>
  </si>
  <si>
    <t>Increased Crash Cost</t>
  </si>
  <si>
    <t>Increase in Waterway Traffic</t>
  </si>
  <si>
    <t>Annual Percent</t>
  </si>
  <si>
    <t>Waterway Ton-Miles Diverted</t>
  </si>
  <si>
    <t>Assumes all tonnage comes from the Mississippi River per port operations.</t>
  </si>
  <si>
    <t>Flood Loss Savings - Summary</t>
  </si>
  <si>
    <t>Flood Risk Reduction</t>
  </si>
  <si>
    <t>No Build Cost Potential</t>
  </si>
  <si>
    <t>Build Cost Potential</t>
  </si>
  <si>
    <t>Webber Falls Dam</t>
  </si>
  <si>
    <t>Bridge Repair Costs</t>
  </si>
  <si>
    <t>Operational Costs of Detour</t>
  </si>
  <si>
    <t>Travel Time Costs of Detour</t>
  </si>
  <si>
    <t>Cost During Downtime</t>
  </si>
  <si>
    <t>Hit Probability</t>
  </si>
  <si>
    <t>Risk Total</t>
  </si>
  <si>
    <t>Misc. Information</t>
  </si>
  <si>
    <t>Inflation</t>
  </si>
  <si>
    <t>US 62 Bridge Downtime (months)</t>
  </si>
  <si>
    <t>Webber Falls Dam Downtime (months)</t>
  </si>
  <si>
    <t>Cost of Loose Barge Damage</t>
  </si>
  <si>
    <t>Estimated Bridge Repair + Travel Time &amp; Operational Costs for closure duration (4 months)</t>
  </si>
  <si>
    <t>The 2019 barge strike was minor. The dam &amp; lock repair took 2 months. The overall river repair took 6 months.</t>
  </si>
  <si>
    <t>Source: ODOT Reported 2019 Flood Costs</t>
  </si>
  <si>
    <t>Traffic Volumes</t>
  </si>
  <si>
    <t>Vehicle Hours Traveled</t>
  </si>
  <si>
    <t>Reduction in VHT</t>
  </si>
  <si>
    <t>VHT Benefit</t>
  </si>
  <si>
    <t>Bridge</t>
  </si>
  <si>
    <t>Passenger Vehicles</t>
  </si>
  <si>
    <t>Operational Savings</t>
  </si>
  <si>
    <t>Vehicle Miles Traveled</t>
  </si>
  <si>
    <t>Reduction in VMT</t>
  </si>
  <si>
    <t>VMT Benefit</t>
  </si>
  <si>
    <t>ADT</t>
  </si>
  <si>
    <t>US 62 Bridge Route</t>
  </si>
  <si>
    <t>VHT</t>
  </si>
  <si>
    <t>VMT</t>
  </si>
  <si>
    <t>Truck VHT</t>
  </si>
  <si>
    <t>Passenger Vehicle VHT</t>
  </si>
  <si>
    <t>Truck VMT</t>
  </si>
  <si>
    <t>Passenger Vehicle VMT</t>
  </si>
  <si>
    <t>Growth Rates &amp; Truck Data</t>
  </si>
  <si>
    <t>CAGR - 2015-2043</t>
  </si>
  <si>
    <t>Truck %</t>
  </si>
  <si>
    <t>Source: ODOT</t>
  </si>
  <si>
    <t>US 62 ADT</t>
  </si>
  <si>
    <t>2015 ADT US 62 over Arkansas River</t>
  </si>
  <si>
    <t>2019 ADT US 62 over Arkansas River</t>
  </si>
  <si>
    <t>US 62 Detour Information</t>
  </si>
  <si>
    <t>Corridor Length (Mi.)</t>
  </si>
  <si>
    <t>Speed Limit (MPH)</t>
  </si>
  <si>
    <t>Travel Time (Hr.)</t>
  </si>
  <si>
    <t>Source: ODOT; Google Maps</t>
  </si>
  <si>
    <t>US 62 Bridge Information</t>
  </si>
  <si>
    <t>Loss of Use Diversion</t>
  </si>
  <si>
    <t>Co2</t>
  </si>
  <si>
    <t>Metric Tons</t>
  </si>
  <si>
    <t>NoX</t>
  </si>
  <si>
    <t>So2</t>
  </si>
  <si>
    <t>Cost</t>
  </si>
  <si>
    <t>Polutants</t>
  </si>
  <si>
    <t>Residual Value (2043$)</t>
  </si>
  <si>
    <t>Average Downtime (months)</t>
  </si>
  <si>
    <t>Flood Waterway Diversion</t>
  </si>
  <si>
    <t>Waterway Diversion</t>
  </si>
  <si>
    <t>Flood Risks</t>
  </si>
  <si>
    <t>Diversion Spillage</t>
  </si>
  <si>
    <t>Lost Good</t>
  </si>
  <si>
    <t>2021 BCA SUMMARY - MKARNS Waterway Project</t>
  </si>
  <si>
    <t>Detour Route</t>
  </si>
  <si>
    <t>Detour</t>
  </si>
  <si>
    <t>Table A-7, 2021 BCA Guidance</t>
  </si>
  <si>
    <t>Loss of Use - Safety</t>
  </si>
  <si>
    <t>Loss of Use Diversion - Environmental</t>
  </si>
  <si>
    <t>See "Flood Damage" tab for summary. Flood Safety due to damage from a loose barge strike.</t>
  </si>
  <si>
    <t>Loss of Use Summary</t>
  </si>
  <si>
    <t>Environmental Protection</t>
  </si>
  <si>
    <t>See "Flood Damage" tab.</t>
  </si>
  <si>
    <t>Total Loss of Use Benefit</t>
  </si>
  <si>
    <t>Total Loss of Use Benefit NPV</t>
  </si>
  <si>
    <t>See "Flood Damage" tab for summary.</t>
  </si>
  <si>
    <t>See "Loss of Use" tab for summary.</t>
  </si>
  <si>
    <t>Spillage Rate</t>
  </si>
  <si>
    <t>Source: Port Partners Offical Tonnages</t>
  </si>
  <si>
    <t>Source: ODOT: Port of Muskogee</t>
  </si>
  <si>
    <t>Tonnage Information in OK Portion (2020)</t>
  </si>
  <si>
    <t>Source: ODOT 2020 Freight &amp; Goods Movement</t>
  </si>
  <si>
    <t>Source: ODOT: Port of Catoosa</t>
  </si>
  <si>
    <t>Economic Spillage</t>
  </si>
  <si>
    <t>Flood Damage</t>
  </si>
  <si>
    <t>Loss of Use</t>
  </si>
  <si>
    <t>Total Project Costs (2019$)</t>
  </si>
  <si>
    <t>Existing mooring structures slated for replacement will become unusable beginning in 2025 therefore that is when the loss of use begins.</t>
  </si>
  <si>
    <t>Appendix D, Water Transport Profile, Safety information for 2002-2006 was the most recent five years of data available.</t>
  </si>
  <si>
    <t>Source: Port of Muskogee</t>
  </si>
  <si>
    <t>Value of Time</t>
  </si>
  <si>
    <t>Passenger Vehicle</t>
  </si>
  <si>
    <t>Source: 2021 BCA Guidance</t>
  </si>
  <si>
    <t>Operating Cost</t>
  </si>
  <si>
    <t>Per-Mile Truck</t>
  </si>
  <si>
    <t>Per-Mile Two-Axle</t>
  </si>
  <si>
    <t>Source: USACE Port Critical Maintenance</t>
  </si>
  <si>
    <t>Mooring O&amp;M</t>
  </si>
  <si>
    <t>Only main Wharf is Available. No moorings in Grand.</t>
  </si>
  <si>
    <t>MKARNS Goods Movement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</si>
</sst>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&quot;$&quot;#,##0"/>
    <numFmt numFmtId="167" formatCode="0.000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(&quot;$&quot;* #,##0_);[Red]_(&quot;$&quot;* \(#,##0\);_(&quot;$&quot;* &quot;-&quot;??_);_(@_)"/>
    <numFmt numFmtId="172" formatCode="_(&quot;$&quot;* #,##0.00_);[Red]_(&quot;$&quot;* \(#,##0.00\);_(&quot;$&quot;* &quot;-&quot;??_);_(@_)"/>
    <numFmt numFmtId="173" formatCode="#,##0.0000000000000_);\(#,##0.0000000000000\)"/>
    <numFmt numFmtId="174" formatCode="0.000"/>
    <numFmt numFmtId="175" formatCode="0.0"/>
    <numFmt numFmtId="176" formatCode="0.0%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0"/>
      <color theme="10"/>
      <name val="Arial"/>
      <family val="2"/>
    </font>
    <font>
      <sz val="11"/>
      <name val="Arial Narrow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0" fontId="15" fillId="0" borderId="0" applyNumberFormat="0" applyAlignment="0"/>
    <xf numFmtId="43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38" fontId="15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3" borderId="3" applyNumberFormat="0" applyBorder="0" applyAlignment="0" applyProtection="0"/>
    <xf numFmtId="164" fontId="14" fillId="0" borderId="0"/>
    <xf numFmtId="0" fontId="14" fillId="0" borderId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horizontal="left"/>
    </xf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4">
    <xf numFmtId="0" fontId="0" fillId="0" borderId="0" xfId="0"/>
    <xf numFmtId="0" fontId="24" fillId="7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 wrapText="1"/>
    </xf>
    <xf numFmtId="0" fontId="28" fillId="7" borderId="6" xfId="9" applyFont="1" applyFill="1" applyBorder="1" applyAlignment="1">
      <alignment horizontal="center" vertical="center"/>
    </xf>
    <xf numFmtId="2" fontId="29" fillId="0" borderId="5" xfId="9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/>
    </xf>
    <xf numFmtId="3" fontId="22" fillId="5" borderId="17" xfId="0" applyNumberFormat="1" applyFont="1" applyFill="1" applyBorder="1" applyAlignment="1">
      <alignment horizontal="center"/>
    </xf>
    <xf numFmtId="9" fontId="22" fillId="0" borderId="17" xfId="10" applyFont="1" applyFill="1" applyBorder="1" applyAlignment="1">
      <alignment horizontal="center"/>
    </xf>
    <xf numFmtId="9" fontId="22" fillId="0" borderId="15" xfId="10" applyFont="1" applyFill="1" applyBorder="1" applyAlignment="1">
      <alignment horizontal="center"/>
    </xf>
    <xf numFmtId="0" fontId="22" fillId="4" borderId="3" xfId="3" applyNumberFormat="1" applyFont="1" applyFill="1" applyBorder="1" applyAlignment="1">
      <alignment horizontal="right"/>
    </xf>
    <xf numFmtId="9" fontId="23" fillId="0" borderId="5" xfId="0" applyNumberFormat="1" applyFont="1" applyFill="1" applyBorder="1" applyAlignment="1">
      <alignment horizontal="center"/>
    </xf>
    <xf numFmtId="9" fontId="22" fillId="0" borderId="3" xfId="10" applyFont="1" applyFill="1" applyBorder="1"/>
    <xf numFmtId="3" fontId="22" fillId="0" borderId="25" xfId="0" applyNumberFormat="1" applyFont="1" applyFill="1" applyBorder="1" applyAlignment="1">
      <alignment horizontal="center"/>
    </xf>
    <xf numFmtId="3" fontId="22" fillId="5" borderId="25" xfId="0" applyNumberFormat="1" applyFont="1" applyFill="1" applyBorder="1" applyAlignment="1">
      <alignment horizontal="center"/>
    </xf>
    <xf numFmtId="9" fontId="22" fillId="0" borderId="25" xfId="10" applyFont="1" applyFill="1" applyBorder="1" applyAlignment="1">
      <alignment horizontal="center"/>
    </xf>
    <xf numFmtId="0" fontId="23" fillId="8" borderId="3" xfId="13" applyFont="1" applyFill="1" applyBorder="1" applyAlignment="1"/>
    <xf numFmtId="10" fontId="31" fillId="6" borderId="3" xfId="13" applyNumberFormat="1" applyFont="1" applyFill="1" applyBorder="1" applyAlignment="1">
      <alignment horizontal="center"/>
    </xf>
    <xf numFmtId="40" fontId="35" fillId="6" borderId="3" xfId="13" applyNumberFormat="1" applyFont="1" applyFill="1" applyBorder="1" applyAlignment="1">
      <alignment horizontal="center"/>
    </xf>
    <xf numFmtId="0" fontId="0" fillId="9" borderId="0" xfId="0" applyFill="1"/>
    <xf numFmtId="0" fontId="23" fillId="8" borderId="15" xfId="0" applyFont="1" applyFill="1" applyBorder="1" applyAlignment="1">
      <alignment horizontal="center"/>
    </xf>
    <xf numFmtId="0" fontId="22" fillId="9" borderId="0" xfId="13" applyFont="1" applyFill="1" applyBorder="1" applyAlignment="1">
      <alignment horizontal="center"/>
    </xf>
    <xf numFmtId="9" fontId="22" fillId="9" borderId="0" xfId="13" applyNumberFormat="1" applyFont="1" applyFill="1" applyBorder="1" applyAlignment="1">
      <alignment horizontal="center" vertical="center"/>
    </xf>
    <xf numFmtId="0" fontId="22" fillId="9" borderId="0" xfId="13" applyFont="1" applyFill="1" applyBorder="1" applyAlignment="1">
      <alignment horizontal="center" vertical="center"/>
    </xf>
    <xf numFmtId="3" fontId="22" fillId="9" borderId="0" xfId="13" applyNumberFormat="1" applyFont="1" applyFill="1" applyBorder="1" applyAlignment="1">
      <alignment horizontal="center"/>
    </xf>
    <xf numFmtId="0" fontId="22" fillId="9" borderId="0" xfId="13" applyFont="1" applyFill="1" applyBorder="1"/>
    <xf numFmtId="0" fontId="22" fillId="9" borderId="0" xfId="13" applyFont="1" applyFill="1"/>
    <xf numFmtId="0" fontId="22" fillId="9" borderId="0" xfId="13" applyFont="1" applyFill="1" applyAlignment="1"/>
    <xf numFmtId="0" fontId="23" fillId="9" borderId="0" xfId="13" applyFont="1" applyFill="1" applyBorder="1" applyAlignment="1">
      <alignment horizontal="center"/>
    </xf>
    <xf numFmtId="0" fontId="25" fillId="9" borderId="0" xfId="13" applyFont="1" applyFill="1" applyAlignment="1">
      <alignment horizontal="center"/>
    </xf>
    <xf numFmtId="0" fontId="32" fillId="9" borderId="0" xfId="0" applyFont="1" applyFill="1" applyAlignment="1"/>
    <xf numFmtId="0" fontId="22" fillId="9" borderId="0" xfId="0" applyFont="1" applyFill="1"/>
    <xf numFmtId="0" fontId="30" fillId="9" borderId="0" xfId="0" applyFont="1" applyFill="1" applyBorder="1" applyAlignment="1"/>
    <xf numFmtId="0" fontId="22" fillId="9" borderId="0" xfId="0" applyFont="1" applyFill="1" applyBorder="1"/>
    <xf numFmtId="0" fontId="16" fillId="9" borderId="0" xfId="0" applyFont="1" applyFill="1" applyBorder="1" applyAlignment="1"/>
    <xf numFmtId="0" fontId="0" fillId="9" borderId="0" xfId="0" applyFill="1" applyBorder="1"/>
    <xf numFmtId="0" fontId="22" fillId="9" borderId="0" xfId="0" applyFont="1" applyFill="1" applyAlignment="1"/>
    <xf numFmtId="0" fontId="22" fillId="9" borderId="0" xfId="0" applyFont="1" applyFill="1" applyBorder="1" applyAlignment="1"/>
    <xf numFmtId="0" fontId="23" fillId="9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 wrapText="1"/>
    </xf>
    <xf numFmtId="0" fontId="14" fillId="9" borderId="0" xfId="0" applyFont="1" applyFill="1"/>
    <xf numFmtId="3" fontId="22" fillId="9" borderId="0" xfId="0" applyNumberFormat="1" applyFont="1" applyFill="1"/>
    <xf numFmtId="0" fontId="25" fillId="9" borderId="0" xfId="0" applyFont="1" applyFill="1" applyAlignment="1">
      <alignment horizontal="center"/>
    </xf>
    <xf numFmtId="0" fontId="30" fillId="9" borderId="0" xfId="13" applyFont="1" applyFill="1" applyBorder="1" applyAlignment="1"/>
    <xf numFmtId="0" fontId="20" fillId="9" borderId="0" xfId="0" applyFont="1" applyFill="1"/>
    <xf numFmtId="14" fontId="21" fillId="9" borderId="0" xfId="0" applyNumberFormat="1" applyFont="1" applyFill="1"/>
    <xf numFmtId="0" fontId="17" fillId="9" borderId="0" xfId="5" applyFill="1" applyBorder="1" applyAlignment="1"/>
    <xf numFmtId="166" fontId="31" fillId="9" borderId="0" xfId="13" applyNumberFormat="1" applyFont="1" applyFill="1" applyAlignment="1">
      <alignment vertical="center" wrapText="1"/>
    </xf>
    <xf numFmtId="0" fontId="31" fillId="9" borderId="0" xfId="13" applyFont="1" applyFill="1" applyAlignment="1">
      <alignment vertical="center" wrapText="1"/>
    </xf>
    <xf numFmtId="0" fontId="23" fillId="8" borderId="17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6" fontId="27" fillId="8" borderId="5" xfId="0" applyNumberFormat="1" applyFont="1" applyFill="1" applyBorder="1" applyAlignment="1">
      <alignment horizontal="right"/>
    </xf>
    <xf numFmtId="0" fontId="23" fillId="8" borderId="2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left" wrapText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horizontal="left" vertical="center" wrapText="1"/>
    </xf>
    <xf numFmtId="0" fontId="33" fillId="9" borderId="0" xfId="13" applyFont="1" applyFill="1" applyBorder="1" applyAlignment="1"/>
    <xf numFmtId="0" fontId="23" fillId="8" borderId="15" xfId="0" applyFont="1" applyFill="1" applyBorder="1" applyAlignment="1">
      <alignment horizontal="center" vertical="center" wrapText="1"/>
    </xf>
    <xf numFmtId="0" fontId="39" fillId="0" borderId="15" xfId="31" applyFont="1" applyBorder="1" applyAlignment="1">
      <alignment horizontal="center"/>
    </xf>
    <xf numFmtId="0" fontId="23" fillId="8" borderId="25" xfId="0" applyFont="1" applyFill="1" applyBorder="1" applyAlignment="1">
      <alignment horizontal="center" vertical="center" wrapText="1"/>
    </xf>
    <xf numFmtId="0" fontId="39" fillId="0" borderId="25" xfId="31" applyFont="1" applyBorder="1" applyAlignment="1">
      <alignment horizontal="center"/>
    </xf>
    <xf numFmtId="0" fontId="7" fillId="9" borderId="0" xfId="31" applyFill="1"/>
    <xf numFmtId="0" fontId="38" fillId="9" borderId="0" xfId="31" applyFont="1" applyFill="1"/>
    <xf numFmtId="2" fontId="0" fillId="9" borderId="0" xfId="33" applyNumberFormat="1" applyFont="1" applyFill="1"/>
    <xf numFmtId="0" fontId="24" fillId="7" borderId="9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3" xfId="13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36" fillId="0" borderId="5" xfId="31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9" borderId="0" xfId="13" applyFont="1" applyFill="1" applyAlignment="1">
      <alignment horizontal="center"/>
    </xf>
    <xf numFmtId="0" fontId="22" fillId="6" borderId="3" xfId="13" applyFont="1" applyFill="1" applyBorder="1" applyAlignment="1">
      <alignment horizontal="center"/>
    </xf>
    <xf numFmtId="0" fontId="24" fillId="7" borderId="3" xfId="13" applyFont="1" applyFill="1" applyBorder="1" applyAlignment="1">
      <alignment horizontal="center"/>
    </xf>
    <xf numFmtId="0" fontId="40" fillId="9" borderId="0" xfId="13" applyFont="1" applyFill="1"/>
    <xf numFmtId="0" fontId="41" fillId="0" borderId="0" xfId="36"/>
    <xf numFmtId="0" fontId="22" fillId="8" borderId="3" xfId="13" applyFont="1" applyFill="1" applyBorder="1" applyAlignment="1"/>
    <xf numFmtId="0" fontId="22" fillId="8" borderId="6" xfId="13" applyFont="1" applyFill="1" applyBorder="1" applyAlignment="1"/>
    <xf numFmtId="168" fontId="22" fillId="6" borderId="3" xfId="2" applyNumberFormat="1" applyFont="1" applyFill="1" applyBorder="1" applyAlignment="1"/>
    <xf numFmtId="168" fontId="22" fillId="6" borderId="6" xfId="2" applyNumberFormat="1" applyFont="1" applyFill="1" applyBorder="1" applyAlignment="1"/>
    <xf numFmtId="0" fontId="24" fillId="9" borderId="0" xfId="13" applyFont="1" applyFill="1" applyBorder="1" applyAlignment="1"/>
    <xf numFmtId="0" fontId="0" fillId="9" borderId="0" xfId="0" applyFill="1" applyBorder="1" applyAlignment="1"/>
    <xf numFmtId="169" fontId="22" fillId="6" borderId="3" xfId="2" applyNumberFormat="1" applyFont="1" applyFill="1" applyBorder="1" applyAlignment="1">
      <alignment horizontal="center"/>
    </xf>
    <xf numFmtId="168" fontId="22" fillId="6" borderId="3" xfId="2" applyNumberFormat="1" applyFont="1" applyFill="1" applyBorder="1" applyAlignment="1">
      <alignment horizontal="center"/>
    </xf>
    <xf numFmtId="168" fontId="22" fillId="6" borderId="5" xfId="2" applyNumberFormat="1" applyFont="1" applyFill="1" applyBorder="1" applyAlignment="1">
      <alignment horizontal="center"/>
    </xf>
    <xf numFmtId="0" fontId="23" fillId="8" borderId="6" xfId="13" applyFont="1" applyFill="1" applyBorder="1" applyAlignment="1"/>
    <xf numFmtId="168" fontId="22" fillId="6" borderId="6" xfId="2" applyNumberFormat="1" applyFont="1" applyFill="1" applyBorder="1" applyAlignment="1">
      <alignment horizontal="center"/>
    </xf>
    <xf numFmtId="169" fontId="22" fillId="6" borderId="6" xfId="2" applyNumberFormat="1" applyFont="1" applyFill="1" applyBorder="1" applyAlignment="1">
      <alignment horizontal="center"/>
    </xf>
    <xf numFmtId="9" fontId="22" fillId="6" borderId="3" xfId="10" applyFont="1" applyFill="1" applyBorder="1" applyAlignment="1">
      <alignment horizontal="center"/>
    </xf>
    <xf numFmtId="168" fontId="22" fillId="6" borderId="12" xfId="2" applyNumberFormat="1" applyFont="1" applyFill="1" applyBorder="1" applyAlignment="1"/>
    <xf numFmtId="1" fontId="22" fillId="9" borderId="13" xfId="0" applyNumberFormat="1" applyFont="1" applyFill="1" applyBorder="1" applyAlignment="1">
      <alignment horizontal="center" vertical="center" wrapText="1"/>
    </xf>
    <xf numFmtId="1" fontId="22" fillId="9" borderId="4" xfId="0" applyNumberFormat="1" applyFont="1" applyFill="1" applyBorder="1" applyAlignment="1">
      <alignment horizontal="center" vertical="center" wrapText="1"/>
    </xf>
    <xf numFmtId="1" fontId="22" fillId="9" borderId="14" xfId="0" applyNumberFormat="1" applyFont="1" applyFill="1" applyBorder="1" applyAlignment="1">
      <alignment horizontal="center" vertical="center" wrapText="1"/>
    </xf>
    <xf numFmtId="1" fontId="27" fillId="0" borderId="3" xfId="32" applyNumberFormat="1" applyFont="1" applyBorder="1" applyAlignment="1">
      <alignment horizontal="center" vertical="center"/>
    </xf>
    <xf numFmtId="0" fontId="36" fillId="0" borderId="3" xfId="31" applyFont="1" applyBorder="1" applyAlignment="1">
      <alignment horizontal="center"/>
    </xf>
    <xf numFmtId="0" fontId="23" fillId="9" borderId="0" xfId="0" applyFont="1" applyFill="1" applyBorder="1" applyAlignment="1">
      <alignment horizontal="right"/>
    </xf>
    <xf numFmtId="6" fontId="23" fillId="9" borderId="0" xfId="0" applyNumberFormat="1" applyFont="1" applyFill="1" applyBorder="1"/>
    <xf numFmtId="9" fontId="27" fillId="0" borderId="9" xfId="10" applyFont="1" applyBorder="1" applyAlignment="1">
      <alignment horizontal="center" vertical="center"/>
    </xf>
    <xf numFmtId="0" fontId="24" fillId="7" borderId="3" xfId="13" applyFont="1" applyFill="1" applyBorder="1" applyAlignment="1">
      <alignment horizontal="center"/>
    </xf>
    <xf numFmtId="0" fontId="5" fillId="9" borderId="0" xfId="31" applyFont="1" applyFill="1"/>
    <xf numFmtId="0" fontId="24" fillId="7" borderId="3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169" fontId="23" fillId="6" borderId="5" xfId="2" applyNumberFormat="1" applyFont="1" applyFill="1" applyBorder="1" applyAlignment="1">
      <alignment horizontal="center"/>
    </xf>
    <xf numFmtId="169" fontId="23" fillId="6" borderId="3" xfId="2" applyNumberFormat="1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/>
    </xf>
    <xf numFmtId="171" fontId="22" fillId="0" borderId="17" xfId="3" applyNumberFormat="1" applyFont="1" applyFill="1" applyBorder="1" applyAlignment="1"/>
    <xf numFmtId="171" fontId="22" fillId="5" borderId="17" xfId="3" applyNumberFormat="1" applyFont="1" applyFill="1" applyBorder="1" applyAlignment="1"/>
    <xf numFmtId="171" fontId="22" fillId="0" borderId="25" xfId="3" applyNumberFormat="1" applyFont="1" applyFill="1" applyBorder="1" applyAlignment="1"/>
    <xf numFmtId="171" fontId="22" fillId="5" borderId="25" xfId="3" applyNumberFormat="1" applyFont="1" applyFill="1" applyBorder="1" applyAlignment="1"/>
    <xf numFmtId="171" fontId="22" fillId="0" borderId="5" xfId="3" applyNumberFormat="1" applyFont="1" applyFill="1" applyBorder="1" applyAlignment="1"/>
    <xf numFmtId="171" fontId="22" fillId="5" borderId="5" xfId="3" applyNumberFormat="1" applyFont="1" applyFill="1" applyBorder="1" applyAlignment="1"/>
    <xf numFmtId="171" fontId="26" fillId="5" borderId="5" xfId="0" applyNumberFormat="1" applyFont="1" applyFill="1" applyBorder="1" applyAlignment="1">
      <alignment horizontal="right"/>
    </xf>
    <xf numFmtId="171" fontId="22" fillId="5" borderId="7" xfId="3" applyNumberFormat="1" applyFont="1" applyFill="1" applyBorder="1" applyAlignment="1"/>
    <xf numFmtId="171" fontId="29" fillId="0" borderId="5" xfId="3" applyNumberFormat="1" applyFont="1" applyFill="1" applyBorder="1" applyAlignment="1">
      <alignment horizontal="center" vertical="center"/>
    </xf>
    <xf numFmtId="171" fontId="22" fillId="4" borderId="3" xfId="3" applyNumberFormat="1" applyFont="1" applyFill="1" applyBorder="1" applyAlignment="1">
      <alignment horizontal="right"/>
    </xf>
    <xf numFmtId="171" fontId="22" fillId="5" borderId="3" xfId="3" applyNumberFormat="1" applyFont="1" applyFill="1" applyBorder="1" applyAlignment="1">
      <alignment horizontal="right"/>
    </xf>
    <xf numFmtId="171" fontId="22" fillId="5" borderId="15" xfId="3" applyNumberFormat="1" applyFont="1" applyFill="1" applyBorder="1" applyAlignment="1">
      <alignment horizontal="right"/>
    </xf>
    <xf numFmtId="171" fontId="22" fillId="0" borderId="17" xfId="3" applyNumberFormat="1" applyFont="1" applyFill="1" applyBorder="1" applyAlignment="1">
      <alignment horizontal="right"/>
    </xf>
    <xf numFmtId="171" fontId="22" fillId="5" borderId="25" xfId="3" applyNumberFormat="1" applyFont="1" applyFill="1" applyBorder="1" applyAlignment="1">
      <alignment horizontal="right"/>
    </xf>
    <xf numFmtId="171" fontId="22" fillId="0" borderId="25" xfId="3" applyNumberFormat="1" applyFont="1" applyFill="1" applyBorder="1" applyAlignment="1">
      <alignment horizontal="right"/>
    </xf>
    <xf numFmtId="171" fontId="23" fillId="5" borderId="5" xfId="3" applyNumberFormat="1" applyFont="1" applyFill="1" applyBorder="1" applyAlignment="1">
      <alignment horizontal="right"/>
    </xf>
    <xf numFmtId="171" fontId="23" fillId="0" borderId="5" xfId="3" applyNumberFormat="1" applyFont="1" applyFill="1" applyBorder="1" applyAlignment="1">
      <alignment horizontal="right"/>
    </xf>
    <xf numFmtId="171" fontId="22" fillId="5" borderId="15" xfId="35" applyNumberFormat="1" applyFont="1" applyFill="1" applyBorder="1" applyAlignment="1">
      <alignment horizontal="right"/>
    </xf>
    <xf numFmtId="171" fontId="22" fillId="5" borderId="25" xfId="35" applyNumberFormat="1" applyFont="1" applyFill="1" applyBorder="1" applyAlignment="1">
      <alignment horizontal="right"/>
    </xf>
    <xf numFmtId="171" fontId="36" fillId="5" borderId="5" xfId="32" applyNumberFormat="1" applyFont="1" applyFill="1" applyBorder="1" applyAlignment="1">
      <alignment horizontal="right"/>
    </xf>
    <xf numFmtId="171" fontId="22" fillId="0" borderId="15" xfId="35" applyNumberFormat="1" applyFont="1" applyFill="1" applyBorder="1" applyAlignment="1">
      <alignment horizontal="right"/>
    </xf>
    <xf numFmtId="171" fontId="22" fillId="0" borderId="25" xfId="35" applyNumberFormat="1" applyFont="1" applyFill="1" applyBorder="1" applyAlignment="1">
      <alignment horizontal="right"/>
    </xf>
    <xf numFmtId="171" fontId="36" fillId="0" borderId="5" xfId="32" applyNumberFormat="1" applyFont="1" applyFill="1" applyBorder="1" applyAlignment="1">
      <alignment horizontal="right"/>
    </xf>
    <xf numFmtId="171" fontId="22" fillId="10" borderId="13" xfId="0" applyNumberFormat="1" applyFont="1" applyFill="1" applyBorder="1" applyAlignment="1">
      <alignment horizontal="right" vertical="center" wrapText="1"/>
    </xf>
    <xf numFmtId="171" fontId="22" fillId="9" borderId="13" xfId="0" applyNumberFormat="1" applyFont="1" applyFill="1" applyBorder="1" applyAlignment="1">
      <alignment horizontal="right" vertical="center" wrapText="1"/>
    </xf>
    <xf numFmtId="171" fontId="22" fillId="10" borderId="4" xfId="0" applyNumberFormat="1" applyFont="1" applyFill="1" applyBorder="1" applyAlignment="1">
      <alignment horizontal="right" vertical="center" wrapText="1"/>
    </xf>
    <xf numFmtId="171" fontId="22" fillId="9" borderId="4" xfId="0" applyNumberFormat="1" applyFont="1" applyFill="1" applyBorder="1" applyAlignment="1">
      <alignment horizontal="right" vertical="center" wrapText="1"/>
    </xf>
    <xf numFmtId="171" fontId="22" fillId="0" borderId="14" xfId="0" applyNumberFormat="1" applyFont="1" applyFill="1" applyBorder="1" applyAlignment="1">
      <alignment horizontal="right" vertical="center" wrapText="1"/>
    </xf>
    <xf numFmtId="171" fontId="22" fillId="10" borderId="14" xfId="0" applyNumberFormat="1" applyFont="1" applyFill="1" applyBorder="1" applyAlignment="1">
      <alignment horizontal="right" vertical="center" wrapText="1"/>
    </xf>
    <xf numFmtId="171" fontId="22" fillId="0" borderId="13" xfId="0" applyNumberFormat="1" applyFont="1" applyFill="1" applyBorder="1" applyAlignment="1">
      <alignment horizontal="right" vertical="center" wrapText="1"/>
    </xf>
    <xf numFmtId="171" fontId="22" fillId="0" borderId="3" xfId="0" applyNumberFormat="1" applyFont="1" applyFill="1" applyBorder="1" applyAlignment="1">
      <alignment horizontal="right" vertical="center" wrapText="1"/>
    </xf>
    <xf numFmtId="171" fontId="22" fillId="5" borderId="17" xfId="3" applyNumberFormat="1" applyFont="1" applyFill="1" applyBorder="1" applyAlignment="1">
      <alignment horizontal="center"/>
    </xf>
    <xf numFmtId="171" fontId="23" fillId="0" borderId="29" xfId="0" applyNumberFormat="1" applyFont="1" applyBorder="1" applyAlignment="1">
      <alignment horizontal="right"/>
    </xf>
    <xf numFmtId="171" fontId="22" fillId="6" borderId="3" xfId="3" applyNumberFormat="1" applyFont="1" applyFill="1" applyBorder="1"/>
    <xf numFmtId="171" fontId="22" fillId="6" borderId="6" xfId="3" applyNumberFormat="1" applyFont="1" applyFill="1" applyBorder="1"/>
    <xf numFmtId="172" fontId="23" fillId="8" borderId="3" xfId="3" applyNumberFormat="1" applyFont="1" applyFill="1" applyBorder="1" applyAlignment="1"/>
    <xf numFmtId="0" fontId="4" fillId="9" borderId="0" xfId="31" applyFont="1" applyFill="1"/>
    <xf numFmtId="0" fontId="4" fillId="10" borderId="3" xfId="31" applyFont="1" applyFill="1" applyBorder="1" applyAlignment="1">
      <alignment horizontal="center"/>
    </xf>
    <xf numFmtId="168" fontId="22" fillId="10" borderId="3" xfId="2" applyNumberFormat="1" applyFont="1" applyFill="1" applyBorder="1" applyAlignment="1">
      <alignment horizontal="center"/>
    </xf>
    <xf numFmtId="173" fontId="22" fillId="6" borderId="5" xfId="2" applyNumberFormat="1" applyFont="1" applyFill="1" applyBorder="1" applyAlignment="1">
      <alignment horizontal="center"/>
    </xf>
    <xf numFmtId="168" fontId="22" fillId="10" borderId="6" xfId="2" applyNumberFormat="1" applyFont="1" applyFill="1" applyBorder="1" applyAlignment="1">
      <alignment horizontal="center"/>
    </xf>
    <xf numFmtId="43" fontId="22" fillId="6" borderId="5" xfId="2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left"/>
    </xf>
    <xf numFmtId="0" fontId="24" fillId="7" borderId="3" xfId="0" applyFont="1" applyFill="1" applyBorder="1"/>
    <xf numFmtId="0" fontId="23" fillId="8" borderId="3" xfId="0" applyFont="1" applyFill="1" applyBorder="1" applyAlignment="1">
      <alignment horizontal="left"/>
    </xf>
    <xf numFmtId="0" fontId="23" fillId="9" borderId="0" xfId="0" applyFont="1" applyFill="1" applyAlignment="1">
      <alignment horizontal="left" wrapText="1"/>
    </xf>
    <xf numFmtId="0" fontId="23" fillId="8" borderId="13" xfId="0" applyFont="1" applyFill="1" applyBorder="1" applyAlignment="1">
      <alignment horizontal="left"/>
    </xf>
    <xf numFmtId="0" fontId="23" fillId="8" borderId="15" xfId="0" applyFont="1" applyFill="1" applyBorder="1" applyAlignment="1">
      <alignment horizontal="left"/>
    </xf>
    <xf numFmtId="0" fontId="23" fillId="8" borderId="14" xfId="0" applyFont="1" applyFill="1" applyBorder="1" applyAlignment="1">
      <alignment horizontal="left" wrapText="1"/>
    </xf>
    <xf numFmtId="0" fontId="24" fillId="7" borderId="3" xfId="0" applyFont="1" applyFill="1" applyBorder="1" applyAlignment="1">
      <alignment horizontal="center" vertical="center" wrapText="1"/>
    </xf>
    <xf numFmtId="171" fontId="31" fillId="6" borderId="3" xfId="13" applyNumberFormat="1" applyFont="1" applyFill="1" applyBorder="1" applyAlignment="1">
      <alignment horizontal="center"/>
    </xf>
    <xf numFmtId="0" fontId="22" fillId="0" borderId="0" xfId="0" applyFont="1" applyFill="1"/>
    <xf numFmtId="0" fontId="24" fillId="7" borderId="3" xfId="0" applyFont="1" applyFill="1" applyBorder="1" applyAlignment="1">
      <alignment horizontal="center" wrapText="1"/>
    </xf>
    <xf numFmtId="0" fontId="41" fillId="9" borderId="0" xfId="36" applyFill="1"/>
    <xf numFmtId="174" fontId="22" fillId="6" borderId="3" xfId="13" applyNumberFormat="1" applyFont="1" applyFill="1" applyBorder="1" applyAlignment="1">
      <alignment horizontal="center"/>
    </xf>
    <xf numFmtId="2" fontId="22" fillId="6" borderId="3" xfId="13" applyNumberFormat="1" applyFont="1" applyFill="1" applyBorder="1" applyAlignment="1">
      <alignment horizontal="center"/>
    </xf>
    <xf numFmtId="165" fontId="22" fillId="5" borderId="17" xfId="3" applyNumberFormat="1" applyFont="1" applyFill="1" applyBorder="1" applyAlignment="1">
      <alignment horizontal="center"/>
    </xf>
    <xf numFmtId="3" fontId="42" fillId="9" borderId="0" xfId="0" applyNumberFormat="1" applyFont="1" applyFill="1" applyAlignment="1">
      <alignment horizontal="right"/>
    </xf>
    <xf numFmtId="168" fontId="22" fillId="9" borderId="0" xfId="2" applyNumberFormat="1" applyFont="1" applyFill="1" applyBorder="1" applyAlignment="1">
      <alignment horizontal="center"/>
    </xf>
    <xf numFmtId="43" fontId="22" fillId="9" borderId="0" xfId="2" applyNumberFormat="1" applyFont="1" applyFill="1" applyBorder="1" applyAlignment="1">
      <alignment horizontal="center"/>
    </xf>
    <xf numFmtId="173" fontId="22" fillId="9" borderId="0" xfId="2" applyNumberFormat="1" applyFont="1" applyFill="1" applyBorder="1" applyAlignment="1">
      <alignment horizontal="center"/>
    </xf>
    <xf numFmtId="3" fontId="42" fillId="9" borderId="0" xfId="0" applyNumberFormat="1" applyFont="1" applyFill="1" applyAlignment="1"/>
    <xf numFmtId="0" fontId="22" fillId="9" borderId="0" xfId="13" applyFont="1" applyFill="1" applyAlignment="1">
      <alignment horizontal="right"/>
    </xf>
    <xf numFmtId="0" fontId="36" fillId="0" borderId="22" xfId="31" applyFont="1" applyFill="1" applyBorder="1" applyAlignment="1">
      <alignment horizontal="right"/>
    </xf>
    <xf numFmtId="0" fontId="43" fillId="8" borderId="15" xfId="0" applyFont="1" applyFill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center" vertical="center" wrapText="1"/>
    </xf>
    <xf numFmtId="171" fontId="22" fillId="0" borderId="7" xfId="3" applyNumberFormat="1" applyFont="1" applyFill="1" applyBorder="1" applyAlignment="1"/>
    <xf numFmtId="171" fontId="22" fillId="0" borderId="15" xfId="3" applyNumberFormat="1" applyFont="1" applyFill="1" applyBorder="1" applyAlignment="1"/>
    <xf numFmtId="171" fontId="22" fillId="5" borderId="15" xfId="3" applyNumberFormat="1" applyFont="1" applyFill="1" applyBorder="1" applyAlignment="1"/>
    <xf numFmtId="0" fontId="23" fillId="8" borderId="16" xfId="0" applyFont="1" applyFill="1" applyBorder="1" applyAlignment="1">
      <alignment horizontal="left" vertical="center" wrapText="1"/>
    </xf>
    <xf numFmtId="0" fontId="23" fillId="8" borderId="15" xfId="0" applyFont="1" applyFill="1" applyBorder="1" applyAlignment="1">
      <alignment horizontal="left" vertical="center" wrapText="1"/>
    </xf>
    <xf numFmtId="1" fontId="22" fillId="9" borderId="15" xfId="0" applyNumberFormat="1" applyFont="1" applyFill="1" applyBorder="1" applyAlignment="1">
      <alignment horizontal="center" vertical="center" wrapText="1"/>
    </xf>
    <xf numFmtId="175" fontId="22" fillId="9" borderId="13" xfId="0" applyNumberFormat="1" applyFont="1" applyFill="1" applyBorder="1" applyAlignment="1">
      <alignment horizontal="center" vertical="center" wrapText="1"/>
    </xf>
    <xf numFmtId="2" fontId="22" fillId="9" borderId="13" xfId="0" applyNumberFormat="1" applyFont="1" applyFill="1" applyBorder="1" applyAlignment="1">
      <alignment horizontal="center" vertical="center" wrapText="1"/>
    </xf>
    <xf numFmtId="0" fontId="2" fillId="9" borderId="0" xfId="31" applyFont="1" applyFill="1"/>
    <xf numFmtId="0" fontId="14" fillId="6" borderId="3" xfId="0" applyFont="1" applyFill="1" applyBorder="1"/>
    <xf numFmtId="10" fontId="14" fillId="6" borderId="3" xfId="10" applyNumberFormat="1" applyFont="1" applyFill="1" applyBorder="1"/>
    <xf numFmtId="0" fontId="0" fillId="6" borderId="3" xfId="0" applyFill="1" applyBorder="1"/>
    <xf numFmtId="10" fontId="14" fillId="6" borderId="3" xfId="10" applyNumberFormat="1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0" fontId="0" fillId="6" borderId="3" xfId="10" applyNumberFormat="1" applyFont="1" applyFill="1" applyBorder="1"/>
    <xf numFmtId="0" fontId="24" fillId="7" borderId="3" xfId="0" applyFont="1" applyFill="1" applyBorder="1" applyAlignment="1">
      <alignment horizontal="center" vertical="center" wrapText="1"/>
    </xf>
    <xf numFmtId="3" fontId="14" fillId="6" borderId="3" xfId="0" applyNumberFormat="1" applyFont="1" applyFill="1" applyBorder="1"/>
    <xf numFmtId="0" fontId="22" fillId="14" borderId="3" xfId="13" applyFont="1" applyFill="1" applyBorder="1" applyAlignment="1"/>
    <xf numFmtId="0" fontId="22" fillId="11" borderId="3" xfId="13" applyFont="1" applyFill="1" applyBorder="1" applyAlignment="1"/>
    <xf numFmtId="0" fontId="22" fillId="15" borderId="3" xfId="13" applyFont="1" applyFill="1" applyBorder="1" applyAlignment="1"/>
    <xf numFmtId="0" fontId="22" fillId="16" borderId="3" xfId="13" applyFont="1" applyFill="1" applyBorder="1" applyAlignment="1"/>
    <xf numFmtId="0" fontId="22" fillId="17" borderId="3" xfId="13" applyFont="1" applyFill="1" applyBorder="1" applyAlignment="1"/>
    <xf numFmtId="0" fontId="22" fillId="18" borderId="3" xfId="13" applyFont="1" applyFill="1" applyBorder="1" applyAlignment="1"/>
    <xf numFmtId="0" fontId="22" fillId="20" borderId="3" xfId="13" applyFont="1" applyFill="1" applyBorder="1" applyAlignment="1"/>
    <xf numFmtId="0" fontId="22" fillId="21" borderId="3" xfId="13" applyFont="1" applyFill="1" applyBorder="1" applyAlignment="1"/>
    <xf numFmtId="0" fontId="22" fillId="10" borderId="3" xfId="13" applyFont="1" applyFill="1" applyBorder="1" applyAlignment="1"/>
    <xf numFmtId="0" fontId="14" fillId="22" borderId="3" xfId="0" applyFont="1" applyFill="1" applyBorder="1"/>
    <xf numFmtId="0" fontId="22" fillId="23" borderId="3" xfId="13" applyFont="1" applyFill="1" applyBorder="1" applyAlignment="1"/>
    <xf numFmtId="0" fontId="14" fillId="23" borderId="3" xfId="0" applyFont="1" applyFill="1" applyBorder="1"/>
    <xf numFmtId="0" fontId="14" fillId="11" borderId="3" xfId="0" applyFont="1" applyFill="1" applyBorder="1"/>
    <xf numFmtId="0" fontId="14" fillId="15" borderId="3" xfId="0" applyFont="1" applyFill="1" applyBorder="1"/>
    <xf numFmtId="0" fontId="14" fillId="17" borderId="3" xfId="0" applyFont="1" applyFill="1" applyBorder="1"/>
    <xf numFmtId="0" fontId="47" fillId="19" borderId="3" xfId="13" applyFont="1" applyFill="1" applyBorder="1" applyAlignment="1"/>
    <xf numFmtId="0" fontId="48" fillId="19" borderId="3" xfId="0" applyFont="1" applyFill="1" applyBorder="1"/>
    <xf numFmtId="0" fontId="14" fillId="18" borderId="3" xfId="0" applyFont="1" applyFill="1" applyBorder="1"/>
    <xf numFmtId="165" fontId="22" fillId="0" borderId="17" xfId="3" applyNumberFormat="1" applyFont="1" applyFill="1" applyBorder="1" applyAlignment="1">
      <alignment horizontal="center"/>
    </xf>
    <xf numFmtId="165" fontId="22" fillId="0" borderId="25" xfId="3" applyNumberFormat="1" applyFont="1" applyFill="1" applyBorder="1" applyAlignment="1">
      <alignment horizontal="center"/>
    </xf>
    <xf numFmtId="0" fontId="22" fillId="18" borderId="3" xfId="13" applyFont="1" applyFill="1" applyBorder="1"/>
    <xf numFmtId="0" fontId="22" fillId="17" borderId="3" xfId="13" applyFont="1" applyFill="1" applyBorder="1"/>
    <xf numFmtId="0" fontId="47" fillId="19" borderId="3" xfId="13" applyFont="1" applyFill="1" applyBorder="1"/>
    <xf numFmtId="0" fontId="22" fillId="22" borderId="3" xfId="13" applyFont="1" applyFill="1" applyBorder="1"/>
    <xf numFmtId="0" fontId="22" fillId="16" borderId="3" xfId="13" applyFont="1" applyFill="1" applyBorder="1"/>
    <xf numFmtId="168" fontId="22" fillId="6" borderId="3" xfId="2" applyNumberFormat="1" applyFont="1" applyFill="1" applyBorder="1" applyAlignment="1">
      <alignment horizontal="center" vertical="center"/>
    </xf>
    <xf numFmtId="168" fontId="22" fillId="6" borderId="8" xfId="2" applyNumberFormat="1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165" fontId="27" fillId="9" borderId="3" xfId="3" applyNumberFormat="1" applyFont="1" applyFill="1" applyBorder="1" applyAlignment="1">
      <alignment vertical="center"/>
    </xf>
    <xf numFmtId="0" fontId="24" fillId="7" borderId="12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left"/>
    </xf>
    <xf numFmtId="0" fontId="31" fillId="8" borderId="3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4" fillId="7" borderId="3" xfId="0" applyFont="1" applyFill="1" applyBorder="1" applyAlignment="1">
      <alignment horizontal="right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24" fillId="9" borderId="0" xfId="13" applyFont="1" applyFill="1" applyBorder="1" applyAlignment="1">
      <alignment horizontal="center"/>
    </xf>
    <xf numFmtId="171" fontId="31" fillId="6" borderId="3" xfId="13" applyNumberFormat="1" applyFont="1" applyFill="1" applyBorder="1" applyAlignment="1">
      <alignment horizontal="center" vertical="center" wrapText="1"/>
    </xf>
    <xf numFmtId="0" fontId="22" fillId="7" borderId="8" xfId="13" applyFont="1" applyFill="1" applyBorder="1" applyAlignment="1">
      <alignment horizontal="center"/>
    </xf>
    <xf numFmtId="0" fontId="22" fillId="7" borderId="5" xfId="13" applyFont="1" applyFill="1" applyBorder="1" applyAlignment="1">
      <alignment horizontal="center"/>
    </xf>
    <xf numFmtId="0" fontId="24" fillId="7" borderId="3" xfId="13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 vertical="center"/>
    </xf>
    <xf numFmtId="168" fontId="22" fillId="9" borderId="3" xfId="2" applyNumberFormat="1" applyFont="1" applyFill="1" applyBorder="1" applyAlignment="1">
      <alignment horizontal="left" vertical="center" wrapText="1"/>
    </xf>
    <xf numFmtId="165" fontId="22" fillId="9" borderId="3" xfId="3" applyNumberFormat="1" applyFont="1" applyFill="1" applyBorder="1" applyAlignment="1">
      <alignment horizontal="left" vertical="center" wrapText="1"/>
    </xf>
    <xf numFmtId="175" fontId="22" fillId="9" borderId="3" xfId="0" applyNumberFormat="1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/>
    <xf numFmtId="0" fontId="24" fillId="7" borderId="3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171" fontId="22" fillId="5" borderId="29" xfId="3" applyNumberFormat="1" applyFont="1" applyFill="1" applyBorder="1" applyAlignment="1">
      <alignment horizontal="center"/>
    </xf>
    <xf numFmtId="0" fontId="31" fillId="8" borderId="3" xfId="13" applyFont="1" applyFill="1" applyBorder="1" applyAlignment="1">
      <alignment vertical="center" wrapText="1"/>
    </xf>
    <xf numFmtId="171" fontId="31" fillId="6" borderId="3" xfId="13" applyNumberFormat="1" applyFont="1" applyFill="1" applyBorder="1" applyAlignment="1">
      <alignment vertical="center" wrapText="1"/>
    </xf>
    <xf numFmtId="165" fontId="22" fillId="5" borderId="25" xfId="3" applyNumberFormat="1" applyFont="1" applyFill="1" applyBorder="1" applyAlignment="1">
      <alignment horizontal="center"/>
    </xf>
    <xf numFmtId="171" fontId="23" fillId="9" borderId="5" xfId="0" applyNumberFormat="1" applyFont="1" applyFill="1" applyBorder="1"/>
    <xf numFmtId="171" fontId="23" fillId="5" borderId="5" xfId="0" applyNumberFormat="1" applyFont="1" applyFill="1" applyBorder="1"/>
    <xf numFmtId="0" fontId="23" fillId="9" borderId="0" xfId="0" applyFont="1" applyFill="1" applyAlignment="1">
      <alignment horizontal="right"/>
    </xf>
    <xf numFmtId="171" fontId="23" fillId="9" borderId="0" xfId="0" applyNumberFormat="1" applyFont="1" applyFill="1"/>
    <xf numFmtId="9" fontId="22" fillId="5" borderId="17" xfId="10" applyFont="1" applyFill="1" applyBorder="1" applyAlignment="1">
      <alignment horizontal="center"/>
    </xf>
    <xf numFmtId="9" fontId="22" fillId="9" borderId="17" xfId="10" applyFont="1" applyFill="1" applyBorder="1" applyAlignment="1">
      <alignment horizontal="center"/>
    </xf>
    <xf numFmtId="165" fontId="22" fillId="0" borderId="15" xfId="3" applyNumberFormat="1" applyFont="1" applyFill="1" applyBorder="1" applyAlignment="1">
      <alignment horizontal="center"/>
    </xf>
    <xf numFmtId="165" fontId="22" fillId="9" borderId="17" xfId="3" applyNumberFormat="1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 wrapText="1"/>
    </xf>
    <xf numFmtId="0" fontId="24" fillId="7" borderId="6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1" fontId="22" fillId="5" borderId="13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1" fontId="22" fillId="5" borderId="15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left" vertical="center" wrapText="1"/>
    </xf>
    <xf numFmtId="0" fontId="22" fillId="9" borderId="25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2" fontId="22" fillId="0" borderId="25" xfId="0" applyNumberFormat="1" applyFont="1" applyBorder="1" applyAlignment="1">
      <alignment horizontal="center" vertical="center" wrapText="1"/>
    </xf>
    <xf numFmtId="1" fontId="22" fillId="5" borderId="25" xfId="0" applyNumberFormat="1" applyFont="1" applyFill="1" applyBorder="1" applyAlignment="1">
      <alignment horizontal="center" vertical="center" wrapText="1"/>
    </xf>
    <xf numFmtId="1" fontId="22" fillId="9" borderId="25" xfId="0" applyNumberFormat="1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right" vertical="center" wrapText="1"/>
    </xf>
    <xf numFmtId="0" fontId="45" fillId="9" borderId="5" xfId="37" applyFont="1" applyFill="1" applyBorder="1" applyAlignment="1">
      <alignment horizontal="center"/>
    </xf>
    <xf numFmtId="0" fontId="45" fillId="5" borderId="5" xfId="37" applyFont="1" applyFill="1" applyBorder="1" applyAlignment="1">
      <alignment horizontal="center"/>
    </xf>
    <xf numFmtId="0" fontId="23" fillId="8" borderId="5" xfId="0" applyFont="1" applyFill="1" applyBorder="1" applyAlignment="1">
      <alignment horizontal="right" vertical="center" wrapText="1"/>
    </xf>
    <xf numFmtId="165" fontId="27" fillId="5" borderId="12" xfId="3" applyNumberFormat="1" applyFont="1" applyFill="1" applyBorder="1" applyAlignment="1">
      <alignment vertical="center"/>
    </xf>
    <xf numFmtId="0" fontId="22" fillId="0" borderId="0" xfId="13" applyFont="1"/>
    <xf numFmtId="0" fontId="33" fillId="9" borderId="0" xfId="13" applyFont="1" applyFill="1"/>
    <xf numFmtId="0" fontId="22" fillId="9" borderId="0" xfId="13" quotePrefix="1" applyFont="1" applyFill="1"/>
    <xf numFmtId="0" fontId="24" fillId="7" borderId="6" xfId="13" applyFont="1" applyFill="1" applyBorder="1" applyAlignment="1">
      <alignment horizontal="center" vertical="center" wrapText="1"/>
    </xf>
    <xf numFmtId="0" fontId="24" fillId="7" borderId="7" xfId="13" applyFont="1" applyFill="1" applyBorder="1" applyAlignment="1">
      <alignment horizontal="center" vertical="center" wrapText="1"/>
    </xf>
    <xf numFmtId="0" fontId="23" fillId="8" borderId="15" xfId="13" applyFont="1" applyFill="1" applyBorder="1" applyAlignment="1">
      <alignment horizontal="center"/>
    </xf>
    <xf numFmtId="3" fontId="22" fillId="0" borderId="17" xfId="13" applyNumberFormat="1" applyFont="1" applyBorder="1" applyAlignment="1">
      <alignment horizontal="center"/>
    </xf>
    <xf numFmtId="3" fontId="22" fillId="5" borderId="17" xfId="13" applyNumberFormat="1" applyFont="1" applyFill="1" applyBorder="1" applyAlignment="1">
      <alignment horizontal="center"/>
    </xf>
    <xf numFmtId="3" fontId="22" fillId="5" borderId="30" xfId="13" applyNumberFormat="1" applyFont="1" applyFill="1" applyBorder="1" applyAlignment="1">
      <alignment horizontal="center"/>
    </xf>
    <xf numFmtId="3" fontId="22" fillId="9" borderId="0" xfId="13" applyNumberFormat="1" applyFont="1" applyFill="1" applyAlignment="1">
      <alignment horizontal="center"/>
    </xf>
    <xf numFmtId="0" fontId="24" fillId="7" borderId="3" xfId="13" applyFont="1" applyFill="1" applyBorder="1" applyAlignment="1">
      <alignment horizontal="center" vertical="center" wrapText="1"/>
    </xf>
    <xf numFmtId="3" fontId="22" fillId="0" borderId="15" xfId="13" applyNumberFormat="1" applyFont="1" applyBorder="1" applyAlignment="1">
      <alignment horizontal="center"/>
    </xf>
    <xf numFmtId="3" fontId="22" fillId="5" borderId="15" xfId="13" applyNumberFormat="1" applyFont="1" applyFill="1" applyBorder="1" applyAlignment="1">
      <alignment horizontal="center"/>
    </xf>
    <xf numFmtId="0" fontId="23" fillId="9" borderId="0" xfId="13" applyFont="1" applyFill="1" applyAlignment="1">
      <alignment horizontal="right"/>
    </xf>
    <xf numFmtId="6" fontId="23" fillId="9" borderId="0" xfId="3" applyNumberFormat="1" applyFont="1" applyFill="1" applyBorder="1"/>
    <xf numFmtId="0" fontId="24" fillId="7" borderId="3" xfId="13" applyFont="1" applyFill="1" applyBorder="1" applyAlignment="1">
      <alignment horizontal="center" vertical="center"/>
    </xf>
    <xf numFmtId="0" fontId="23" fillId="8" borderId="17" xfId="13" applyFont="1" applyFill="1" applyBorder="1" applyAlignment="1">
      <alignment horizontal="center"/>
    </xf>
    <xf numFmtId="3" fontId="22" fillId="9" borderId="17" xfId="13" applyNumberFormat="1" applyFont="1" applyFill="1" applyBorder="1" applyAlignment="1">
      <alignment horizontal="center"/>
    </xf>
    <xf numFmtId="3" fontId="22" fillId="9" borderId="15" xfId="13" applyNumberFormat="1" applyFont="1" applyFill="1" applyBorder="1" applyAlignment="1">
      <alignment horizontal="center"/>
    </xf>
    <xf numFmtId="0" fontId="23" fillId="8" borderId="14" xfId="13" applyFont="1" applyFill="1" applyBorder="1" applyAlignment="1">
      <alignment horizontal="center"/>
    </xf>
    <xf numFmtId="3" fontId="22" fillId="0" borderId="14" xfId="13" applyNumberFormat="1" applyFont="1" applyBorder="1" applyAlignment="1">
      <alignment horizontal="center"/>
    </xf>
    <xf numFmtId="3" fontId="22" fillId="5" borderId="14" xfId="13" applyNumberFormat="1" applyFont="1" applyFill="1" applyBorder="1" applyAlignment="1">
      <alignment horizontal="center"/>
    </xf>
    <xf numFmtId="3" fontId="22" fillId="9" borderId="14" xfId="13" applyNumberFormat="1" applyFont="1" applyFill="1" applyBorder="1" applyAlignment="1">
      <alignment horizontal="center"/>
    </xf>
    <xf numFmtId="0" fontId="23" fillId="9" borderId="0" xfId="13" applyFont="1" applyFill="1" applyAlignment="1">
      <alignment horizontal="center"/>
    </xf>
    <xf numFmtId="9" fontId="22" fillId="9" borderId="0" xfId="13" applyNumberFormat="1" applyFont="1" applyFill="1" applyAlignment="1">
      <alignment horizontal="center" vertical="center"/>
    </xf>
    <xf numFmtId="0" fontId="22" fillId="9" borderId="0" xfId="13" applyFont="1" applyFill="1" applyAlignment="1">
      <alignment horizontal="center" vertical="center"/>
    </xf>
    <xf numFmtId="0" fontId="23" fillId="9" borderId="0" xfId="13" applyFont="1" applyFill="1" applyAlignment="1">
      <alignment wrapText="1"/>
    </xf>
    <xf numFmtId="0" fontId="23" fillId="9" borderId="0" xfId="13" applyFont="1" applyFill="1" applyAlignment="1">
      <alignment horizontal="left" wrapText="1"/>
    </xf>
    <xf numFmtId="0" fontId="23" fillId="9" borderId="20" xfId="13" applyFont="1" applyFill="1" applyBorder="1" applyAlignment="1">
      <alignment wrapText="1"/>
    </xf>
    <xf numFmtId="0" fontId="23" fillId="8" borderId="3" xfId="13" applyFont="1" applyFill="1" applyBorder="1"/>
    <xf numFmtId="10" fontId="23" fillId="6" borderId="3" xfId="13" applyNumberFormat="1" applyFont="1" applyFill="1" applyBorder="1"/>
    <xf numFmtId="0" fontId="22" fillId="9" borderId="0" xfId="13" applyFont="1" applyFill="1" applyAlignment="1">
      <alignment horizontal="left" wrapText="1"/>
    </xf>
    <xf numFmtId="0" fontId="23" fillId="8" borderId="3" xfId="13" applyFont="1" applyFill="1" applyBorder="1" applyAlignment="1">
      <alignment wrapText="1"/>
    </xf>
    <xf numFmtId="168" fontId="23" fillId="6" borderId="3" xfId="38" applyNumberFormat="1" applyFont="1" applyFill="1" applyBorder="1"/>
    <xf numFmtId="2" fontId="23" fillId="8" borderId="3" xfId="13" applyNumberFormat="1" applyFont="1" applyFill="1" applyBorder="1"/>
    <xf numFmtId="2" fontId="23" fillId="6" borderId="3" xfId="13" applyNumberFormat="1" applyFont="1" applyFill="1" applyBorder="1"/>
    <xf numFmtId="1" fontId="23" fillId="6" borderId="3" xfId="13" applyNumberFormat="1" applyFont="1" applyFill="1" applyBorder="1"/>
    <xf numFmtId="0" fontId="49" fillId="9" borderId="0" xfId="13" applyFont="1" applyFill="1"/>
    <xf numFmtId="0" fontId="22" fillId="9" borderId="0" xfId="3" applyNumberFormat="1" applyFont="1" applyFill="1" applyAlignment="1">
      <alignment horizontal="right"/>
    </xf>
    <xf numFmtId="0" fontId="23" fillId="9" borderId="0" xfId="13" applyFont="1" applyFill="1" applyAlignment="1">
      <alignment horizontal="center" vertical="center" wrapText="1"/>
    </xf>
    <xf numFmtId="0" fontId="23" fillId="9" borderId="0" xfId="13" applyFont="1" applyFill="1" applyAlignment="1">
      <alignment horizontal="left"/>
    </xf>
    <xf numFmtId="0" fontId="22" fillId="9" borderId="0" xfId="13" applyFont="1" applyFill="1" applyAlignment="1">
      <alignment horizontal="left"/>
    </xf>
    <xf numFmtId="0" fontId="22" fillId="9" borderId="0" xfId="13" applyFont="1" applyFill="1" applyAlignment="1">
      <alignment vertical="center"/>
    </xf>
    <xf numFmtId="3" fontId="22" fillId="9" borderId="0" xfId="3" applyNumberFormat="1" applyFont="1" applyFill="1" applyAlignment="1">
      <alignment horizontal="center"/>
    </xf>
    <xf numFmtId="0" fontId="24" fillId="9" borderId="0" xfId="13" applyFont="1" applyFill="1" applyAlignment="1">
      <alignment horizontal="center"/>
    </xf>
    <xf numFmtId="0" fontId="24" fillId="9" borderId="0" xfId="13" applyFont="1" applyFill="1" applyAlignment="1">
      <alignment horizontal="center" vertical="center"/>
    </xf>
    <xf numFmtId="0" fontId="24" fillId="7" borderId="3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7" fontId="23" fillId="0" borderId="17" xfId="0" applyNumberFormat="1" applyFont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168" fontId="22" fillId="9" borderId="5" xfId="2" applyNumberFormat="1" applyFont="1" applyFill="1" applyBorder="1" applyAlignment="1">
      <alignment horizontal="left" vertical="center" wrapText="1"/>
    </xf>
    <xf numFmtId="165" fontId="22" fillId="9" borderId="5" xfId="3" applyNumberFormat="1" applyFont="1" applyFill="1" applyBorder="1" applyAlignment="1">
      <alignment horizontal="left" vertical="center" wrapText="1"/>
    </xf>
    <xf numFmtId="0" fontId="23" fillId="8" borderId="7" xfId="0" applyFont="1" applyFill="1" applyBorder="1" applyAlignment="1">
      <alignment horizontal="left" vertical="center" wrapText="1"/>
    </xf>
    <xf numFmtId="0" fontId="22" fillId="9" borderId="6" xfId="0" applyFont="1" applyFill="1" applyBorder="1" applyAlignment="1">
      <alignment horizontal="left" vertical="center" wrapText="1"/>
    </xf>
    <xf numFmtId="168" fontId="22" fillId="9" borderId="6" xfId="2" applyNumberFormat="1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2" fillId="9" borderId="14" xfId="0" applyFont="1" applyFill="1" applyBorder="1" applyAlignment="1">
      <alignment horizontal="center" vertical="center" wrapText="1"/>
    </xf>
    <xf numFmtId="4" fontId="22" fillId="5" borderId="17" xfId="0" applyNumberFormat="1" applyFont="1" applyFill="1" applyBorder="1" applyAlignment="1">
      <alignment horizontal="center"/>
    </xf>
    <xf numFmtId="4" fontId="22" fillId="5" borderId="25" xfId="0" applyNumberFormat="1" applyFont="1" applyFill="1" applyBorder="1" applyAlignment="1">
      <alignment horizontal="center"/>
    </xf>
    <xf numFmtId="3" fontId="22" fillId="9" borderId="17" xfId="0" applyNumberFormat="1" applyFont="1" applyFill="1" applyBorder="1" applyAlignment="1">
      <alignment horizontal="center"/>
    </xf>
    <xf numFmtId="171" fontId="22" fillId="9" borderId="17" xfId="3" applyNumberFormat="1" applyFont="1" applyFill="1" applyBorder="1" applyAlignment="1">
      <alignment horizontal="center"/>
    </xf>
    <xf numFmtId="171" fontId="22" fillId="9" borderId="25" xfId="3" applyNumberFormat="1" applyFont="1" applyFill="1" applyBorder="1" applyAlignment="1">
      <alignment horizontal="center"/>
    </xf>
    <xf numFmtId="171" fontId="22" fillId="9" borderId="29" xfId="3" applyNumberFormat="1" applyFont="1" applyFill="1" applyBorder="1" applyAlignment="1">
      <alignment horizontal="center"/>
    </xf>
    <xf numFmtId="3" fontId="22" fillId="9" borderId="25" xfId="0" applyNumberFormat="1" applyFont="1" applyFill="1" applyBorder="1" applyAlignment="1">
      <alignment horizontal="center"/>
    </xf>
    <xf numFmtId="168" fontId="22" fillId="5" borderId="3" xfId="2" applyNumberFormat="1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168" fontId="22" fillId="5" borderId="5" xfId="2" applyNumberFormat="1" applyFont="1" applyFill="1" applyBorder="1" applyAlignment="1">
      <alignment horizontal="left" vertical="center" wrapText="1"/>
    </xf>
    <xf numFmtId="175" fontId="22" fillId="5" borderId="3" xfId="0" applyNumberFormat="1" applyFont="1" applyFill="1" applyBorder="1" applyAlignment="1">
      <alignment horizontal="center" vertical="center" wrapText="1"/>
    </xf>
    <xf numFmtId="168" fontId="22" fillId="5" borderId="6" xfId="2" applyNumberFormat="1" applyFont="1" applyFill="1" applyBorder="1" applyAlignment="1">
      <alignment horizontal="left" vertical="center" wrapText="1"/>
    </xf>
    <xf numFmtId="1" fontId="22" fillId="5" borderId="3" xfId="0" applyNumberFormat="1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170" fontId="22" fillId="9" borderId="17" xfId="0" applyNumberFormat="1" applyFont="1" applyFill="1" applyBorder="1" applyAlignment="1">
      <alignment horizontal="center"/>
    </xf>
    <xf numFmtId="171" fontId="23" fillId="5" borderId="29" xfId="0" applyNumberFormat="1" applyFont="1" applyFill="1" applyBorder="1" applyAlignment="1">
      <alignment horizontal="right"/>
    </xf>
    <xf numFmtId="0" fontId="24" fillId="7" borderId="8" xfId="13" applyFont="1" applyFill="1" applyBorder="1" applyAlignment="1">
      <alignment horizontal="center"/>
    </xf>
    <xf numFmtId="0" fontId="23" fillId="8" borderId="3" xfId="13" applyFont="1" applyFill="1" applyBorder="1" applyAlignment="1">
      <alignment horizontal="center"/>
    </xf>
    <xf numFmtId="0" fontId="23" fillId="8" borderId="6" xfId="13" applyFont="1" applyFill="1" applyBorder="1" applyAlignment="1">
      <alignment horizontal="center"/>
    </xf>
    <xf numFmtId="171" fontId="22" fillId="9" borderId="17" xfId="3" applyNumberFormat="1" applyFont="1" applyFill="1" applyBorder="1" applyAlignment="1"/>
    <xf numFmtId="171" fontId="22" fillId="9" borderId="25" xfId="3" applyNumberFormat="1" applyFont="1" applyFill="1" applyBorder="1" applyAlignment="1"/>
    <xf numFmtId="171" fontId="22" fillId="9" borderId="5" xfId="3" applyNumberFormat="1" applyFont="1" applyFill="1" applyBorder="1" applyAlignment="1"/>
    <xf numFmtId="9" fontId="22" fillId="9" borderId="13" xfId="10" applyFont="1" applyFill="1" applyBorder="1" applyAlignment="1">
      <alignment horizontal="center" vertical="center" wrapText="1"/>
    </xf>
    <xf numFmtId="9" fontId="22" fillId="9" borderId="7" xfId="10" applyFont="1" applyFill="1" applyBorder="1" applyAlignment="1">
      <alignment horizontal="center" vertical="center" wrapText="1"/>
    </xf>
    <xf numFmtId="0" fontId="50" fillId="9" borderId="0" xfId="0" applyFont="1" applyFill="1"/>
    <xf numFmtId="0" fontId="24" fillId="7" borderId="1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10" fontId="0" fillId="9" borderId="0" xfId="10" applyNumberFormat="1" applyFont="1" applyFill="1"/>
    <xf numFmtId="0" fontId="24" fillId="7" borderId="3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 wrapText="1"/>
    </xf>
    <xf numFmtId="0" fontId="24" fillId="7" borderId="9" xfId="13" applyFont="1" applyFill="1" applyBorder="1" applyAlignment="1">
      <alignment horizontal="center"/>
    </xf>
    <xf numFmtId="9" fontId="24" fillId="7" borderId="3" xfId="0" applyNumberFormat="1" applyFont="1" applyFill="1" applyBorder="1" applyAlignment="1">
      <alignment horizontal="center" vertical="center"/>
    </xf>
    <xf numFmtId="0" fontId="39" fillId="0" borderId="17" xfId="31" applyFont="1" applyBorder="1" applyAlignment="1">
      <alignment horizontal="center"/>
    </xf>
    <xf numFmtId="171" fontId="22" fillId="5" borderId="17" xfId="35" applyNumberFormat="1" applyFont="1" applyFill="1" applyBorder="1" applyAlignment="1">
      <alignment horizontal="right"/>
    </xf>
    <xf numFmtId="171" fontId="22" fillId="0" borderId="17" xfId="35" applyNumberFormat="1" applyFont="1" applyFill="1" applyBorder="1" applyAlignment="1">
      <alignment horizontal="right"/>
    </xf>
    <xf numFmtId="172" fontId="22" fillId="6" borderId="3" xfId="3" applyNumberFormat="1" applyFont="1" applyFill="1" applyBorder="1"/>
    <xf numFmtId="172" fontId="22" fillId="6" borderId="6" xfId="3" applyNumberFormat="1" applyFont="1" applyFill="1" applyBorder="1"/>
    <xf numFmtId="0" fontId="24" fillId="7" borderId="3" xfId="13" applyFont="1" applyFill="1" applyBorder="1" applyAlignment="1">
      <alignment horizontal="left"/>
    </xf>
    <xf numFmtId="0" fontId="24" fillId="7" borderId="3" xfId="13" applyFont="1" applyFill="1" applyBorder="1" applyAlignment="1">
      <alignment horizontal="center" wrapText="1"/>
    </xf>
    <xf numFmtId="0" fontId="24" fillId="7" borderId="9" xfId="13" applyFont="1" applyFill="1" applyBorder="1" applyAlignment="1">
      <alignment horizontal="center" wrapText="1"/>
    </xf>
    <xf numFmtId="168" fontId="0" fillId="6" borderId="3" xfId="2" applyNumberFormat="1" applyFont="1" applyFill="1" applyBorder="1"/>
    <xf numFmtId="168" fontId="0" fillId="6" borderId="3" xfId="0" applyNumberFormat="1" applyFill="1" applyBorder="1"/>
    <xf numFmtId="165" fontId="0" fillId="6" borderId="3" xfId="3" applyNumberFormat="1" applyFont="1" applyFill="1" applyBorder="1"/>
    <xf numFmtId="0" fontId="16" fillId="5" borderId="3" xfId="0" applyFont="1" applyFill="1" applyBorder="1" applyAlignment="1">
      <alignment horizontal="right"/>
    </xf>
    <xf numFmtId="168" fontId="16" fillId="5" borderId="3" xfId="2" applyNumberFormat="1" applyFont="1" applyFill="1" applyBorder="1"/>
    <xf numFmtId="165" fontId="16" fillId="5" borderId="3" xfId="0" applyNumberFormat="1" applyFont="1" applyFill="1" applyBorder="1"/>
    <xf numFmtId="0" fontId="23" fillId="8" borderId="8" xfId="13" applyFont="1" applyFill="1" applyBorder="1" applyAlignment="1">
      <alignment horizontal="center"/>
    </xf>
    <xf numFmtId="9" fontId="22" fillId="6" borderId="8" xfId="10" applyFont="1" applyFill="1" applyBorder="1" applyAlignment="1">
      <alignment horizontal="center"/>
    </xf>
    <xf numFmtId="0" fontId="0" fillId="12" borderId="3" xfId="0" applyFill="1" applyBorder="1"/>
    <xf numFmtId="3" fontId="16" fillId="12" borderId="3" xfId="0" applyNumberFormat="1" applyFont="1" applyFill="1" applyBorder="1"/>
    <xf numFmtId="0" fontId="30" fillId="8" borderId="3" xfId="13" applyFont="1" applyFill="1" applyBorder="1" applyAlignment="1"/>
    <xf numFmtId="168" fontId="22" fillId="6" borderId="3" xfId="2" applyNumberFormat="1" applyFont="1" applyFill="1" applyBorder="1" applyAlignment="1">
      <alignment horizontal="right"/>
    </xf>
    <xf numFmtId="0" fontId="22" fillId="10" borderId="3" xfId="13" applyFont="1" applyFill="1" applyBorder="1"/>
    <xf numFmtId="0" fontId="22" fillId="23" borderId="3" xfId="13" applyFont="1" applyFill="1" applyBorder="1"/>
    <xf numFmtId="168" fontId="30" fillId="8" borderId="3" xfId="13" applyNumberFormat="1" applyFont="1" applyFill="1" applyBorder="1" applyAlignment="1"/>
    <xf numFmtId="168" fontId="23" fillId="12" borderId="3" xfId="2" applyNumberFormat="1" applyFont="1" applyFill="1" applyBorder="1" applyAlignment="1"/>
    <xf numFmtId="0" fontId="41" fillId="9" borderId="20" xfId="36" applyFill="1" applyBorder="1" applyAlignment="1"/>
    <xf numFmtId="0" fontId="41" fillId="9" borderId="0" xfId="36" applyFill="1" applyBorder="1" applyAlignment="1"/>
    <xf numFmtId="0" fontId="23" fillId="8" borderId="8" xfId="13" applyFont="1" applyFill="1" applyBorder="1" applyAlignment="1"/>
    <xf numFmtId="0" fontId="23" fillId="8" borderId="5" xfId="13" applyFont="1" applyFill="1" applyBorder="1" applyAlignment="1">
      <alignment horizontal="right"/>
    </xf>
    <xf numFmtId="0" fontId="23" fillId="9" borderId="19" xfId="13" applyFont="1" applyFill="1" applyBorder="1" applyAlignment="1">
      <alignment vertical="top"/>
    </xf>
    <xf numFmtId="0" fontId="0" fillId="9" borderId="24" xfId="0" applyFill="1" applyBorder="1"/>
    <xf numFmtId="0" fontId="0" fillId="9" borderId="27" xfId="0" applyFill="1" applyBorder="1"/>
    <xf numFmtId="0" fontId="23" fillId="9" borderId="20" xfId="13" applyFont="1" applyFill="1" applyBorder="1" applyAlignment="1">
      <alignment vertical="top"/>
    </xf>
    <xf numFmtId="0" fontId="0" fillId="9" borderId="32" xfId="0" applyFill="1" applyBorder="1"/>
    <xf numFmtId="0" fontId="23" fillId="9" borderId="22" xfId="13" applyFont="1" applyFill="1" applyBorder="1" applyAlignment="1">
      <alignment vertical="top"/>
    </xf>
    <xf numFmtId="0" fontId="0" fillId="9" borderId="21" xfId="0" applyFill="1" applyBorder="1"/>
    <xf numFmtId="0" fontId="0" fillId="9" borderId="23" xfId="0" applyFill="1" applyBorder="1"/>
    <xf numFmtId="0" fontId="22" fillId="6" borderId="8" xfId="13" applyFont="1" applyFill="1" applyBorder="1" applyAlignment="1">
      <alignment horizontal="center"/>
    </xf>
    <xf numFmtId="0" fontId="23" fillId="8" borderId="4" xfId="13" applyFont="1" applyFill="1" applyBorder="1" applyAlignment="1">
      <alignment horizontal="right"/>
    </xf>
    <xf numFmtId="168" fontId="23" fillId="6" borderId="4" xfId="2" applyNumberFormat="1" applyFont="1" applyFill="1" applyBorder="1" applyAlignment="1"/>
    <xf numFmtId="171" fontId="23" fillId="6" borderId="4" xfId="3" applyNumberFormat="1" applyFont="1" applyFill="1" applyBorder="1"/>
    <xf numFmtId="0" fontId="23" fillId="9" borderId="21" xfId="13" applyFont="1" applyFill="1" applyBorder="1" applyAlignment="1">
      <alignment vertical="top"/>
    </xf>
    <xf numFmtId="0" fontId="23" fillId="9" borderId="23" xfId="13" applyFont="1" applyFill="1" applyBorder="1" applyAlignment="1">
      <alignment vertical="top"/>
    </xf>
    <xf numFmtId="0" fontId="23" fillId="8" borderId="3" xfId="13" applyFont="1" applyFill="1" applyBorder="1" applyAlignment="1">
      <alignment horizontal="right"/>
    </xf>
    <xf numFmtId="0" fontId="22" fillId="5" borderId="17" xfId="0" applyFont="1" applyFill="1" applyBorder="1" applyAlignment="1">
      <alignment horizontal="center"/>
    </xf>
    <xf numFmtId="9" fontId="22" fillId="5" borderId="3" xfId="10" applyFont="1" applyFill="1" applyBorder="1"/>
    <xf numFmtId="165" fontId="22" fillId="0" borderId="30" xfId="3" applyNumberFormat="1" applyFont="1" applyFill="1" applyBorder="1" applyAlignment="1">
      <alignment horizontal="center"/>
    </xf>
    <xf numFmtId="165" fontId="23" fillId="5" borderId="5" xfId="3" applyNumberFormat="1" applyFont="1" applyFill="1" applyBorder="1" applyAlignment="1"/>
    <xf numFmtId="165" fontId="23" fillId="0" borderId="5" xfId="3" applyNumberFormat="1" applyFont="1" applyBorder="1" applyAlignment="1"/>
    <xf numFmtId="0" fontId="22" fillId="4" borderId="3" xfId="0" applyFont="1" applyFill="1" applyBorder="1" applyAlignment="1">
      <alignment horizontal="left" wrapText="1"/>
    </xf>
    <xf numFmtId="0" fontId="22" fillId="4" borderId="3" xfId="0" applyFont="1" applyFill="1" applyBorder="1"/>
    <xf numFmtId="176" fontId="22" fillId="4" borderId="3" xfId="10" applyNumberFormat="1" applyFont="1" applyFill="1" applyBorder="1"/>
    <xf numFmtId="0" fontId="23" fillId="8" borderId="16" xfId="0" applyFont="1" applyFill="1" applyBorder="1" applyAlignment="1">
      <alignment horizontal="left"/>
    </xf>
    <xf numFmtId="9" fontId="22" fillId="4" borderId="3" xfId="10" applyFont="1" applyFill="1" applyBorder="1" applyAlignment="1"/>
    <xf numFmtId="9" fontId="22" fillId="4" borderId="8" xfId="10" applyFont="1" applyFill="1" applyBorder="1" applyAlignment="1"/>
    <xf numFmtId="0" fontId="36" fillId="0" borderId="5" xfId="31" applyFont="1" applyBorder="1" applyAlignment="1">
      <alignment horizontal="right"/>
    </xf>
    <xf numFmtId="171" fontId="29" fillId="5" borderId="5" xfId="3" applyNumberFormat="1" applyFont="1" applyFill="1" applyBorder="1" applyAlignment="1">
      <alignment horizontal="center" vertical="center"/>
    </xf>
    <xf numFmtId="0" fontId="23" fillId="8" borderId="16" xfId="13" applyFont="1" applyFill="1" applyBorder="1" applyAlignment="1">
      <alignment horizontal="center"/>
    </xf>
    <xf numFmtId="3" fontId="22" fillId="0" borderId="16" xfId="13" applyNumberFormat="1" applyFont="1" applyBorder="1" applyAlignment="1">
      <alignment horizontal="center"/>
    </xf>
    <xf numFmtId="3" fontId="22" fillId="5" borderId="16" xfId="13" applyNumberFormat="1" applyFont="1" applyFill="1" applyBorder="1" applyAlignment="1">
      <alignment horizontal="center"/>
    </xf>
    <xf numFmtId="3" fontId="22" fillId="0" borderId="4" xfId="13" applyNumberFormat="1" applyFont="1" applyBorder="1" applyAlignment="1">
      <alignment horizontal="center"/>
    </xf>
    <xf numFmtId="3" fontId="22" fillId="5" borderId="4" xfId="13" applyNumberFormat="1" applyFont="1" applyFill="1" applyBorder="1" applyAlignment="1">
      <alignment horizontal="center"/>
    </xf>
    <xf numFmtId="0" fontId="23" fillId="9" borderId="0" xfId="13" applyFont="1" applyFill="1" applyBorder="1" applyAlignment="1">
      <alignment horizontal="right"/>
    </xf>
    <xf numFmtId="6" fontId="22" fillId="9" borderId="0" xfId="3" applyNumberFormat="1" applyFont="1" applyFill="1" applyBorder="1"/>
    <xf numFmtId="171" fontId="22" fillId="5" borderId="25" xfId="3" applyNumberFormat="1" applyFont="1" applyFill="1" applyBorder="1" applyAlignment="1">
      <alignment horizontal="center"/>
    </xf>
    <xf numFmtId="171" fontId="22" fillId="0" borderId="13" xfId="0" applyNumberFormat="1" applyFont="1" applyBorder="1" applyAlignment="1">
      <alignment horizontal="right"/>
    </xf>
    <xf numFmtId="171" fontId="22" fillId="5" borderId="13" xfId="0" applyNumberFormat="1" applyFont="1" applyFill="1" applyBorder="1" applyAlignment="1">
      <alignment horizontal="right"/>
    </xf>
    <xf numFmtId="171" fontId="22" fillId="0" borderId="17" xfId="0" applyNumberFormat="1" applyFont="1" applyBorder="1" applyAlignment="1">
      <alignment horizontal="right"/>
    </xf>
    <xf numFmtId="171" fontId="22" fillId="5" borderId="17" xfId="0" applyNumberFormat="1" applyFont="1" applyFill="1" applyBorder="1" applyAlignment="1">
      <alignment horizontal="right"/>
    </xf>
    <xf numFmtId="171" fontId="22" fillId="0" borderId="4" xfId="0" applyNumberFormat="1" applyFont="1" applyBorder="1" applyAlignment="1">
      <alignment horizontal="right"/>
    </xf>
    <xf numFmtId="171" fontId="22" fillId="5" borderId="4" xfId="0" applyNumberFormat="1" applyFont="1" applyFill="1" applyBorder="1" applyAlignment="1">
      <alignment horizontal="right"/>
    </xf>
    <xf numFmtId="171" fontId="22" fillId="0" borderId="17" xfId="3" applyNumberFormat="1" applyFont="1" applyBorder="1"/>
    <xf numFmtId="171" fontId="22" fillId="0" borderId="25" xfId="3" applyNumberFormat="1" applyFont="1" applyBorder="1"/>
    <xf numFmtId="171" fontId="22" fillId="0" borderId="5" xfId="3" applyNumberFormat="1" applyFont="1" applyBorder="1"/>
    <xf numFmtId="44" fontId="23" fillId="6" borderId="3" xfId="3" applyFont="1" applyFill="1" applyBorder="1"/>
    <xf numFmtId="171" fontId="22" fillId="5" borderId="6" xfId="3" applyNumberFormat="1" applyFont="1" applyFill="1" applyBorder="1" applyAlignment="1">
      <alignment horizontal="left" vertical="center" wrapText="1"/>
    </xf>
    <xf numFmtId="171" fontId="22" fillId="5" borderId="5" xfId="3" applyNumberFormat="1" applyFont="1" applyFill="1" applyBorder="1" applyAlignment="1">
      <alignment horizontal="left" vertical="center" wrapText="1"/>
    </xf>
    <xf numFmtId="171" fontId="22" fillId="4" borderId="3" xfId="3" applyNumberFormat="1" applyFont="1" applyFill="1" applyBorder="1"/>
    <xf numFmtId="171" fontId="22" fillId="4" borderId="13" xfId="3" applyNumberFormat="1" applyFont="1" applyFill="1" applyBorder="1" applyAlignment="1">
      <alignment horizontal="right"/>
    </xf>
    <xf numFmtId="171" fontId="22" fillId="4" borderId="15" xfId="3" applyNumberFormat="1" applyFont="1" applyFill="1" applyBorder="1" applyAlignment="1">
      <alignment horizontal="right"/>
    </xf>
    <xf numFmtId="171" fontId="22" fillId="4" borderId="15" xfId="3" applyNumberFormat="1" applyFont="1" applyFill="1" applyBorder="1" applyAlignment="1">
      <alignment horizontal="right" vertical="center"/>
    </xf>
    <xf numFmtId="171" fontId="22" fillId="4" borderId="14" xfId="3" applyNumberFormat="1" applyFont="1" applyFill="1" applyBorder="1" applyAlignment="1">
      <alignment horizontal="right" vertical="center"/>
    </xf>
    <xf numFmtId="0" fontId="23" fillId="8" borderId="16" xfId="0" applyFont="1" applyFill="1" applyBorder="1" applyAlignment="1">
      <alignment horizontal="center"/>
    </xf>
    <xf numFmtId="165" fontId="22" fillId="0" borderId="4" xfId="3" applyNumberFormat="1" applyFont="1" applyFill="1" applyBorder="1" applyAlignment="1">
      <alignment horizontal="center"/>
    </xf>
    <xf numFmtId="165" fontId="22" fillId="5" borderId="4" xfId="3" applyNumberFormat="1" applyFont="1" applyFill="1" applyBorder="1" applyAlignment="1">
      <alignment horizontal="center"/>
    </xf>
    <xf numFmtId="9" fontId="22" fillId="5" borderId="4" xfId="10" applyFont="1" applyFill="1" applyBorder="1" applyAlignment="1">
      <alignment horizontal="center"/>
    </xf>
    <xf numFmtId="165" fontId="22" fillId="9" borderId="4" xfId="3" applyNumberFormat="1" applyFont="1" applyFill="1" applyBorder="1" applyAlignment="1">
      <alignment horizontal="center"/>
    </xf>
    <xf numFmtId="165" fontId="22" fillId="9" borderId="16" xfId="3" applyNumberFormat="1" applyFont="1" applyFill="1" applyBorder="1" applyAlignment="1">
      <alignment horizontal="center"/>
    </xf>
    <xf numFmtId="176" fontId="0" fillId="6" borderId="3" xfId="10" applyNumberFormat="1" applyFont="1" applyFill="1" applyBorder="1"/>
    <xf numFmtId="175" fontId="0" fillId="6" borderId="3" xfId="0" applyNumberFormat="1" applyFill="1" applyBorder="1"/>
    <xf numFmtId="176" fontId="0" fillId="6" borderId="3" xfId="0" applyNumberFormat="1" applyFill="1" applyBorder="1"/>
    <xf numFmtId="10" fontId="0" fillId="6" borderId="3" xfId="0" applyNumberFormat="1" applyFill="1" applyBorder="1"/>
    <xf numFmtId="6" fontId="0" fillId="6" borderId="5" xfId="0" applyNumberFormat="1" applyFill="1" applyBorder="1"/>
    <xf numFmtId="9" fontId="0" fillId="6" borderId="5" xfId="10" applyFont="1" applyFill="1" applyBorder="1"/>
    <xf numFmtId="6" fontId="0" fillId="6" borderId="3" xfId="0" applyNumberFormat="1" applyFill="1" applyBorder="1"/>
    <xf numFmtId="9" fontId="0" fillId="6" borderId="3" xfId="10" applyFont="1" applyFill="1" applyBorder="1"/>
    <xf numFmtId="0" fontId="39" fillId="0" borderId="16" xfId="31" applyFont="1" applyBorder="1" applyAlignment="1">
      <alignment horizontal="center"/>
    </xf>
    <xf numFmtId="0" fontId="36" fillId="0" borderId="3" xfId="31" applyFont="1" applyFill="1" applyBorder="1" applyAlignment="1"/>
    <xf numFmtId="0" fontId="3" fillId="9" borderId="0" xfId="31" applyFont="1" applyFill="1" applyAlignment="1">
      <alignment horizontal="left" vertical="center"/>
    </xf>
    <xf numFmtId="0" fontId="3" fillId="9" borderId="0" xfId="31" applyFont="1" applyFill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1" fontId="22" fillId="5" borderId="14" xfId="0" applyNumberFormat="1" applyFont="1" applyFill="1" applyBorder="1" applyAlignment="1">
      <alignment horizontal="center" vertical="center" wrapText="1"/>
    </xf>
    <xf numFmtId="1" fontId="27" fillId="5" borderId="3" xfId="32" applyNumberFormat="1" applyFont="1" applyFill="1" applyBorder="1" applyAlignment="1">
      <alignment horizontal="center" vertical="center"/>
    </xf>
    <xf numFmtId="0" fontId="4" fillId="5" borderId="3" xfId="31" applyFont="1" applyFill="1" applyBorder="1" applyAlignment="1">
      <alignment horizontal="center"/>
    </xf>
    <xf numFmtId="9" fontId="27" fillId="5" borderId="9" xfId="10" applyFont="1" applyFill="1" applyBorder="1" applyAlignment="1">
      <alignment horizontal="center" vertical="center"/>
    </xf>
    <xf numFmtId="0" fontId="31" fillId="8" borderId="10" xfId="9" applyFont="1" applyFill="1" applyBorder="1" applyAlignment="1">
      <alignment horizontal="center" vertical="center" wrapText="1"/>
    </xf>
    <xf numFmtId="0" fontId="31" fillId="8" borderId="18" xfId="9" applyFont="1" applyFill="1" applyBorder="1" applyAlignment="1">
      <alignment horizontal="center" vertical="center" wrapText="1"/>
    </xf>
    <xf numFmtId="0" fontId="28" fillId="7" borderId="11" xfId="9" applyFont="1" applyFill="1" applyBorder="1" applyAlignment="1">
      <alignment horizontal="center" vertical="center"/>
    </xf>
    <xf numFmtId="0" fontId="28" fillId="7" borderId="31" xfId="9" applyFont="1" applyFill="1" applyBorder="1" applyAlignment="1">
      <alignment horizontal="center" vertical="center"/>
    </xf>
    <xf numFmtId="6" fontId="27" fillId="0" borderId="10" xfId="0" applyNumberFormat="1" applyFont="1" applyFill="1" applyBorder="1" applyAlignment="1">
      <alignment horizontal="right"/>
    </xf>
    <xf numFmtId="6" fontId="27" fillId="0" borderId="18" xfId="0" applyNumberFormat="1" applyFont="1" applyFill="1" applyBorder="1" applyAlignment="1">
      <alignment horizontal="right"/>
    </xf>
    <xf numFmtId="0" fontId="24" fillId="7" borderId="8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6" fontId="27" fillId="0" borderId="26" xfId="0" applyNumberFormat="1" applyFont="1" applyFill="1" applyBorder="1" applyAlignment="1">
      <alignment horizontal="right"/>
    </xf>
    <xf numFmtId="0" fontId="24" fillId="7" borderId="19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34" fillId="7" borderId="3" xfId="13" applyFont="1" applyFill="1" applyBorder="1" applyAlignment="1">
      <alignment horizontal="center" vertical="center" wrapText="1"/>
    </xf>
    <xf numFmtId="0" fontId="31" fillId="8" borderId="3" xfId="13" applyFont="1" applyFill="1" applyBorder="1" applyAlignment="1">
      <alignment horizontal="center" vertical="center" wrapText="1"/>
    </xf>
    <xf numFmtId="171" fontId="31" fillId="6" borderId="3" xfId="3" applyNumberFormat="1" applyFont="1" applyFill="1" applyBorder="1" applyAlignment="1">
      <alignment horizontal="center" vertical="center" wrapText="1"/>
    </xf>
    <xf numFmtId="0" fontId="36" fillId="9" borderId="12" xfId="31" applyFont="1" applyFill="1" applyBorder="1" applyAlignment="1">
      <alignment horizontal="left"/>
    </xf>
    <xf numFmtId="0" fontId="36" fillId="9" borderId="2" xfId="31" applyFont="1" applyFill="1" applyBorder="1" applyAlignment="1">
      <alignment horizontal="left"/>
    </xf>
    <xf numFmtId="0" fontId="36" fillId="9" borderId="9" xfId="31" applyFont="1" applyFill="1" applyBorder="1" applyAlignment="1">
      <alignment horizontal="left"/>
    </xf>
    <xf numFmtId="0" fontId="24" fillId="7" borderId="5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36" fillId="0" borderId="12" xfId="31" applyFont="1" applyBorder="1" applyAlignment="1">
      <alignment horizontal="right"/>
    </xf>
    <xf numFmtId="0" fontId="36" fillId="0" borderId="2" xfId="31" applyFont="1" applyBorder="1" applyAlignment="1">
      <alignment horizontal="right"/>
    </xf>
    <xf numFmtId="0" fontId="36" fillId="0" borderId="9" xfId="31" applyFont="1" applyBorder="1" applyAlignment="1">
      <alignment horizontal="right"/>
    </xf>
    <xf numFmtId="0" fontId="24" fillId="7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left"/>
    </xf>
    <xf numFmtId="0" fontId="34" fillId="7" borderId="12" xfId="13" applyFont="1" applyFill="1" applyBorder="1" applyAlignment="1">
      <alignment horizontal="center" vertical="center" wrapText="1"/>
    </xf>
    <xf numFmtId="0" fontId="34" fillId="7" borderId="2" xfId="13" applyFont="1" applyFill="1" applyBorder="1" applyAlignment="1">
      <alignment horizontal="center" vertical="center" wrapText="1"/>
    </xf>
    <xf numFmtId="0" fontId="34" fillId="7" borderId="9" xfId="13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left" wrapText="1"/>
    </xf>
    <xf numFmtId="0" fontId="16" fillId="9" borderId="12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9" xfId="0" applyFont="1" applyFill="1" applyBorder="1" applyAlignment="1">
      <alignment horizontal="left"/>
    </xf>
    <xf numFmtId="0" fontId="24" fillId="7" borderId="3" xfId="0" applyFont="1" applyFill="1" applyBorder="1" applyAlignment="1">
      <alignment horizontal="center" vertical="center" wrapText="1"/>
    </xf>
    <xf numFmtId="165" fontId="27" fillId="0" borderId="12" xfId="3" applyNumberFormat="1" applyFont="1" applyBorder="1" applyAlignment="1">
      <alignment horizontal="center"/>
    </xf>
    <xf numFmtId="165" fontId="27" fillId="0" borderId="2" xfId="3" applyNumberFormat="1" applyFont="1" applyBorder="1" applyAlignment="1">
      <alignment horizontal="center"/>
    </xf>
    <xf numFmtId="165" fontId="27" fillId="0" borderId="9" xfId="3" applyNumberFormat="1" applyFont="1" applyBorder="1" applyAlignment="1">
      <alignment horizontal="center"/>
    </xf>
    <xf numFmtId="0" fontId="24" fillId="7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4" fillId="7" borderId="4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3" fillId="0" borderId="12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4" fillId="7" borderId="12" xfId="13" applyFont="1" applyFill="1" applyBorder="1" applyAlignment="1">
      <alignment horizontal="center"/>
    </xf>
    <xf numFmtId="0" fontId="24" fillId="7" borderId="9" xfId="13" applyFont="1" applyFill="1" applyBorder="1" applyAlignment="1">
      <alignment horizontal="center"/>
    </xf>
    <xf numFmtId="0" fontId="41" fillId="0" borderId="19" xfId="36" applyBorder="1" applyAlignment="1">
      <alignment horizontal="left"/>
    </xf>
    <xf numFmtId="0" fontId="41" fillId="0" borderId="24" xfId="36" applyBorder="1" applyAlignment="1">
      <alignment horizontal="left"/>
    </xf>
    <xf numFmtId="0" fontId="41" fillId="0" borderId="27" xfId="36" applyBorder="1" applyAlignment="1">
      <alignment horizontal="left"/>
    </xf>
    <xf numFmtId="0" fontId="16" fillId="9" borderId="2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16" fillId="9" borderId="32" xfId="0" applyFont="1" applyFill="1" applyBorder="1" applyAlignment="1">
      <alignment horizontal="left"/>
    </xf>
    <xf numFmtId="0" fontId="16" fillId="9" borderId="22" xfId="0" applyFont="1" applyFill="1" applyBorder="1" applyAlignment="1">
      <alignment horizontal="left"/>
    </xf>
    <xf numFmtId="0" fontId="16" fillId="9" borderId="21" xfId="0" applyFont="1" applyFill="1" applyBorder="1" applyAlignment="1">
      <alignment horizontal="left"/>
    </xf>
    <xf numFmtId="0" fontId="16" fillId="9" borderId="23" xfId="0" applyFont="1" applyFill="1" applyBorder="1" applyAlignment="1">
      <alignment horizontal="left"/>
    </xf>
    <xf numFmtId="0" fontId="23" fillId="9" borderId="12" xfId="0" applyFont="1" applyFill="1" applyBorder="1" applyAlignment="1">
      <alignment horizontal="left"/>
    </xf>
    <xf numFmtId="0" fontId="23" fillId="9" borderId="9" xfId="0" applyFont="1" applyFill="1" applyBorder="1" applyAlignment="1">
      <alignment horizontal="left"/>
    </xf>
    <xf numFmtId="0" fontId="23" fillId="9" borderId="2" xfId="0" applyFont="1" applyFill="1" applyBorder="1" applyAlignment="1">
      <alignment horizontal="left"/>
    </xf>
    <xf numFmtId="0" fontId="24" fillId="7" borderId="2" xfId="13" applyFont="1" applyFill="1" applyBorder="1" applyAlignment="1">
      <alignment horizontal="center"/>
    </xf>
    <xf numFmtId="0" fontId="41" fillId="0" borderId="19" xfId="36" applyFont="1" applyBorder="1" applyAlignment="1">
      <alignment horizontal="left"/>
    </xf>
    <xf numFmtId="0" fontId="41" fillId="0" borderId="24" xfId="36" applyFont="1" applyBorder="1" applyAlignment="1">
      <alignment horizontal="left"/>
    </xf>
    <xf numFmtId="0" fontId="41" fillId="0" borderId="27" xfId="36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41" fillId="9" borderId="22" xfId="36" applyFont="1" applyFill="1" applyBorder="1" applyAlignment="1">
      <alignment horizontal="left"/>
    </xf>
    <xf numFmtId="0" fontId="41" fillId="9" borderId="21" xfId="36" applyFont="1" applyFill="1" applyBorder="1" applyAlignment="1">
      <alignment horizontal="left"/>
    </xf>
    <xf numFmtId="0" fontId="41" fillId="9" borderId="23" xfId="36" applyFont="1" applyFill="1" applyBorder="1" applyAlignment="1">
      <alignment horizontal="left"/>
    </xf>
    <xf numFmtId="0" fontId="24" fillId="7" borderId="3" xfId="0" applyFont="1" applyFill="1" applyBorder="1" applyAlignment="1">
      <alignment horizontal="center"/>
    </xf>
    <xf numFmtId="0" fontId="24" fillId="7" borderId="8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9" borderId="19" xfId="0" applyFont="1" applyFill="1" applyBorder="1" applyAlignment="1">
      <alignment horizontal="left"/>
    </xf>
    <xf numFmtId="0" fontId="16" fillId="9" borderId="24" xfId="0" applyFont="1" applyFill="1" applyBorder="1" applyAlignment="1">
      <alignment horizontal="left"/>
    </xf>
    <xf numFmtId="0" fontId="16" fillId="9" borderId="27" xfId="0" applyFont="1" applyFill="1" applyBorder="1" applyAlignment="1">
      <alignment horizontal="left"/>
    </xf>
    <xf numFmtId="0" fontId="24" fillId="9" borderId="0" xfId="13" applyFont="1" applyFill="1" applyAlignment="1">
      <alignment horizontal="center"/>
    </xf>
    <xf numFmtId="0" fontId="23" fillId="0" borderId="12" xfId="13" applyFont="1" applyBorder="1" applyAlignment="1">
      <alignment horizontal="left" wrapText="1"/>
    </xf>
    <xf numFmtId="0" fontId="23" fillId="0" borderId="9" xfId="13" applyFont="1" applyBorder="1" applyAlignment="1">
      <alignment horizontal="left" wrapText="1"/>
    </xf>
    <xf numFmtId="0" fontId="24" fillId="9" borderId="0" xfId="13" applyFont="1" applyFill="1" applyAlignment="1">
      <alignment horizontal="center" vertical="center"/>
    </xf>
    <xf numFmtId="0" fontId="23" fillId="0" borderId="12" xfId="13" applyFont="1" applyBorder="1" applyAlignment="1">
      <alignment horizontal="right"/>
    </xf>
    <xf numFmtId="0" fontId="23" fillId="0" borderId="2" xfId="13" applyFont="1" applyBorder="1" applyAlignment="1">
      <alignment horizontal="right"/>
    </xf>
    <xf numFmtId="0" fontId="23" fillId="0" borderId="9" xfId="13" applyFont="1" applyBorder="1" applyAlignment="1">
      <alignment horizontal="right"/>
    </xf>
    <xf numFmtId="0" fontId="24" fillId="7" borderId="12" xfId="13" applyFont="1" applyFill="1" applyBorder="1" applyAlignment="1">
      <alignment horizontal="center" vertical="center"/>
    </xf>
    <xf numFmtId="0" fontId="24" fillId="7" borderId="2" xfId="13" applyFont="1" applyFill="1" applyBorder="1" applyAlignment="1">
      <alignment horizontal="center" vertical="center"/>
    </xf>
    <xf numFmtId="0" fontId="24" fillId="7" borderId="9" xfId="13" applyFont="1" applyFill="1" applyBorder="1" applyAlignment="1">
      <alignment horizontal="center" vertical="center"/>
    </xf>
    <xf numFmtId="0" fontId="24" fillId="7" borderId="8" xfId="13" applyFont="1" applyFill="1" applyBorder="1" applyAlignment="1">
      <alignment horizontal="center" vertical="center"/>
    </xf>
    <xf numFmtId="0" fontId="24" fillId="7" borderId="4" xfId="13" applyFont="1" applyFill="1" applyBorder="1" applyAlignment="1">
      <alignment horizontal="center" vertical="center"/>
    </xf>
    <xf numFmtId="0" fontId="24" fillId="7" borderId="5" xfId="13" applyFont="1" applyFill="1" applyBorder="1" applyAlignment="1">
      <alignment horizontal="center" vertical="center"/>
    </xf>
    <xf numFmtId="0" fontId="24" fillId="7" borderId="19" xfId="13" applyFont="1" applyFill="1" applyBorder="1" applyAlignment="1">
      <alignment horizontal="center" vertical="center"/>
    </xf>
    <xf numFmtId="0" fontId="24" fillId="7" borderId="24" xfId="13" applyFont="1" applyFill="1" applyBorder="1" applyAlignment="1">
      <alignment horizontal="center" vertical="center"/>
    </xf>
    <xf numFmtId="0" fontId="24" fillId="7" borderId="27" xfId="13" applyFont="1" applyFill="1" applyBorder="1" applyAlignment="1">
      <alignment horizontal="center" vertical="center"/>
    </xf>
    <xf numFmtId="0" fontId="24" fillId="7" borderId="22" xfId="13" applyFont="1" applyFill="1" applyBorder="1" applyAlignment="1">
      <alignment horizontal="center" vertical="center"/>
    </xf>
    <xf numFmtId="0" fontId="24" fillId="7" borderId="21" xfId="13" applyFont="1" applyFill="1" applyBorder="1" applyAlignment="1">
      <alignment horizontal="center" vertical="center"/>
    </xf>
    <xf numFmtId="0" fontId="24" fillId="7" borderId="23" xfId="13" applyFont="1" applyFill="1" applyBorder="1" applyAlignment="1">
      <alignment horizontal="center" vertical="center"/>
    </xf>
    <xf numFmtId="0" fontId="24" fillId="7" borderId="7" xfId="13" applyFont="1" applyFill="1" applyBorder="1" applyAlignment="1">
      <alignment horizontal="center" vertical="center"/>
    </xf>
    <xf numFmtId="0" fontId="24" fillId="7" borderId="19" xfId="13" applyFont="1" applyFill="1" applyBorder="1" applyAlignment="1">
      <alignment horizontal="center" vertical="center" wrapText="1"/>
    </xf>
    <xf numFmtId="0" fontId="24" fillId="7" borderId="27" xfId="13" applyFont="1" applyFill="1" applyBorder="1" applyAlignment="1">
      <alignment horizontal="center" vertical="center" wrapText="1"/>
    </xf>
    <xf numFmtId="0" fontId="24" fillId="7" borderId="22" xfId="13" applyFont="1" applyFill="1" applyBorder="1" applyAlignment="1">
      <alignment horizontal="center" vertical="center" wrapText="1"/>
    </xf>
    <xf numFmtId="0" fontId="24" fillId="7" borderId="23" xfId="13" applyFont="1" applyFill="1" applyBorder="1" applyAlignment="1">
      <alignment horizontal="center" vertical="center" wrapText="1"/>
    </xf>
    <xf numFmtId="0" fontId="24" fillId="7" borderId="8" xfId="13" applyFont="1" applyFill="1" applyBorder="1" applyAlignment="1">
      <alignment horizontal="center" vertical="center" wrapText="1"/>
    </xf>
    <xf numFmtId="0" fontId="24" fillId="7" borderId="4" xfId="13" applyFont="1" applyFill="1" applyBorder="1" applyAlignment="1">
      <alignment horizontal="center" vertical="center" wrapText="1"/>
    </xf>
    <xf numFmtId="0" fontId="24" fillId="7" borderId="7" xfId="13" applyFont="1" applyFill="1" applyBorder="1" applyAlignment="1">
      <alignment horizontal="center" vertical="center" wrapText="1"/>
    </xf>
    <xf numFmtId="0" fontId="24" fillId="7" borderId="12" xfId="13" applyFont="1" applyFill="1" applyBorder="1" applyAlignment="1">
      <alignment horizontal="center" vertical="center" wrapText="1"/>
    </xf>
    <xf numFmtId="0" fontId="24" fillId="7" borderId="9" xfId="13" applyFont="1" applyFill="1" applyBorder="1" applyAlignment="1">
      <alignment horizontal="center" vertical="center" wrapText="1"/>
    </xf>
    <xf numFmtId="0" fontId="24" fillId="7" borderId="3" xfId="13" applyFont="1" applyFill="1" applyBorder="1" applyAlignment="1">
      <alignment horizontal="center" vertical="center" wrapText="1"/>
    </xf>
    <xf numFmtId="0" fontId="24" fillId="7" borderId="3" xfId="13" applyFont="1" applyFill="1" applyBorder="1" applyAlignment="1">
      <alignment horizontal="center" vertical="center"/>
    </xf>
    <xf numFmtId="0" fontId="31" fillId="8" borderId="12" xfId="13" applyFont="1" applyFill="1" applyBorder="1" applyAlignment="1">
      <alignment horizontal="center" vertical="center" wrapText="1"/>
    </xf>
    <xf numFmtId="0" fontId="31" fillId="8" borderId="9" xfId="13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left"/>
    </xf>
    <xf numFmtId="0" fontId="23" fillId="9" borderId="20" xfId="13" applyFont="1" applyFill="1" applyBorder="1" applyAlignment="1">
      <alignment horizontal="left" vertical="top"/>
    </xf>
    <xf numFmtId="0" fontId="23" fillId="9" borderId="0" xfId="13" applyFont="1" applyFill="1" applyBorder="1" applyAlignment="1">
      <alignment horizontal="left" vertical="top"/>
    </xf>
    <xf numFmtId="0" fontId="23" fillId="9" borderId="32" xfId="13" applyFont="1" applyFill="1" applyBorder="1" applyAlignment="1">
      <alignment horizontal="left" vertical="top"/>
    </xf>
    <xf numFmtId="0" fontId="23" fillId="9" borderId="22" xfId="13" applyFont="1" applyFill="1" applyBorder="1" applyAlignment="1">
      <alignment horizontal="left" vertical="top"/>
    </xf>
    <xf numFmtId="0" fontId="23" fillId="9" borderId="21" xfId="13" applyFont="1" applyFill="1" applyBorder="1" applyAlignment="1">
      <alignment horizontal="left" vertical="top"/>
    </xf>
    <xf numFmtId="0" fontId="23" fillId="9" borderId="23" xfId="13" applyFont="1" applyFill="1" applyBorder="1" applyAlignment="1">
      <alignment horizontal="left" vertical="top"/>
    </xf>
    <xf numFmtId="0" fontId="16" fillId="9" borderId="19" xfId="0" applyFont="1" applyFill="1" applyBorder="1" applyAlignment="1">
      <alignment horizontal="left" wrapText="1"/>
    </xf>
    <xf numFmtId="0" fontId="16" fillId="9" borderId="24" xfId="0" applyFont="1" applyFill="1" applyBorder="1" applyAlignment="1">
      <alignment horizontal="left" wrapText="1"/>
    </xf>
    <xf numFmtId="0" fontId="16" fillId="9" borderId="27" xfId="0" applyFont="1" applyFill="1" applyBorder="1" applyAlignment="1">
      <alignment horizontal="left" wrapText="1"/>
    </xf>
    <xf numFmtId="0" fontId="23" fillId="9" borderId="19" xfId="13" applyFont="1" applyFill="1" applyBorder="1" applyAlignment="1">
      <alignment horizontal="left"/>
    </xf>
    <xf numFmtId="0" fontId="23" fillId="9" borderId="24" xfId="13" applyFont="1" applyFill="1" applyBorder="1" applyAlignment="1">
      <alignment horizontal="left"/>
    </xf>
    <xf numFmtId="0" fontId="23" fillId="9" borderId="27" xfId="13" applyFont="1" applyFill="1" applyBorder="1" applyAlignment="1">
      <alignment horizontal="left"/>
    </xf>
    <xf numFmtId="0" fontId="23" fillId="9" borderId="22" xfId="13" applyFont="1" applyFill="1" applyBorder="1" applyAlignment="1">
      <alignment horizontal="left"/>
    </xf>
    <xf numFmtId="0" fontId="23" fillId="9" borderId="21" xfId="13" applyFont="1" applyFill="1" applyBorder="1" applyAlignment="1">
      <alignment horizontal="left"/>
    </xf>
    <xf numFmtId="0" fontId="23" fillId="9" borderId="23" xfId="13" applyFont="1" applyFill="1" applyBorder="1" applyAlignment="1">
      <alignment horizontal="left"/>
    </xf>
    <xf numFmtId="0" fontId="22" fillId="7" borderId="3" xfId="13" applyFont="1" applyFill="1" applyBorder="1" applyAlignment="1">
      <alignment horizontal="center"/>
    </xf>
    <xf numFmtId="0" fontId="23" fillId="9" borderId="19" xfId="0" applyFont="1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23" fillId="9" borderId="27" xfId="0" applyFont="1" applyFill="1" applyBorder="1" applyAlignment="1">
      <alignment horizontal="left"/>
    </xf>
    <xf numFmtId="0" fontId="24" fillId="7" borderId="3" xfId="13" applyFont="1" applyFill="1" applyBorder="1" applyAlignment="1">
      <alignment horizontal="center"/>
    </xf>
    <xf numFmtId="0" fontId="51" fillId="7" borderId="3" xfId="0" applyFont="1" applyFill="1" applyBorder="1" applyAlignment="1">
      <alignment horizontal="center"/>
    </xf>
    <xf numFmtId="0" fontId="16" fillId="9" borderId="3" xfId="36" applyFont="1" applyFill="1" applyBorder="1" applyAlignment="1">
      <alignment horizontal="left" wrapText="1"/>
    </xf>
    <xf numFmtId="0" fontId="16" fillId="13" borderId="3" xfId="0" applyFont="1" applyFill="1" applyBorder="1" applyAlignment="1">
      <alignment horizontal="left"/>
    </xf>
    <xf numFmtId="0" fontId="16" fillId="12" borderId="12" xfId="0" applyFont="1" applyFill="1" applyBorder="1" applyAlignment="1">
      <alignment horizontal="right"/>
    </xf>
    <xf numFmtId="0" fontId="16" fillId="12" borderId="9" xfId="0" applyFont="1" applyFill="1" applyBorder="1" applyAlignment="1">
      <alignment horizontal="right"/>
    </xf>
    <xf numFmtId="0" fontId="30" fillId="12" borderId="12" xfId="13" applyFont="1" applyFill="1" applyBorder="1" applyAlignment="1">
      <alignment horizontal="right"/>
    </xf>
    <xf numFmtId="0" fontId="30" fillId="12" borderId="9" xfId="13" applyFont="1" applyFill="1" applyBorder="1" applyAlignment="1">
      <alignment horizontal="right"/>
    </xf>
    <xf numFmtId="0" fontId="16" fillId="9" borderId="12" xfId="36" applyFont="1" applyFill="1" applyBorder="1" applyAlignment="1">
      <alignment horizontal="left" wrapText="1"/>
    </xf>
    <xf numFmtId="0" fontId="16" fillId="9" borderId="2" xfId="36" applyFont="1" applyFill="1" applyBorder="1" applyAlignment="1">
      <alignment horizontal="left" wrapText="1"/>
    </xf>
    <xf numFmtId="0" fontId="16" fillId="9" borderId="9" xfId="36" applyFont="1" applyFill="1" applyBorder="1" applyAlignment="1">
      <alignment horizontal="left" wrapText="1"/>
    </xf>
    <xf numFmtId="0" fontId="16" fillId="9" borderId="12" xfId="0" applyFont="1" applyFill="1" applyBorder="1" applyAlignment="1">
      <alignment horizontal="left" wrapText="1"/>
    </xf>
    <xf numFmtId="0" fontId="16" fillId="9" borderId="2" xfId="0" applyFont="1" applyFill="1" applyBorder="1" applyAlignment="1">
      <alignment horizontal="left" wrapText="1"/>
    </xf>
    <xf numFmtId="0" fontId="16" fillId="9" borderId="9" xfId="0" applyFont="1" applyFill="1" applyBorder="1" applyAlignment="1">
      <alignment horizontal="left" wrapText="1"/>
    </xf>
    <xf numFmtId="168" fontId="14" fillId="6" borderId="3" xfId="2" applyNumberFormat="1" applyFont="1" applyFill="1" applyBorder="1" applyAlignment="1">
      <alignment horizontal="center"/>
    </xf>
    <xf numFmtId="168" fontId="14" fillId="6" borderId="3" xfId="2" applyNumberFormat="1" applyFont="1" applyFill="1" applyBorder="1"/>
    <xf numFmtId="168" fontId="0" fillId="12" borderId="3" xfId="2" applyNumberFormat="1" applyFont="1" applyFill="1" applyBorder="1"/>
    <xf numFmtId="168" fontId="46" fillId="6" borderId="3" xfId="2" applyNumberFormat="1" applyFont="1" applyFill="1" applyBorder="1"/>
  </cellXfs>
  <cellStyles count="39">
    <cellStyle name="active" xfId="1" xr:uid="{00000000-0005-0000-0000-000000000000}"/>
    <cellStyle name="Comma" xfId="2" builtinId="3"/>
    <cellStyle name="Comma 2" xfId="14" xr:uid="{00000000-0005-0000-0000-000002000000}"/>
    <cellStyle name="Comma 3" xfId="24" xr:uid="{00000000-0005-0000-0000-000003000000}"/>
    <cellStyle name="Comma 4" xfId="34" xr:uid="{B314593C-B056-4326-B550-3800D60DC842}"/>
    <cellStyle name="Comma 4 2" xfId="27" xr:uid="{AE6857C9-D639-4B27-B668-4C520CC60211}"/>
    <cellStyle name="Comma 5" xfId="38" xr:uid="{D517A4FA-C93A-4ED5-8617-8FA2FE8F0DEC}"/>
    <cellStyle name="Currency" xfId="3" builtinId="4"/>
    <cellStyle name="Currency 2" xfId="28" xr:uid="{C14D5CEE-8BDE-45A8-A5EC-4BDC800DCA11}"/>
    <cellStyle name="Currency 2 2" xfId="21" xr:uid="{00000000-0005-0000-0000-000005000000}"/>
    <cellStyle name="Currency 3" xfId="22" xr:uid="{00000000-0005-0000-0000-000006000000}"/>
    <cellStyle name="Currency 4" xfId="32" xr:uid="{1DCD3180-B863-415D-9AE6-0777C48B8838}"/>
    <cellStyle name="Currency 4 2" xfId="35" xr:uid="{738BF59D-7947-4496-AC4C-96EABD024925}"/>
    <cellStyle name="Currency 8" xfId="18" xr:uid="{00000000-0005-0000-0000-000007000000}"/>
    <cellStyle name="Grey" xfId="4" xr:uid="{00000000-0005-0000-0000-000008000000}"/>
    <cellStyle name="Header1" xfId="5" xr:uid="{00000000-0005-0000-0000-000009000000}"/>
    <cellStyle name="Header2" xfId="6" xr:uid="{00000000-0005-0000-0000-00000A000000}"/>
    <cellStyle name="Hyperlink" xfId="36" builtinId="8"/>
    <cellStyle name="Hyperlink 2" xfId="29" xr:uid="{D8D2B306-04C1-4812-8C6F-26FEE931DDA3}"/>
    <cellStyle name="Input [yellow]" xfId="7" xr:uid="{00000000-0005-0000-0000-00000C000000}"/>
    <cellStyle name="Normal" xfId="0" builtinId="0"/>
    <cellStyle name="Normal - Style1" xfId="8" xr:uid="{00000000-0005-0000-0000-00000E000000}"/>
    <cellStyle name="Normal 11" xfId="17" xr:uid="{00000000-0005-0000-0000-00000F000000}"/>
    <cellStyle name="Normal 11 2" xfId="25" xr:uid="{00000000-0005-0000-0000-000010000000}"/>
    <cellStyle name="Normal 16" xfId="13" xr:uid="{00000000-0005-0000-0000-000011000000}"/>
    <cellStyle name="Normal 2" xfId="9" xr:uid="{00000000-0005-0000-0000-000012000000}"/>
    <cellStyle name="Normal 2 2" xfId="20" xr:uid="{00000000-0005-0000-0000-000013000000}"/>
    <cellStyle name="Normal 3" xfId="26" xr:uid="{078A139F-4F1B-4FEB-B837-880CBB0954E6}"/>
    <cellStyle name="Normal 4" xfId="15" xr:uid="{00000000-0005-0000-0000-000014000000}"/>
    <cellStyle name="Normal 4 2" xfId="16" xr:uid="{00000000-0005-0000-0000-000015000000}"/>
    <cellStyle name="Normal 4 3" xfId="19" xr:uid="{00000000-0005-0000-0000-000016000000}"/>
    <cellStyle name="Normal 5" xfId="23" xr:uid="{00000000-0005-0000-0000-000017000000}"/>
    <cellStyle name="Normal 6" xfId="30" xr:uid="{25233F65-2044-4ABD-93B6-7B8ECACACE0B}"/>
    <cellStyle name="Normal 7" xfId="31" xr:uid="{1183A224-93F5-4E11-976C-75437B20E09A}"/>
    <cellStyle name="Normal 7 2" xfId="37" xr:uid="{36F10AD6-D4A1-4745-BA89-CF086F9F9514}"/>
    <cellStyle name="Percent" xfId="10" builtinId="5"/>
    <cellStyle name="Percent [2]" xfId="11" xr:uid="{00000000-0005-0000-0000-000019000000}"/>
    <cellStyle name="Percent 2" xfId="33" xr:uid="{7BF367AD-F801-46DF-A1E4-1FBAEFE24983}"/>
    <cellStyle name="PSChar" xfId="12" xr:uid="{00000000-0005-0000-0000-00001A000000}"/>
  </cellStyles>
  <dxfs count="0"/>
  <tableStyles count="0" defaultTableStyle="TableStyleMedium9" defaultPivotStyle="PivotStyleLight16"/>
  <colors>
    <mruColors>
      <color rgb="FFFEF5E4"/>
      <color rgb="FFFFFFCC"/>
      <color rgb="FFFDB92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ow00\KCMDepartments\DOCUME~1\EMCKEN~1\LOCALS~1\Temp\notesE97E9E\Template%20of%20Benefits%20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>
        <row r="5">
          <cell r="I5">
            <v>35873401.852506503</v>
          </cell>
          <cell r="L5">
            <v>-11950617.593879221</v>
          </cell>
        </row>
      </sheetData>
      <sheetData sheetId="5"/>
      <sheetData sheetId="6">
        <row r="31">
          <cell r="B31">
            <v>2013</v>
          </cell>
        </row>
        <row r="32">
          <cell r="B32">
            <v>2015</v>
          </cell>
        </row>
        <row r="33">
          <cell r="B33">
            <v>50</v>
          </cell>
        </row>
        <row r="35">
          <cell r="B35">
            <v>7.0000000000000007E-2</v>
          </cell>
        </row>
        <row r="37">
          <cell r="B37">
            <v>0.26</v>
          </cell>
        </row>
        <row r="39">
          <cell r="B39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I8">
            <v>101752.39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klahoma.gov/content/dam/ok/en/odot/documents/waterway/pdfs/ww-oklahoma-port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80"/>
  <sheetViews>
    <sheetView workbookViewId="0">
      <selection activeCell="B2" sqref="B2:C2"/>
    </sheetView>
  </sheetViews>
  <sheetFormatPr defaultRowHeight="12.75" x14ac:dyDescent="0.2"/>
  <cols>
    <col min="2" max="2" width="8.5703125" bestFit="1" customWidth="1"/>
    <col min="3" max="3" width="16.5703125" customWidth="1"/>
    <col min="4" max="8" width="20.7109375" customWidth="1"/>
    <col min="23" max="79" width="8.85546875" style="18"/>
  </cols>
  <sheetData>
    <row r="1" spans="1:22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49.9" customHeight="1" thickBot="1" x14ac:dyDescent="0.25">
      <c r="A2" s="18"/>
      <c r="B2" s="484" t="s">
        <v>19</v>
      </c>
      <c r="C2" s="485"/>
      <c r="D2" s="3" t="s">
        <v>2</v>
      </c>
      <c r="E2" s="3" t="s">
        <v>35</v>
      </c>
      <c r="F2" s="3" t="s">
        <v>4</v>
      </c>
      <c r="G2" s="3" t="s">
        <v>20</v>
      </c>
      <c r="H2" s="3" t="s">
        <v>7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49.9" customHeight="1" thickTop="1" x14ac:dyDescent="0.2">
      <c r="A3" s="18"/>
      <c r="B3" s="482" t="str">
        <f>'Summary Table'!A1</f>
        <v>2021 BCA SUMMARY - MKARNS Waterway Project</v>
      </c>
      <c r="C3" s="483"/>
      <c r="D3" s="116">
        <f>Costs!B3</f>
        <v>21903900</v>
      </c>
      <c r="E3" s="433">
        <f>'Summary Table'!P36</f>
        <v>14048558.041049588</v>
      </c>
      <c r="F3" s="116">
        <f ca="1">'Summary Table'!K36</f>
        <v>224742959.0298253</v>
      </c>
      <c r="G3" s="433">
        <f ca="1">'Summary Table'!C6</f>
        <v>61583172.93627581</v>
      </c>
      <c r="H3" s="4">
        <f ca="1">'Summary Table'!C4</f>
        <v>5.3835938717931819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">
      <c r="A6" s="18"/>
      <c r="B6" s="18"/>
      <c r="C6" s="18"/>
      <c r="D6" s="18"/>
      <c r="E6" s="18"/>
      <c r="F6" s="18"/>
      <c r="G6" s="18"/>
      <c r="H6" s="34"/>
      <c r="I6" s="34"/>
      <c r="J6" s="34"/>
      <c r="K6" s="34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 x14ac:dyDescent="0.25">
      <c r="A7" s="18"/>
      <c r="B7" s="18"/>
      <c r="C7" s="18"/>
      <c r="D7" s="18"/>
      <c r="E7" s="18"/>
      <c r="F7" s="18"/>
      <c r="G7" s="18"/>
      <c r="H7" s="34"/>
      <c r="I7" s="45"/>
      <c r="J7" s="45"/>
      <c r="K7" s="34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5.75" x14ac:dyDescent="0.25">
      <c r="A8" s="18"/>
      <c r="B8" s="18"/>
      <c r="C8" s="18"/>
      <c r="D8" s="18"/>
      <c r="E8" s="18"/>
      <c r="F8" s="18"/>
      <c r="G8" s="18"/>
      <c r="H8" s="34"/>
      <c r="I8" s="45"/>
      <c r="J8" s="45"/>
      <c r="K8" s="34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">
      <c r="A9" s="18"/>
      <c r="B9" s="18"/>
      <c r="C9" s="18"/>
      <c r="D9" s="18"/>
      <c r="E9" s="18"/>
      <c r="F9" s="18"/>
      <c r="G9" s="18"/>
      <c r="H9" s="34"/>
      <c r="I9" s="34"/>
      <c r="J9" s="34"/>
      <c r="K9" s="3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18"/>
      <c r="B10" s="18"/>
      <c r="C10" s="18"/>
      <c r="D10" s="18"/>
      <c r="E10" s="18"/>
      <c r="F10" s="18"/>
      <c r="G10" s="18"/>
      <c r="H10" s="34"/>
      <c r="I10" s="34"/>
      <c r="J10" s="34"/>
      <c r="K10" s="34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8" customFormat="1" x14ac:dyDescent="0.2"/>
    <row r="40" spans="1:22" s="18" customFormat="1" x14ac:dyDescent="0.2"/>
    <row r="41" spans="1:22" s="18" customFormat="1" x14ac:dyDescent="0.2"/>
    <row r="42" spans="1:22" s="18" customFormat="1" x14ac:dyDescent="0.2"/>
    <row r="43" spans="1:22" s="18" customFormat="1" x14ac:dyDescent="0.2"/>
    <row r="44" spans="1:22" s="18" customFormat="1" x14ac:dyDescent="0.2"/>
    <row r="45" spans="1:22" s="18" customFormat="1" x14ac:dyDescent="0.2"/>
    <row r="46" spans="1:22" s="18" customFormat="1" x14ac:dyDescent="0.2"/>
    <row r="47" spans="1:22" s="18" customFormat="1" x14ac:dyDescent="0.2"/>
    <row r="48" spans="1:22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</sheetData>
  <mergeCells count="2">
    <mergeCell ref="B3:C3"/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B704"/>
  <sheetViews>
    <sheetView workbookViewId="0">
      <selection activeCell="G27" sqref="G27"/>
    </sheetView>
  </sheetViews>
  <sheetFormatPr defaultRowHeight="12.75" x14ac:dyDescent="0.2"/>
  <cols>
    <col min="1" max="1" width="25.42578125" customWidth="1"/>
    <col min="2" max="2" width="18" customWidth="1"/>
    <col min="3" max="3" width="24.5703125" customWidth="1"/>
    <col min="4" max="4" width="17.7109375" customWidth="1"/>
    <col min="5" max="5" width="17.28515625" customWidth="1"/>
    <col min="6" max="6" width="18.5703125" customWidth="1"/>
    <col min="7" max="7" width="13.7109375" customWidth="1"/>
  </cols>
  <sheetData>
    <row r="1" spans="1:158" ht="15.6" customHeight="1" x14ac:dyDescent="0.2">
      <c r="A1" s="511" t="s">
        <v>44</v>
      </c>
      <c r="B1" s="511"/>
      <c r="C1" s="51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</row>
    <row r="2" spans="1:158" ht="15.75" x14ac:dyDescent="0.2">
      <c r="A2" s="614" t="s">
        <v>424</v>
      </c>
      <c r="B2" s="615"/>
      <c r="C2" s="236">
        <f>E28</f>
        <v>224220561.17740142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</row>
    <row r="3" spans="1:158" ht="15.75" x14ac:dyDescent="0.2">
      <c r="A3" s="614" t="s">
        <v>425</v>
      </c>
      <c r="B3" s="615"/>
      <c r="C3" s="236">
        <f>F28</f>
        <v>85367136.946058407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</row>
    <row r="4" spans="1:158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</row>
    <row r="5" spans="1:158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</row>
    <row r="6" spans="1:158" x14ac:dyDescent="0.2">
      <c r="A6" s="505" t="s">
        <v>1</v>
      </c>
      <c r="B6" s="490" t="s">
        <v>421</v>
      </c>
      <c r="C6" s="491"/>
      <c r="D6" s="491"/>
      <c r="E6" s="491"/>
      <c r="F6" s="49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</row>
    <row r="7" spans="1:158" x14ac:dyDescent="0.2">
      <c r="A7" s="505"/>
      <c r="B7" s="375" t="s">
        <v>3</v>
      </c>
      <c r="C7" s="375" t="s">
        <v>422</v>
      </c>
      <c r="D7" s="374" t="s">
        <v>434</v>
      </c>
      <c r="E7" s="374" t="s">
        <v>0</v>
      </c>
      <c r="F7" s="374" t="s">
        <v>305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</row>
    <row r="8" spans="1:158" x14ac:dyDescent="0.2">
      <c r="A8" s="48">
        <v>2024</v>
      </c>
      <c r="B8" s="423">
        <f>LoU_Safety!L12</f>
        <v>0</v>
      </c>
      <c r="C8" s="166">
        <f>LoU_Env_Prot!K6</f>
        <v>0</v>
      </c>
      <c r="D8" s="211">
        <f>LoU_Econ!G6</f>
        <v>0</v>
      </c>
      <c r="E8" s="166">
        <f>B8+C8+D8</f>
        <v>0</v>
      </c>
      <c r="F8" s="211">
        <f>E8*NPV!C10</f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</row>
    <row r="9" spans="1:158" x14ac:dyDescent="0.2">
      <c r="A9" s="19">
        <f t="shared" ref="A9:A27" si="0">A8+1</f>
        <v>2025</v>
      </c>
      <c r="B9" s="423">
        <f>LoU_Safety!L13</f>
        <v>5476710.746999573</v>
      </c>
      <c r="C9" s="166">
        <f>LoU_Env_Prot!K7</f>
        <v>1194908.8309226308</v>
      </c>
      <c r="D9" s="211">
        <f>LoU_Econ!G7</f>
        <v>510.76276127446749</v>
      </c>
      <c r="E9" s="166">
        <f t="shared" ref="E9:E27" si="1">B9+C9+D9</f>
        <v>6672130.3406834779</v>
      </c>
      <c r="F9" s="211">
        <f>(LoU_Safety!L13+LoU_Env_Prot!I7+LoU_Econ!G7)*NPV!C11+LoU_Env_Prot!J7*NPV!D11</f>
        <v>4700196.6480591707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</row>
    <row r="10" spans="1:158" x14ac:dyDescent="0.2">
      <c r="A10" s="19">
        <f t="shared" si="0"/>
        <v>2026</v>
      </c>
      <c r="B10" s="423">
        <f>LoU_Safety!L14</f>
        <v>5675030.54633414</v>
      </c>
      <c r="C10" s="166">
        <f>LoU_Env_Prot!K8</f>
        <v>1170628.1208020071</v>
      </c>
      <c r="D10" s="211">
        <f>LoU_Econ!G8</f>
        <v>529.74963661486447</v>
      </c>
      <c r="E10" s="166">
        <f t="shared" si="1"/>
        <v>6846188.4167727623</v>
      </c>
      <c r="F10" s="211">
        <f>(LoU_Safety!L14+LoU_Env_Prot!I8+LoU_Econ!G8)*NPV!C12+LoU_Env_Prot!J8*NPV!D12</f>
        <v>4557309.2427460095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</row>
    <row r="11" spans="1:158" x14ac:dyDescent="0.2">
      <c r="A11" s="19">
        <f t="shared" si="0"/>
        <v>2027</v>
      </c>
      <c r="B11" s="423">
        <f>LoU_Safety!L15</f>
        <v>5907224.5668829503</v>
      </c>
      <c r="C11" s="166">
        <f>LoU_Env_Prot!K9</f>
        <v>1164309.922320487</v>
      </c>
      <c r="D11" s="211">
        <f>LoU_Econ!G9</f>
        <v>551.99263752582681</v>
      </c>
      <c r="E11" s="166">
        <f>B11+C11+D11</f>
        <v>7072086.4818409635</v>
      </c>
      <c r="F11" s="211">
        <f>(LoU_Safety!L15+LoU_Env_Prot!I9+LoU_Econ!G9)*NPV!C13+LoU_Env_Prot!J9*NPV!D13</f>
        <v>4450855.533584116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</row>
    <row r="12" spans="1:158" x14ac:dyDescent="0.2">
      <c r="A12" s="19">
        <f t="shared" si="0"/>
        <v>2028</v>
      </c>
      <c r="B12" s="423">
        <f>LoU_Safety!L16</f>
        <v>6177187.0855439929</v>
      </c>
      <c r="C12" s="166">
        <f>LoU_Env_Prot!K10</f>
        <v>1151853.7035017875</v>
      </c>
      <c r="D12" s="211">
        <f>LoU_Econ!G10</f>
        <v>577.86614075386422</v>
      </c>
      <c r="E12" s="166">
        <f t="shared" si="1"/>
        <v>7329618.6551865349</v>
      </c>
      <c r="F12" s="211">
        <f>(LoU_Safety!L16+LoU_Env_Prot!I10+LoU_Econ!G10)*NPV!C14+LoU_Env_Prot!J10*NPV!D14</f>
        <v>4355482.1373913502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</row>
    <row r="13" spans="1:158" x14ac:dyDescent="0.2">
      <c r="A13" s="19">
        <f t="shared" si="0"/>
        <v>2029</v>
      </c>
      <c r="B13" s="423">
        <f>LoU_Safety!L17</f>
        <v>6489581.7314512162</v>
      </c>
      <c r="C13" s="166">
        <f>LoU_Env_Prot!K11</f>
        <v>1144482.1658347619</v>
      </c>
      <c r="D13" s="211">
        <f>LoU_Econ!G11</f>
        <v>607.81848518797119</v>
      </c>
      <c r="E13" s="166">
        <f t="shared" si="1"/>
        <v>7634671.7157711666</v>
      </c>
      <c r="F13" s="211">
        <f>(LoU_Safety!L17+LoU_Env_Prot!I11+LoU_Econ!G11)*NPV!C15+LoU_Env_Prot!J11*NPV!D15</f>
        <v>4281416.9885778483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</row>
    <row r="14" spans="1:158" x14ac:dyDescent="0.2">
      <c r="A14" s="19">
        <f t="shared" si="0"/>
        <v>2030</v>
      </c>
      <c r="B14" s="423">
        <f>LoU_Safety!L18</f>
        <v>6849976.6573375221</v>
      </c>
      <c r="C14" s="166">
        <f>LoU_Env_Prot!K12</f>
        <v>1151587.9651822429</v>
      </c>
      <c r="D14" s="211">
        <f>LoU_Econ!G12</f>
        <v>642.38496664203728</v>
      </c>
      <c r="E14" s="166">
        <f t="shared" si="1"/>
        <v>8002207.0074864067</v>
      </c>
      <c r="F14" s="211">
        <f>(LoU_Safety!L18+LoU_Env_Prot!I12+LoU_Econ!G12)*NPV!C16+LoU_Env_Prot!J12*NPV!D16</f>
        <v>4237292.6666430635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</row>
    <row r="15" spans="1:158" x14ac:dyDescent="0.2">
      <c r="A15" s="19">
        <f t="shared" si="0"/>
        <v>2031</v>
      </c>
      <c r="B15" s="423">
        <f>LoU_Safety!L19</f>
        <v>7265010.2591970144</v>
      </c>
      <c r="C15" s="166">
        <f>LoU_Env_Prot!K13</f>
        <v>1143193.2879423411</v>
      </c>
      <c r="D15" s="211">
        <f>LoU_Econ!G13</f>
        <v>682.20376941686425</v>
      </c>
      <c r="E15" s="166">
        <f t="shared" si="1"/>
        <v>8408885.7509087734</v>
      </c>
      <c r="F15" s="211">
        <f>(LoU_Safety!L19+LoU_Env_Prot!I13+LoU_Econ!G13)*NPV!C17+LoU_Env_Prot!J13*NPV!D17</f>
        <v>4192588.5316665466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</row>
    <row r="16" spans="1:158" x14ac:dyDescent="0.2">
      <c r="A16" s="19">
        <f t="shared" si="0"/>
        <v>2032</v>
      </c>
      <c r="B16" s="423">
        <f>LoU_Safety!L20</f>
        <v>7742594.2972367965</v>
      </c>
      <c r="C16" s="166">
        <f>LoU_Env_Prot!K14</f>
        <v>1140418.6347781937</v>
      </c>
      <c r="D16" s="211">
        <f>LoU_Econ!G14</f>
        <v>728.03549345826195</v>
      </c>
      <c r="E16" s="166">
        <f t="shared" si="1"/>
        <v>8883740.9675084483</v>
      </c>
      <c r="F16" s="211">
        <f>(LoU_Safety!L20+LoU_Env_Prot!I14+LoU_Econ!G14)*NPV!C18+LoU_Env_Prot!J14*NPV!D18</f>
        <v>4168087.4068093072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</row>
    <row r="17" spans="1:152" x14ac:dyDescent="0.2">
      <c r="A17" s="19">
        <f t="shared" si="0"/>
        <v>2033</v>
      </c>
      <c r="B17" s="423">
        <f>LoU_Safety!L21</f>
        <v>8292163.029367771</v>
      </c>
      <c r="C17" s="166">
        <f>LoU_Env_Prot!K15</f>
        <v>1143278.5645057957</v>
      </c>
      <c r="D17" s="211">
        <f>LoU_Econ!G15</f>
        <v>780.78710495899134</v>
      </c>
      <c r="E17" s="166">
        <f t="shared" si="1"/>
        <v>9436222.3809785247</v>
      </c>
      <c r="F17" s="211">
        <f>(LoU_Safety!L21+LoU_Env_Prot!I15+LoU_Econ!G15)*NPV!C19+LoU_Env_Prot!J15*NPV!D19</f>
        <v>4163664.1342572817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</row>
    <row r="18" spans="1:152" x14ac:dyDescent="0.2">
      <c r="A18" s="19">
        <f t="shared" si="0"/>
        <v>2034</v>
      </c>
      <c r="B18" s="423">
        <f>LoU_Safety!L22</f>
        <v>8924979.1921939161</v>
      </c>
      <c r="C18" s="166">
        <f>LoU_Env_Prot!K16</f>
        <v>1151869.1240327479</v>
      </c>
      <c r="D18" s="211">
        <f>LoU_Econ!G16</f>
        <v>841.54135203007411</v>
      </c>
      <c r="E18" s="166">
        <f t="shared" si="1"/>
        <v>10077689.857578695</v>
      </c>
      <c r="F18" s="211">
        <f>(LoU_Safety!L22+LoU_Env_Prot!I16+LoU_Econ!G16)*NPV!C20+LoU_Env_Prot!J16*NPV!D20</f>
        <v>4176277.7509532864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</row>
    <row r="19" spans="1:152" x14ac:dyDescent="0.2">
      <c r="A19" s="19">
        <f t="shared" si="0"/>
        <v>2035</v>
      </c>
      <c r="B19" s="423">
        <f>LoU_Safety!L23</f>
        <v>9654510.4875034243</v>
      </c>
      <c r="C19" s="166">
        <f>LoU_Env_Prot!K17</f>
        <v>1166370.6586694128</v>
      </c>
      <c r="D19" s="211">
        <f>LoU_Econ!G17</f>
        <v>911.59295846208045</v>
      </c>
      <c r="E19" s="166">
        <f t="shared" si="1"/>
        <v>10821792.739131298</v>
      </c>
      <c r="F19" s="211">
        <f>(LoU_Safety!L23+LoU_Env_Prot!I17+LoU_Econ!G17)*NPV!C21+LoU_Env_Prot!J17*NPV!D21</f>
        <v>4212590.5827075792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</row>
    <row r="20" spans="1:152" x14ac:dyDescent="0.2">
      <c r="A20" s="19">
        <f t="shared" si="0"/>
        <v>2036</v>
      </c>
      <c r="B20" s="423">
        <f>LoU_Safety!L24</f>
        <v>10496893.828690901</v>
      </c>
      <c r="C20" s="166">
        <f>LoU_Env_Prot!K18</f>
        <v>1187052.7483905926</v>
      </c>
      <c r="D20" s="211">
        <f>LoU_Econ!G18</f>
        <v>992.49325434156572</v>
      </c>
      <c r="E20" s="166">
        <f t="shared" si="1"/>
        <v>11684939.070335835</v>
      </c>
      <c r="F20" s="211">
        <f>(LoU_Safety!L24+LoU_Env_Prot!I18+LoU_Econ!G18)*NPV!C22+LoU_Env_Prot!J18*NPV!D22</f>
        <v>4270267.698116377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</row>
    <row r="21" spans="1:152" x14ac:dyDescent="0.2">
      <c r="A21" s="19">
        <f t="shared" si="0"/>
        <v>2037</v>
      </c>
      <c r="B21" s="423">
        <f>LoU_Safety!L25</f>
        <v>11471509.198345024</v>
      </c>
      <c r="C21" s="166">
        <f>LoU_Env_Prot!K19</f>
        <v>1214281.4472768405</v>
      </c>
      <c r="D21" s="211">
        <f>LoU_Econ!G19</f>
        <v>1086.1053442046048</v>
      </c>
      <c r="E21" s="166">
        <f t="shared" si="1"/>
        <v>12686876.750966068</v>
      </c>
      <c r="F21" s="211">
        <f>(LoU_Safety!L25+LoU_Env_Prot!I19+LoU_Econ!G19)*NPV!C23+LoU_Env_Prot!J19*NPV!D23</f>
        <v>4350344.297774001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</row>
    <row r="22" spans="1:152" x14ac:dyDescent="0.2">
      <c r="A22" s="19">
        <f t="shared" si="0"/>
        <v>2038</v>
      </c>
      <c r="B22" s="423">
        <f>LoU_Safety!L26</f>
        <v>12601690.862400394</v>
      </c>
      <c r="C22" s="166">
        <f>LoU_Env_Prot!K20</f>
        <v>1248529.0873680171</v>
      </c>
      <c r="D22" s="211">
        <f>LoU_Econ!G20</f>
        <v>1194.672480048451</v>
      </c>
      <c r="E22" s="166">
        <f t="shared" si="1"/>
        <v>13851414.62224846</v>
      </c>
      <c r="F22" s="211">
        <f>(LoU_Safety!L26+LoU_Env_Prot!I20+LoU_Econ!G20)*NPV!C24+LoU_Env_Prot!J20*NPV!D24</f>
        <v>4454193.1888182303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</row>
    <row r="23" spans="1:152" x14ac:dyDescent="0.2">
      <c r="A23" s="19">
        <f t="shared" si="0"/>
        <v>2039</v>
      </c>
      <c r="B23" s="423">
        <f>LoU_Safety!L27</f>
        <v>13915611.267493885</v>
      </c>
      <c r="C23" s="166">
        <f>LoU_Env_Prot!K21</f>
        <v>1290387.0042184941</v>
      </c>
      <c r="D23" s="211">
        <f>LoU_Econ!G21</f>
        <v>1320.9030353496837</v>
      </c>
      <c r="E23" s="166">
        <f t="shared" si="1"/>
        <v>15207319.17474773</v>
      </c>
      <c r="F23" s="211">
        <f>(LoU_Safety!L27+LoU_Env_Prot!I21+LoU_Econ!G21)*NPV!C25+LoU_Env_Prot!J21*NPV!D25</f>
        <v>4583559.5833467375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</row>
    <row r="24" spans="1:152" x14ac:dyDescent="0.2">
      <c r="A24" s="19">
        <f t="shared" si="0"/>
        <v>2040</v>
      </c>
      <c r="B24" s="423">
        <f>LoU_Safety!L28</f>
        <v>15447382.729438808</v>
      </c>
      <c r="C24" s="166">
        <f>LoU_Env_Prot!K22</f>
        <v>1340581.6541818506</v>
      </c>
      <c r="D24" s="211">
        <f>LoU_Econ!G22</f>
        <v>1468.0764165659987</v>
      </c>
      <c r="E24" s="166">
        <f t="shared" si="1"/>
        <v>16789432.460037224</v>
      </c>
      <c r="F24" s="211">
        <f>(LoU_Safety!L28+LoU_Env_Prot!I22+LoU_Econ!G22)*NPV!C26+LoU_Env_Prot!J22*NPV!D26</f>
        <v>4740605.6269469494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</row>
    <row r="25" spans="1:152" x14ac:dyDescent="0.2">
      <c r="A25" s="19">
        <f t="shared" si="0"/>
        <v>2041</v>
      </c>
      <c r="B25" s="423">
        <f>LoU_Safety!L29</f>
        <v>17238434.679214515</v>
      </c>
      <c r="C25" s="166">
        <f>LoU_Env_Prot!K23</f>
        <v>1399994.7284536948</v>
      </c>
      <c r="D25" s="211">
        <f>LoU_Econ!G23</f>
        <v>1640.1754655298773</v>
      </c>
      <c r="E25" s="166">
        <f t="shared" si="1"/>
        <v>18640069.583133742</v>
      </c>
      <c r="F25" s="211">
        <f>(LoU_Safety!L29+LoU_Env_Prot!I23+LoU_Econ!G23)*NPV!C27+LoU_Env_Prot!J23*NPV!D27</f>
        <v>4927966.1788589153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</row>
    <row r="26" spans="1:152" x14ac:dyDescent="0.2">
      <c r="A26" s="19">
        <f t="shared" si="0"/>
        <v>2042</v>
      </c>
      <c r="B26" s="423">
        <f>LoU_Safety!L30</f>
        <v>19339240.665222842</v>
      </c>
      <c r="C26" s="166">
        <f>LoU_Env_Prot!K24</f>
        <v>1469688.0330353111</v>
      </c>
      <c r="D26" s="211">
        <f>LoU_Econ!G24</f>
        <v>1842.0524858769932</v>
      </c>
      <c r="E26" s="166">
        <f t="shared" si="1"/>
        <v>20810770.75074403</v>
      </c>
      <c r="F26" s="211">
        <f>(LoU_Safety!L30+LoU_Env_Prot!I24+LoU_Econ!G24)*NPV!C28+LoU_Env_Prot!J24*NPV!D28</f>
        <v>5143401.4096371038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</row>
    <row r="27" spans="1:152" ht="13.5" thickBot="1" x14ac:dyDescent="0.25">
      <c r="A27" s="19">
        <f t="shared" si="0"/>
        <v>2043</v>
      </c>
      <c r="B27" s="423">
        <f>LoU_Safety!L31</f>
        <v>21811490.70762483</v>
      </c>
      <c r="C27" s="166">
        <f>LoU_Env_Prot!K25</f>
        <v>1550934.1056327606</v>
      </c>
      <c r="D27" s="211">
        <f>LoU_Econ!G25</f>
        <v>2079.6380836718836</v>
      </c>
      <c r="E27" s="252">
        <f t="shared" si="1"/>
        <v>23364504.45134126</v>
      </c>
      <c r="F27" s="212">
        <f>(LoU_Safety!L31+LoU_Env_Prot!I25+LoU_Econ!G25)*NPV!C29+LoU_Env_Prot!J25*NPV!D29</f>
        <v>5401037.3391645318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</row>
    <row r="28" spans="1:152" ht="13.5" thickTop="1" x14ac:dyDescent="0.2">
      <c r="A28" s="541" t="s">
        <v>0</v>
      </c>
      <c r="B28" s="542"/>
      <c r="C28" s="542"/>
      <c r="D28" s="543"/>
      <c r="E28" s="424">
        <f>SUM(E8:E27)</f>
        <v>224220561.17740142</v>
      </c>
      <c r="F28" s="425">
        <f>SUM(F8:F27)</f>
        <v>85367136.946058407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</row>
    <row r="29" spans="1:152" ht="27" customHeight="1" x14ac:dyDescent="0.2">
      <c r="A29" s="647" t="s">
        <v>438</v>
      </c>
      <c r="B29" s="648"/>
      <c r="C29" s="648"/>
      <c r="D29" s="648"/>
      <c r="E29" s="648"/>
      <c r="F29" s="64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152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152" x14ac:dyDescent="0.2">
      <c r="A31" s="518" t="s">
        <v>319</v>
      </c>
      <c r="B31" s="523"/>
      <c r="C31" s="523"/>
      <c r="D31" s="523"/>
      <c r="E31" s="523"/>
      <c r="F31" s="523"/>
      <c r="G31" s="5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152" x14ac:dyDescent="0.2">
      <c r="A32" s="488"/>
      <c r="B32" s="518" t="s">
        <v>91</v>
      </c>
      <c r="C32" s="523"/>
      <c r="D32" s="519"/>
      <c r="E32" s="518" t="s">
        <v>90</v>
      </c>
      <c r="F32" s="523"/>
      <c r="G32" s="5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x14ac:dyDescent="0.2">
      <c r="A33" s="517"/>
      <c r="B33" s="191" t="s">
        <v>75</v>
      </c>
      <c r="C33" s="375" t="s">
        <v>73</v>
      </c>
      <c r="D33" s="191" t="s">
        <v>76</v>
      </c>
      <c r="E33" s="191" t="s">
        <v>75</v>
      </c>
      <c r="F33" s="375" t="s">
        <v>73</v>
      </c>
      <c r="G33" s="191" t="s">
        <v>76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x14ac:dyDescent="0.2">
      <c r="A34" s="54" t="s">
        <v>317</v>
      </c>
      <c r="B34" s="241">
        <f>'Ton-miles'!D7+'Ton-miles'!D8+'Ton-miles'!D6</f>
        <v>1027433</v>
      </c>
      <c r="C34" s="350">
        <f>B34*'Ton-miles'!B160</f>
        <v>457207685</v>
      </c>
      <c r="D34" s="242">
        <f>SUM('Ton-miles'!H6+'Ton-miles'!H7+'Ton-miles'!H8)</f>
        <v>549676655</v>
      </c>
      <c r="E34" s="353"/>
      <c r="F34" s="243"/>
      <c r="G34" s="35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3.5" thickBot="1" x14ac:dyDescent="0.25">
      <c r="A35" s="338" t="s">
        <v>316</v>
      </c>
      <c r="B35" s="339"/>
      <c r="C35" s="351"/>
      <c r="D35" s="339"/>
      <c r="E35" s="354">
        <f>'Ton-miles'!B16*D40</f>
        <v>197491.323</v>
      </c>
      <c r="F35" s="340">
        <f>'Ton-miles'!B158*E35</f>
        <v>77614089.938999996</v>
      </c>
      <c r="G35" s="452">
        <f>'Ton-miles'!F16*'Loss of Use'!D40</f>
        <v>144358014.86468437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5.75" thickTop="1" x14ac:dyDescent="0.25">
      <c r="A36" s="432" t="s">
        <v>190</v>
      </c>
      <c r="B36" s="336">
        <f t="shared" ref="B36:G36" si="2">SUM(B34:B35)</f>
        <v>1027433</v>
      </c>
      <c r="C36" s="352">
        <f t="shared" si="2"/>
        <v>457207685</v>
      </c>
      <c r="D36" s="337">
        <f t="shared" si="2"/>
        <v>549676655</v>
      </c>
      <c r="E36" s="352">
        <f>SUM(E34:E35)</f>
        <v>197491.323</v>
      </c>
      <c r="F36" s="336">
        <f t="shared" si="2"/>
        <v>77614089.938999996</v>
      </c>
      <c r="G36" s="453">
        <f t="shared" si="2"/>
        <v>144358014.86468437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8" x14ac:dyDescent="0.2">
      <c r="A38" s="375" t="s">
        <v>314</v>
      </c>
      <c r="B38" s="375" t="s">
        <v>312</v>
      </c>
      <c r="C38" s="375" t="s">
        <v>313</v>
      </c>
      <c r="D38" s="375" t="s">
        <v>318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8" x14ac:dyDescent="0.2">
      <c r="A39" s="54" t="s">
        <v>315</v>
      </c>
      <c r="B39" s="220">
        <v>6</v>
      </c>
      <c r="C39" s="264">
        <v>2025</v>
      </c>
      <c r="D39" s="36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8" ht="13.5" thickBot="1" x14ac:dyDescent="0.25">
      <c r="A40" s="338" t="s">
        <v>316</v>
      </c>
      <c r="B40" s="356">
        <v>16</v>
      </c>
      <c r="C40" s="357">
        <v>2025</v>
      </c>
      <c r="D40" s="369">
        <v>0.3</v>
      </c>
      <c r="E40" s="39" t="s">
        <v>449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8" ht="13.5" thickTop="1" x14ac:dyDescent="0.2">
      <c r="A41" s="529" t="s">
        <v>447</v>
      </c>
      <c r="B41" s="530"/>
      <c r="C41" s="530"/>
      <c r="D41" s="531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8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8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8" x14ac:dyDescent="0.2">
      <c r="A44" s="18" t="s">
        <v>193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8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8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8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8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1:47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</row>
    <row r="71" spans="1:47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</row>
    <row r="72" spans="1:47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</row>
    <row r="73" spans="1:47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</row>
    <row r="75" spans="1:47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7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7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47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7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47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</row>
    <row r="83" spans="1:47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</row>
    <row r="84" spans="1:47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</row>
    <row r="85" spans="1:47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</row>
    <row r="86" spans="1:47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7" spans="1:47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</row>
    <row r="88" spans="1:47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</row>
    <row r="89" spans="1:4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</row>
    <row r="90" spans="1:4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</row>
    <row r="91" spans="1:47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</row>
    <row r="92" spans="1:47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</row>
    <row r="93" spans="1:47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</row>
    <row r="94" spans="1:47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</row>
    <row r="95" spans="1:47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</row>
    <row r="96" spans="1:47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</row>
    <row r="97" spans="1:47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</row>
    <row r="98" spans="1:47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</row>
    <row r="99" spans="1:47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</row>
    <row r="100" spans="1:47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</row>
    <row r="101" spans="1:47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</row>
    <row r="102" spans="1:47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</row>
    <row r="103" spans="1:47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</row>
    <row r="104" spans="1:47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</row>
    <row r="105" spans="1:47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</row>
    <row r="106" spans="1:47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47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</row>
    <row r="110" spans="1:47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</row>
    <row r="111" spans="1:47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</row>
    <row r="112" spans="1:47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</row>
    <row r="113" spans="1:47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</row>
    <row r="114" spans="1:47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47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</row>
    <row r="116" spans="1:47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</row>
    <row r="117" spans="1:47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</row>
    <row r="118" spans="1:47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</row>
    <row r="119" spans="1:47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</row>
    <row r="120" spans="1:47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1:47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</row>
    <row r="122" spans="1:47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</row>
    <row r="123" spans="1:47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</row>
    <row r="124" spans="1:47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</row>
    <row r="125" spans="1:47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</row>
    <row r="126" spans="1:47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</row>
    <row r="127" spans="1:47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</row>
    <row r="128" spans="1:47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</row>
    <row r="129" spans="1:47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</row>
    <row r="130" spans="1:47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</row>
    <row r="131" spans="1:47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</row>
    <row r="132" spans="1:47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</row>
    <row r="133" spans="1:47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</row>
    <row r="134" spans="1:47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</row>
    <row r="135" spans="1:47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</row>
    <row r="136" spans="1:47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</row>
    <row r="137" spans="1:47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</row>
    <row r="138" spans="1:47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</row>
    <row r="139" spans="1:47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</row>
    <row r="140" spans="1:47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</row>
    <row r="141" spans="1:47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</row>
    <row r="142" spans="1:47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</row>
    <row r="143" spans="1:47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</row>
    <row r="144" spans="1:47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</row>
    <row r="145" spans="1:47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</row>
    <row r="146" spans="1:47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</row>
    <row r="147" spans="1:47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</row>
    <row r="148" spans="1:47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</row>
    <row r="149" spans="1:47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</row>
    <row r="150" spans="1:47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</row>
    <row r="151" spans="1:47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</row>
    <row r="152" spans="1:47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</row>
    <row r="153" spans="1:47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</row>
    <row r="154" spans="1:47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</row>
    <row r="155" spans="1:47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</row>
    <row r="157" spans="1:47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</row>
    <row r="158" spans="1:47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</row>
    <row r="159" spans="1:47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</row>
    <row r="160" spans="1:47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</row>
    <row r="161" spans="1:47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</row>
    <row r="162" spans="1:47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</row>
    <row r="163" spans="1:47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</row>
    <row r="164" spans="1:47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</row>
    <row r="165" spans="1:47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</row>
    <row r="166" spans="1:47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</row>
    <row r="167" spans="1:47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</row>
    <row r="168" spans="1:47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</row>
    <row r="169" spans="1:47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</row>
    <row r="170" spans="1:47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</row>
    <row r="171" spans="1:47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</row>
    <row r="172" spans="1:47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</row>
    <row r="173" spans="1:47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</row>
    <row r="174" spans="1:47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</row>
    <row r="175" spans="1:47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</row>
    <row r="176" spans="1:47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</row>
    <row r="177" spans="1:47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</row>
    <row r="178" spans="1:47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</row>
    <row r="179" spans="1:47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</row>
    <row r="180" spans="1:47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</row>
    <row r="181" spans="1:47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</row>
    <row r="182" spans="1:47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</row>
    <row r="183" spans="1:47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</row>
    <row r="184" spans="1:47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</row>
    <row r="185" spans="1:47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</row>
    <row r="186" spans="1:47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</row>
    <row r="187" spans="1:47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</row>
    <row r="188" spans="1:47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</row>
    <row r="189" spans="1:47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</row>
    <row r="190" spans="1:47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</row>
    <row r="191" spans="1:47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</row>
    <row r="192" spans="1:47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</row>
    <row r="193" spans="1:47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</row>
    <row r="194" spans="1:47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</row>
    <row r="195" spans="1:47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</row>
    <row r="196" spans="1:47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</row>
    <row r="197" spans="1:47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</row>
    <row r="198" spans="1:47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</row>
    <row r="199" spans="1:47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</row>
    <row r="200" spans="1:47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</row>
    <row r="202" spans="1:47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</row>
    <row r="203" spans="1:47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</row>
    <row r="204" spans="1:47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</row>
    <row r="205" spans="1:47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</row>
    <row r="206" spans="1:47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</row>
    <row r="208" spans="1:47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</row>
    <row r="209" spans="1:47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</row>
    <row r="210" spans="1:47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</row>
    <row r="211" spans="1:47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</row>
    <row r="212" spans="1:47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</row>
    <row r="213" spans="1:47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</row>
    <row r="214" spans="1:47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</row>
    <row r="215" spans="1:47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</row>
    <row r="216" spans="1:47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</row>
    <row r="217" spans="1:47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</row>
    <row r="219" spans="1:47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</row>
    <row r="220" spans="1:47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</row>
    <row r="221" spans="1:47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</row>
    <row r="222" spans="1:47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</row>
    <row r="223" spans="1:47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</row>
    <row r="225" spans="1:47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</row>
    <row r="226" spans="1:47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</row>
    <row r="227" spans="1:47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</row>
    <row r="228" spans="1:47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</row>
    <row r="229" spans="1:47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</row>
    <row r="230" spans="1:47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</row>
    <row r="231" spans="1:47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</row>
    <row r="232" spans="1:47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</row>
    <row r="236" spans="1:47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</row>
    <row r="237" spans="1:47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</row>
    <row r="238" spans="1:47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</row>
    <row r="239" spans="1:47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</row>
    <row r="240" spans="1:47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</row>
    <row r="242" spans="1:47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</row>
    <row r="243" spans="1:47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</row>
    <row r="244" spans="1:47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</row>
    <row r="245" spans="1:47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</row>
    <row r="246" spans="1:47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</row>
    <row r="247" spans="1:47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</row>
    <row r="248" spans="1:47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</row>
    <row r="249" spans="1:47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</row>
    <row r="250" spans="1:47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</row>
    <row r="251" spans="1:47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</row>
    <row r="252" spans="1:47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</row>
    <row r="253" spans="1:47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</row>
    <row r="254" spans="1:47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</row>
    <row r="255" spans="1:47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</row>
    <row r="256" spans="1:47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</row>
    <row r="257" spans="1:47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</row>
    <row r="258" spans="1:47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</row>
    <row r="259" spans="1:47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</row>
    <row r="260" spans="1:47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</row>
    <row r="261" spans="1:47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</row>
    <row r="262" spans="1:47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</row>
    <row r="263" spans="1:47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</row>
    <row r="264" spans="1:47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</row>
    <row r="265" spans="1:47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</row>
    <row r="266" spans="1:47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</row>
    <row r="267" spans="1:47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</row>
    <row r="268" spans="1:47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</row>
    <row r="269" spans="1:47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</row>
    <row r="270" spans="1:47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</row>
    <row r="271" spans="1:47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</row>
    <row r="272" spans="1:47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</row>
    <row r="273" spans="1:47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</row>
    <row r="274" spans="1:47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</row>
    <row r="275" spans="1:47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</row>
    <row r="276" spans="1:47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</row>
    <row r="277" spans="1:47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</row>
    <row r="278" spans="1:47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</row>
    <row r="279" spans="1:47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</row>
    <row r="280" spans="1:47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</row>
    <row r="281" spans="1:47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</row>
    <row r="282" spans="1:47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</row>
    <row r="283" spans="1:47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</row>
    <row r="284" spans="1:47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</row>
    <row r="285" spans="1:47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</row>
    <row r="286" spans="1:47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</row>
    <row r="287" spans="1:47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</row>
    <row r="288" spans="1:47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</row>
    <row r="289" spans="1:47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</row>
    <row r="290" spans="1:47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</row>
    <row r="291" spans="1:47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</row>
    <row r="292" spans="1:47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</row>
    <row r="293" spans="1:47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</row>
    <row r="294" spans="1:47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</row>
    <row r="295" spans="1:47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</row>
    <row r="296" spans="1:47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</row>
    <row r="297" spans="1:47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</row>
    <row r="298" spans="1:47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</row>
    <row r="299" spans="1:47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</row>
    <row r="300" spans="1:47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</row>
    <row r="301" spans="1:47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</row>
    <row r="302" spans="1:47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</row>
    <row r="303" spans="1:47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</row>
    <row r="304" spans="1:47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</row>
    <row r="305" spans="1:47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</row>
    <row r="306" spans="1:47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</row>
    <row r="307" spans="1:47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</row>
    <row r="308" spans="1:47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</row>
    <row r="309" spans="1:47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</row>
    <row r="310" spans="1:47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</row>
    <row r="311" spans="1:47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</row>
    <row r="312" spans="1:47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</row>
    <row r="313" spans="1:47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</row>
    <row r="314" spans="1:47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</row>
    <row r="315" spans="1:47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</row>
    <row r="316" spans="1:47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</row>
    <row r="317" spans="1:47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</row>
    <row r="318" spans="1:47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</row>
    <row r="319" spans="1:47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</row>
    <row r="320" spans="1:47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</row>
    <row r="321" spans="1:47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</row>
    <row r="322" spans="1:47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</row>
    <row r="323" spans="1:47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</row>
    <row r="324" spans="1:47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</row>
    <row r="325" spans="1:47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</row>
    <row r="326" spans="1:47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</row>
    <row r="327" spans="1:47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</row>
    <row r="328" spans="1:47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</row>
    <row r="329" spans="1:47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</row>
    <row r="330" spans="1:47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</row>
    <row r="331" spans="1:47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</row>
    <row r="332" spans="1:47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</row>
    <row r="333" spans="1:47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</row>
    <row r="334" spans="1:47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</row>
    <row r="335" spans="1:47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</row>
    <row r="336" spans="1:47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</row>
    <row r="337" spans="1:47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</row>
    <row r="338" spans="1:47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</row>
    <row r="339" spans="1:47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</row>
    <row r="340" spans="1:47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</row>
    <row r="341" spans="1:47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</row>
    <row r="342" spans="1:47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</row>
    <row r="343" spans="1:47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</row>
    <row r="344" spans="1:47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</row>
    <row r="345" spans="1:47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</row>
    <row r="346" spans="1:47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</row>
    <row r="347" spans="1:47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</row>
    <row r="348" spans="1:47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</row>
    <row r="349" spans="1:47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</row>
    <row r="350" spans="1:47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</row>
    <row r="351" spans="1:47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</row>
    <row r="352" spans="1:47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</row>
    <row r="353" spans="1:47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</row>
    <row r="354" spans="1:47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</row>
    <row r="355" spans="1:47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</row>
    <row r="356" spans="1:47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</row>
    <row r="357" spans="1:47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</row>
    <row r="358" spans="1:47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</row>
    <row r="359" spans="1:47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</row>
    <row r="360" spans="1:47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</row>
    <row r="361" spans="1:47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</row>
    <row r="362" spans="1:47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</row>
    <row r="363" spans="1:47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</row>
    <row r="364" spans="1:47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</row>
    <row r="365" spans="1:47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</row>
    <row r="366" spans="1:47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</row>
    <row r="367" spans="1:47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</row>
    <row r="368" spans="1:47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</row>
    <row r="369" spans="1:47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</row>
    <row r="370" spans="1:47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</row>
    <row r="371" spans="1:47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</row>
    <row r="372" spans="1:47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</row>
    <row r="373" spans="1:47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</row>
    <row r="374" spans="1:47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</row>
    <row r="375" spans="1:47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</row>
    <row r="376" spans="1:47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</row>
    <row r="377" spans="1:47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</row>
    <row r="378" spans="1:47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</row>
    <row r="379" spans="1:47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</row>
    <row r="380" spans="1:47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</row>
    <row r="381" spans="1:47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</row>
    <row r="382" spans="1:47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</row>
    <row r="383" spans="1:47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</row>
    <row r="384" spans="1:47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</row>
    <row r="385" spans="1:47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</row>
    <row r="386" spans="1:47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</row>
    <row r="387" spans="1:47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</row>
    <row r="388" spans="1:47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</row>
    <row r="390" spans="1:47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</row>
    <row r="391" spans="1:47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</row>
    <row r="392" spans="1:47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</row>
    <row r="393" spans="1:47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</row>
    <row r="394" spans="1:47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</row>
    <row r="395" spans="1:47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</row>
    <row r="396" spans="1:47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</row>
    <row r="397" spans="1:47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</row>
    <row r="398" spans="1:47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</row>
    <row r="399" spans="1:47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</row>
    <row r="400" spans="1:47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</row>
    <row r="401" spans="1:47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</row>
    <row r="402" spans="1:47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</row>
    <row r="403" spans="1:47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</row>
    <row r="404" spans="1:47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</row>
    <row r="405" spans="1:47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</row>
    <row r="406" spans="1:47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</row>
    <row r="407" spans="1:47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</row>
    <row r="408" spans="1:47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</row>
    <row r="409" spans="1:47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</row>
    <row r="410" spans="1:47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</row>
    <row r="411" spans="1:47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</row>
    <row r="412" spans="1:47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</row>
    <row r="413" spans="1:47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</row>
    <row r="414" spans="1:47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</row>
    <row r="415" spans="1:47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</row>
    <row r="416" spans="1:47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</row>
    <row r="417" spans="1:47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</row>
    <row r="418" spans="1:47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</row>
    <row r="419" spans="1:47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</row>
    <row r="420" spans="1:47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</row>
    <row r="421" spans="1:47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</row>
    <row r="422" spans="1:47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</row>
    <row r="423" spans="1:47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</row>
    <row r="425" spans="1:47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</row>
    <row r="426" spans="1:47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</row>
    <row r="427" spans="1:47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</row>
    <row r="428" spans="1:47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</row>
    <row r="429" spans="1:47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</row>
    <row r="430" spans="1:47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</row>
    <row r="431" spans="1:47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</row>
    <row r="432" spans="1:47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</row>
    <row r="433" spans="1:47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</row>
    <row r="434" spans="1:47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</row>
    <row r="435" spans="1:47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</row>
    <row r="436" spans="1:47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</row>
    <row r="437" spans="1:47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</row>
    <row r="438" spans="1:47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</row>
    <row r="439" spans="1:47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</row>
    <row r="440" spans="1:47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</row>
    <row r="441" spans="1:47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</row>
    <row r="442" spans="1:47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</row>
    <row r="443" spans="1:47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</row>
    <row r="444" spans="1:47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</row>
    <row r="445" spans="1:47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</row>
    <row r="446" spans="1:47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</row>
    <row r="447" spans="1:47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</row>
    <row r="448" spans="1:47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</row>
    <row r="449" spans="1:47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</row>
    <row r="450" spans="1:47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</row>
    <row r="451" spans="1:47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</row>
    <row r="452" spans="1:47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</row>
    <row r="453" spans="1:47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</row>
    <row r="454" spans="1:47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</row>
    <row r="455" spans="1:47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</row>
    <row r="456" spans="1:47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</row>
    <row r="457" spans="1:47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</row>
    <row r="458" spans="1:47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</row>
    <row r="459" spans="1:47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</row>
    <row r="460" spans="1:47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</row>
    <row r="461" spans="1:47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</row>
    <row r="462" spans="1:47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</row>
    <row r="463" spans="1:47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</row>
    <row r="464" spans="1:47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</row>
    <row r="465" spans="1:47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</row>
    <row r="466" spans="1:47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</row>
    <row r="467" spans="1:47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</row>
    <row r="468" spans="1:47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</row>
    <row r="469" spans="1:47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</row>
    <row r="470" spans="1:47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</row>
    <row r="471" spans="1:47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</row>
    <row r="472" spans="1:47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</row>
    <row r="473" spans="1:47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</row>
    <row r="474" spans="1:47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</row>
    <row r="475" spans="1:47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</row>
    <row r="476" spans="1:47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</row>
    <row r="477" spans="1:47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</row>
    <row r="478" spans="1:47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</row>
    <row r="479" spans="1:47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</row>
    <row r="480" spans="1:47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</row>
    <row r="481" spans="1:47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</row>
    <row r="482" spans="1:47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</row>
    <row r="483" spans="1:47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</row>
    <row r="484" spans="1:47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</row>
    <row r="485" spans="1:47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</row>
    <row r="486" spans="1:47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</row>
    <row r="487" spans="1:47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</row>
    <row r="488" spans="1:47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</row>
    <row r="489" spans="1:47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</row>
    <row r="490" spans="1:47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</row>
    <row r="491" spans="1:47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</row>
    <row r="492" spans="1:47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</row>
    <row r="493" spans="1:47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</row>
    <row r="494" spans="1:47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</row>
    <row r="495" spans="1:47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</row>
    <row r="496" spans="1:47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</row>
    <row r="497" spans="1:47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</row>
    <row r="498" spans="1:47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</row>
    <row r="499" spans="1:47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</row>
    <row r="500" spans="1:47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</row>
    <row r="501" spans="1:47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</row>
    <row r="502" spans="1:47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</row>
    <row r="503" spans="1:47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</row>
    <row r="504" spans="1:47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</row>
    <row r="505" spans="1:47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</row>
    <row r="506" spans="1:47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</row>
    <row r="507" spans="1:47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</row>
    <row r="508" spans="1:47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</row>
    <row r="509" spans="1:47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</row>
    <row r="510" spans="1:47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</row>
    <row r="511" spans="1:47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</row>
    <row r="512" spans="1:47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</row>
    <row r="513" spans="1:47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</row>
    <row r="514" spans="1:47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</row>
    <row r="515" spans="1:47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</row>
    <row r="516" spans="1:47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</row>
    <row r="517" spans="1:47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</row>
    <row r="518" spans="1:47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</row>
    <row r="519" spans="1:47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</row>
    <row r="520" spans="1:47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</row>
    <row r="521" spans="1:47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</row>
    <row r="522" spans="1:47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</row>
    <row r="523" spans="1:47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</row>
    <row r="524" spans="1:47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</row>
    <row r="525" spans="1:47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</row>
    <row r="526" spans="1:47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</row>
    <row r="527" spans="1:47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</row>
    <row r="528" spans="1:47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</row>
    <row r="529" spans="1:47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</row>
    <row r="530" spans="1:47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</row>
    <row r="531" spans="1:47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</row>
    <row r="532" spans="1:47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</row>
    <row r="533" spans="1:47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</row>
    <row r="534" spans="1:47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</row>
    <row r="535" spans="1:47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</row>
    <row r="536" spans="1:47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</row>
    <row r="537" spans="1:47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</row>
    <row r="538" spans="1:47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</row>
    <row r="539" spans="1:47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</row>
    <row r="540" spans="1:47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</row>
    <row r="541" spans="1:47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</row>
    <row r="542" spans="1:47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</row>
    <row r="543" spans="1:47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</row>
    <row r="544" spans="1:47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</row>
    <row r="545" spans="1:47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</row>
    <row r="546" spans="1:47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</row>
    <row r="547" spans="1:47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</row>
    <row r="548" spans="1:47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</row>
    <row r="549" spans="1:47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</row>
    <row r="550" spans="1:47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</row>
    <row r="551" spans="1:47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</row>
    <row r="552" spans="1:47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</row>
    <row r="553" spans="1:47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</row>
    <row r="554" spans="1:47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</row>
    <row r="555" spans="1:47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</row>
    <row r="556" spans="1:47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</row>
    <row r="557" spans="1:47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</row>
    <row r="558" spans="1:47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</row>
    <row r="559" spans="1:47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</row>
    <row r="560" spans="1:47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</row>
    <row r="561" spans="1:47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</row>
    <row r="562" spans="1:47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</row>
    <row r="563" spans="1:47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</row>
    <row r="564" spans="1:47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</row>
    <row r="565" spans="1:47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</row>
    <row r="566" spans="1:47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</row>
    <row r="567" spans="1:47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</row>
    <row r="568" spans="1:47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</row>
    <row r="569" spans="1:47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</row>
    <row r="570" spans="1:47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</row>
    <row r="571" spans="1:47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</row>
    <row r="572" spans="1:47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</row>
    <row r="573" spans="1:47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</row>
    <row r="574" spans="1:47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</row>
    <row r="575" spans="1:47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</row>
    <row r="576" spans="1:47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</row>
    <row r="577" spans="1:47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</row>
    <row r="578" spans="1:47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</row>
    <row r="579" spans="1:47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</row>
    <row r="580" spans="1:47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</row>
    <row r="581" spans="1:47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</row>
    <row r="582" spans="1:47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</row>
    <row r="583" spans="1:47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</row>
    <row r="584" spans="1:47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</row>
    <row r="585" spans="1:47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</row>
    <row r="586" spans="1:47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</row>
    <row r="587" spans="1:47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</row>
    <row r="588" spans="1:47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</row>
    <row r="589" spans="1:47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</row>
    <row r="590" spans="1:47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</row>
    <row r="591" spans="1:47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</row>
    <row r="592" spans="1:47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</row>
    <row r="593" spans="1:47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</row>
    <row r="594" spans="1:47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</row>
    <row r="595" spans="1:47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</row>
    <row r="596" spans="1:47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</row>
    <row r="597" spans="1:47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</row>
    <row r="598" spans="1:47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</row>
    <row r="599" spans="1:47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</row>
    <row r="600" spans="1:47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</row>
    <row r="601" spans="1:47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</row>
    <row r="602" spans="1:47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</row>
    <row r="603" spans="1:47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</row>
    <row r="604" spans="1:47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</row>
    <row r="605" spans="1:47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</row>
    <row r="606" spans="1:47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</row>
    <row r="607" spans="1:47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</row>
    <row r="608" spans="1:47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</row>
    <row r="609" spans="1:47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</row>
    <row r="610" spans="1:47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</row>
    <row r="611" spans="1:47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</row>
    <row r="612" spans="1:47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</row>
    <row r="613" spans="1:47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</row>
    <row r="614" spans="1:47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</row>
    <row r="615" spans="1:47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</row>
    <row r="616" spans="1:47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</row>
    <row r="617" spans="1:47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</row>
    <row r="618" spans="1:47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</row>
    <row r="619" spans="1:47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</row>
    <row r="620" spans="1:47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</row>
    <row r="621" spans="1:47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</row>
    <row r="622" spans="1:47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</row>
    <row r="623" spans="1:47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</row>
    <row r="624" spans="1:47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</row>
    <row r="625" spans="1:47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</row>
    <row r="626" spans="1:47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</row>
    <row r="627" spans="1:47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</row>
    <row r="628" spans="1:47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</row>
    <row r="629" spans="1:47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</row>
    <row r="630" spans="1:47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</row>
    <row r="631" spans="1:47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</row>
    <row r="632" spans="1:47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</row>
    <row r="633" spans="1:47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</row>
    <row r="634" spans="1:47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</row>
    <row r="635" spans="1:47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</row>
    <row r="636" spans="1:47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</row>
    <row r="637" spans="1:47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</row>
    <row r="638" spans="1:47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</row>
    <row r="639" spans="1:47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</row>
    <row r="640" spans="1:47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</row>
    <row r="641" spans="1:47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</row>
    <row r="642" spans="1:47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</row>
    <row r="643" spans="1:47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</row>
    <row r="644" spans="1:47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</row>
    <row r="645" spans="1:47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</row>
    <row r="646" spans="1:47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</row>
    <row r="647" spans="1:47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</row>
    <row r="648" spans="1:47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</row>
    <row r="649" spans="1:47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</row>
    <row r="650" spans="1:47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</row>
    <row r="651" spans="1:47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</row>
    <row r="652" spans="1:47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</row>
    <row r="653" spans="1:47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</row>
    <row r="654" spans="1:47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</row>
    <row r="655" spans="1:47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</row>
    <row r="656" spans="1:47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</row>
    <row r="657" spans="1:47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</row>
    <row r="658" spans="1:47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</row>
    <row r="659" spans="1:47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</row>
    <row r="660" spans="1:47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</row>
    <row r="661" spans="1:47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</row>
    <row r="662" spans="1:47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</row>
    <row r="663" spans="1:47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</row>
    <row r="664" spans="1:47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</row>
    <row r="665" spans="1:47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</row>
    <row r="666" spans="1:47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</row>
    <row r="667" spans="1:47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</row>
    <row r="668" spans="1:47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</row>
    <row r="669" spans="1:47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</row>
    <row r="670" spans="1:47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</row>
    <row r="671" spans="1:47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</row>
    <row r="672" spans="1:47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</row>
    <row r="673" spans="1:47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</row>
    <row r="674" spans="1:47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</row>
    <row r="675" spans="1:47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</row>
    <row r="676" spans="1:47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</row>
    <row r="677" spans="1:47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</row>
    <row r="678" spans="1:47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</row>
    <row r="679" spans="1:47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</row>
    <row r="680" spans="1:47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</row>
    <row r="681" spans="1:47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</row>
    <row r="682" spans="1:47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</row>
    <row r="683" spans="1:47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</row>
    <row r="684" spans="1:47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</row>
    <row r="685" spans="1:47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</row>
    <row r="686" spans="1:47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</row>
    <row r="687" spans="1:47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</row>
    <row r="688" spans="1:47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</row>
    <row r="689" spans="1:47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</row>
    <row r="690" spans="1:47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</row>
    <row r="691" spans="1:47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</row>
    <row r="692" spans="1:47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</row>
    <row r="693" spans="1:47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</row>
    <row r="694" spans="1:47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</row>
    <row r="695" spans="1:47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</row>
    <row r="696" spans="1:47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</row>
    <row r="697" spans="1:47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</row>
    <row r="698" spans="1:47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</row>
    <row r="699" spans="1:47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</row>
    <row r="700" spans="1:47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</row>
    <row r="701" spans="1:47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</row>
    <row r="702" spans="1:47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</row>
    <row r="703" spans="1:47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</row>
    <row r="704" spans="1:47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</row>
  </sheetData>
  <mergeCells count="12">
    <mergeCell ref="A29:F29"/>
    <mergeCell ref="A3:B3"/>
    <mergeCell ref="A1:C1"/>
    <mergeCell ref="A6:A7"/>
    <mergeCell ref="B6:F6"/>
    <mergeCell ref="A28:D28"/>
    <mergeCell ref="A2:B2"/>
    <mergeCell ref="A41:D41"/>
    <mergeCell ref="A31:G31"/>
    <mergeCell ref="B32:D32"/>
    <mergeCell ref="E32:G32"/>
    <mergeCell ref="A32:A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ACF0-C378-4830-9D76-1E8C390C134C}">
  <dimension ref="A1:BK310"/>
  <sheetViews>
    <sheetView workbookViewId="0"/>
  </sheetViews>
  <sheetFormatPr defaultRowHeight="12.75" x14ac:dyDescent="0.2"/>
  <cols>
    <col min="1" max="1" width="29.28515625" customWidth="1"/>
    <col min="2" max="2" width="16.5703125" customWidth="1"/>
    <col min="3" max="3" width="12.7109375" customWidth="1"/>
    <col min="4" max="5" width="15" customWidth="1"/>
    <col min="6" max="6" width="15.5703125" customWidth="1"/>
    <col min="7" max="13" width="12.7109375" customWidth="1"/>
    <col min="14" max="19" width="12.7109375" style="18" customWidth="1"/>
    <col min="20" max="63" width="8.85546875" style="18"/>
  </cols>
  <sheetData>
    <row r="1" spans="1:53" ht="20.25" x14ac:dyDescent="0.3">
      <c r="A1" s="29" t="s">
        <v>427</v>
      </c>
      <c r="B1" s="29"/>
      <c r="C1" s="30"/>
      <c r="D1" s="30"/>
      <c r="E1" s="30"/>
      <c r="F1" s="29"/>
      <c r="G1" s="29"/>
      <c r="H1" s="30"/>
      <c r="I1" s="30"/>
      <c r="J1" s="32"/>
      <c r="K1" s="36"/>
      <c r="L1" s="36"/>
      <c r="M1" s="36"/>
      <c r="N1" s="36"/>
      <c r="O1" s="36"/>
      <c r="P1" s="36"/>
      <c r="Q1" s="36"/>
      <c r="R1" s="36"/>
      <c r="S1" s="36"/>
      <c r="T1" s="32"/>
      <c r="U1" s="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3" ht="16.5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2"/>
      <c r="M2" s="33"/>
      <c r="N2" s="33"/>
      <c r="O2" s="33"/>
      <c r="P2" s="33"/>
      <c r="Q2" s="33"/>
      <c r="R2" s="33"/>
      <c r="S2" s="33"/>
      <c r="T2" s="33"/>
      <c r="U2" s="33"/>
      <c r="V2" s="34"/>
      <c r="W2" s="32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x14ac:dyDescent="0.2">
      <c r="A3" s="503" t="s">
        <v>1</v>
      </c>
      <c r="B3" s="490" t="s">
        <v>418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53" ht="25.5" customHeight="1" x14ac:dyDescent="0.2">
      <c r="A4" s="544"/>
      <c r="B4" s="532" t="s">
        <v>339</v>
      </c>
      <c r="C4" s="532"/>
      <c r="D4" s="532" t="s">
        <v>348</v>
      </c>
      <c r="E4" s="532"/>
      <c r="F4" s="532" t="s">
        <v>340</v>
      </c>
      <c r="G4" s="532"/>
      <c r="H4" s="532" t="s">
        <v>343</v>
      </c>
      <c r="I4" s="532"/>
      <c r="J4" s="532" t="s">
        <v>344</v>
      </c>
      <c r="K4" s="532"/>
      <c r="L4" s="488" t="s">
        <v>345</v>
      </c>
      <c r="M4" s="488" t="s">
        <v>305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53" ht="13.5" thickBot="1" x14ac:dyDescent="0.25">
      <c r="A5" s="504"/>
      <c r="B5" s="230" t="s">
        <v>91</v>
      </c>
      <c r="C5" s="231" t="s">
        <v>90</v>
      </c>
      <c r="D5" s="230" t="s">
        <v>91</v>
      </c>
      <c r="E5" s="231" t="s">
        <v>90</v>
      </c>
      <c r="F5" s="231" t="s">
        <v>69</v>
      </c>
      <c r="G5" s="232" t="s">
        <v>42</v>
      </c>
      <c r="H5" s="232" t="s">
        <v>341</v>
      </c>
      <c r="I5" s="232" t="s">
        <v>342</v>
      </c>
      <c r="J5" s="232" t="s">
        <v>341</v>
      </c>
      <c r="K5" s="232" t="s">
        <v>342</v>
      </c>
      <c r="L5" s="489"/>
      <c r="M5" s="48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53" ht="13.5" thickTop="1" x14ac:dyDescent="0.2">
      <c r="A6" s="48">
        <v>2018</v>
      </c>
      <c r="B6" s="5">
        <f>'Loss of Use'!B34</f>
        <v>1027433</v>
      </c>
      <c r="C6" s="6">
        <f>'Loss of Use'!E35</f>
        <v>197491.323</v>
      </c>
      <c r="D6" s="5">
        <f>B6*'Ton-miles'!$B$160</f>
        <v>457207685</v>
      </c>
      <c r="E6" s="6">
        <f>C6*'Ton-miles'!$B$158</f>
        <v>77614089.938999996</v>
      </c>
      <c r="F6" s="345">
        <f>$B6*(1-$B$38)*$B$36*$E$42+$C6*(1-$B$38)*$B$36*$E$43</f>
        <v>205374526.73234999</v>
      </c>
      <c r="G6" s="6">
        <f>$B6*(1-$B$38)*$B$37*$E$44+$C6*(1-$B$38)*$B$37*$E$45</f>
        <v>24935384.545199994</v>
      </c>
      <c r="H6" s="150">
        <f t="shared" ref="H6:H31" si="0">(D6+E6)*$E$74</f>
        <v>1.2249977666437619E-2</v>
      </c>
      <c r="I6" s="343">
        <f t="shared" ref="I6:I31" si="1">(D6+E6)*$F$74</f>
        <v>1.2249977666437619E-2</v>
      </c>
      <c r="J6" s="150">
        <f t="shared" ref="J6:J31" si="2">F6*$E$85+G6*$E$97</f>
        <v>0.22649685471679393</v>
      </c>
      <c r="K6" s="343">
        <f t="shared" ref="K6:K31" si="3">F6*$F$85+G6*$F$97</f>
        <v>12.632733737647982</v>
      </c>
      <c r="L6" s="346"/>
      <c r="M6" s="13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53" x14ac:dyDescent="0.2">
      <c r="A7" s="19">
        <f>A6+1</f>
        <v>2019</v>
      </c>
      <c r="B7" s="5">
        <f>$B6*(1+$B$49)^($A7-$A$6)</f>
        <v>1032570.1649999999</v>
      </c>
      <c r="C7" s="6">
        <f>$C$6*(1+$B$49)^($A7-$A$6)</f>
        <v>198478.77961499998</v>
      </c>
      <c r="D7" s="5">
        <f>B7*'Ton-miles'!$B$160</f>
        <v>459493723.42499995</v>
      </c>
      <c r="E7" s="6">
        <f>C7*'Ton-miles'!$B$158</f>
        <v>78002160.388694987</v>
      </c>
      <c r="F7" s="345">
        <f t="shared" ref="F7:F31" si="4">$B7*(1-$B$38)*$B$36*$E$42+$C7*(1-$B$38)*$B$36*$E$43</f>
        <v>206401399.36601174</v>
      </c>
      <c r="G7" s="6">
        <f t="shared" ref="G7:G31" si="5">$B7*(1-$B$38)*$B$37*$E$44+$C7*(1-$B$38)*$B$37*$E$45</f>
        <v>25060061.467925996</v>
      </c>
      <c r="H7" s="150">
        <f t="shared" si="0"/>
        <v>1.2311227554769806E-2</v>
      </c>
      <c r="I7" s="343">
        <f t="shared" si="1"/>
        <v>1.2311227554769806E-2</v>
      </c>
      <c r="J7" s="150">
        <f t="shared" si="2"/>
        <v>0.22762933899037791</v>
      </c>
      <c r="K7" s="343">
        <f t="shared" si="3"/>
        <v>12.695897406336222</v>
      </c>
      <c r="L7" s="346"/>
      <c r="M7" s="13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53" x14ac:dyDescent="0.2">
      <c r="A8" s="19">
        <f>A7+1</f>
        <v>2020</v>
      </c>
      <c r="B8" s="5">
        <f t="shared" ref="B8:B31" si="6">$B7*(1+$B$49)^($A8-$A$6)</f>
        <v>1042921.6809041246</v>
      </c>
      <c r="C8" s="6">
        <f t="shared" ref="C8:C31" si="7">$C$6*(1+$B$49)^($A8-$A$6)</f>
        <v>199471.17351307496</v>
      </c>
      <c r="D8" s="5">
        <f>B8*'Ton-miles'!$B$160</f>
        <v>464100148.00233549</v>
      </c>
      <c r="E8" s="6">
        <f>C8*'Ton-miles'!$B$158</f>
        <v>78392171.190638453</v>
      </c>
      <c r="F8" s="345">
        <f t="shared" si="4"/>
        <v>208326505.33958611</v>
      </c>
      <c r="G8" s="6">
        <f t="shared" si="5"/>
        <v>25293934.592046306</v>
      </c>
      <c r="H8" s="150">
        <f t="shared" si="0"/>
        <v>1.2425669831946998E-2</v>
      </c>
      <c r="I8" s="343">
        <f t="shared" si="1"/>
        <v>1.2425669831946998E-2</v>
      </c>
      <c r="J8" s="150">
        <f t="shared" si="2"/>
        <v>0.22975316865389736</v>
      </c>
      <c r="K8" s="343">
        <f t="shared" si="3"/>
        <v>12.814375896617179</v>
      </c>
      <c r="L8" s="346"/>
      <c r="M8" s="13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53" x14ac:dyDescent="0.2">
      <c r="A9" s="19">
        <f t="shared" ref="A9:A31" si="8">A8+1</f>
        <v>2021</v>
      </c>
      <c r="B9" s="5">
        <f t="shared" si="6"/>
        <v>1058643.8556089641</v>
      </c>
      <c r="C9" s="6">
        <f t="shared" si="7"/>
        <v>200468.52938064031</v>
      </c>
      <c r="D9" s="5">
        <f>B9*'Ton-miles'!$B$160</f>
        <v>471096515.74598902</v>
      </c>
      <c r="E9" s="6">
        <f>C9*'Ton-miles'!$B$158</f>
        <v>78784132.04659164</v>
      </c>
      <c r="F9" s="345">
        <f t="shared" si="4"/>
        <v>211176752.71572644</v>
      </c>
      <c r="G9" s="6">
        <f t="shared" si="5"/>
        <v>25640275.089840706</v>
      </c>
      <c r="H9" s="150">
        <f t="shared" si="0"/>
        <v>1.2594897908623207E-2</v>
      </c>
      <c r="I9" s="343">
        <f t="shared" si="1"/>
        <v>1.2594897908623207E-2</v>
      </c>
      <c r="J9" s="150">
        <f t="shared" si="2"/>
        <v>0.2328980412000235</v>
      </c>
      <c r="K9" s="343">
        <f t="shared" si="3"/>
        <v>12.989826264455258</v>
      </c>
      <c r="L9" s="346"/>
      <c r="M9" s="13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53" x14ac:dyDescent="0.2">
      <c r="A10" s="19">
        <f t="shared" si="8"/>
        <v>2022</v>
      </c>
      <c r="B10" s="5">
        <f t="shared" si="6"/>
        <v>1079976.0592830642</v>
      </c>
      <c r="C10" s="6">
        <f t="shared" si="7"/>
        <v>201470.87202754346</v>
      </c>
      <c r="D10" s="5">
        <f>B10*'Ton-miles'!$B$160</f>
        <v>480589346.38096356</v>
      </c>
      <c r="E10" s="6">
        <f>C10*'Ton-miles'!$B$158</f>
        <v>79178052.706824586</v>
      </c>
      <c r="F10" s="345">
        <f t="shared" si="4"/>
        <v>214993346.66847607</v>
      </c>
      <c r="G10" s="6">
        <f t="shared" si="5"/>
        <v>26104092.213777367</v>
      </c>
      <c r="H10" s="150">
        <f t="shared" si="0"/>
        <v>1.2821351819505443E-2</v>
      </c>
      <c r="I10" s="343">
        <f t="shared" si="1"/>
        <v>1.2821351819505443E-2</v>
      </c>
      <c r="J10" s="150">
        <f t="shared" si="2"/>
        <v>0.23710943335695472</v>
      </c>
      <c r="K10" s="343">
        <f t="shared" si="3"/>
        <v>13.22478601343386</v>
      </c>
      <c r="L10" s="346"/>
      <c r="M10" s="13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53" x14ac:dyDescent="0.2">
      <c r="A11" s="19">
        <v>2023</v>
      </c>
      <c r="B11" s="5">
        <f t="shared" si="6"/>
        <v>1107246.8081283348</v>
      </c>
      <c r="C11" s="6">
        <f t="shared" si="7"/>
        <v>202478.22638768112</v>
      </c>
      <c r="D11" s="5">
        <f>B11*'Ton-miles'!$B$160</f>
        <v>492724829.617109</v>
      </c>
      <c r="E11" s="6">
        <f>C11*'Ton-miles'!$B$158</f>
        <v>79573942.970358685</v>
      </c>
      <c r="F11" s="345">
        <f t="shared" si="4"/>
        <v>219832836.65079015</v>
      </c>
      <c r="G11" s="6">
        <f t="shared" si="5"/>
        <v>26692260.599231053</v>
      </c>
      <c r="H11" s="150">
        <f t="shared" si="0"/>
        <v>1.3108380232883658E-2</v>
      </c>
      <c r="I11" s="343">
        <f t="shared" si="1"/>
        <v>1.3108380232883658E-2</v>
      </c>
      <c r="J11" s="150">
        <f t="shared" si="2"/>
        <v>0.24244975681159814</v>
      </c>
      <c r="K11" s="343">
        <f t="shared" si="3"/>
        <v>13.52273758163912</v>
      </c>
      <c r="L11" s="346"/>
      <c r="M11" s="13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53" x14ac:dyDescent="0.2">
      <c r="A12" s="19">
        <f t="shared" si="8"/>
        <v>2024</v>
      </c>
      <c r="B12" s="5">
        <f t="shared" si="6"/>
        <v>1140882.2084434691</v>
      </c>
      <c r="C12" s="6">
        <f t="shared" si="7"/>
        <v>203490.6175196195</v>
      </c>
      <c r="D12" s="5">
        <f>B12*'Ton-miles'!$B$160</f>
        <v>507692582.75734377</v>
      </c>
      <c r="E12" s="6">
        <f>C12*'Ton-miles'!$B$158</f>
        <v>79971812.685210466</v>
      </c>
      <c r="F12" s="345">
        <f>$B12*(1-$B$38)*$B$36*$E$42+$C12*(1-$B$38)*$B$36*$E$43</f>
        <v>225768569.82904115</v>
      </c>
      <c r="G12" s="6">
        <f t="shared" si="5"/>
        <v>27413696.956520963</v>
      </c>
      <c r="H12" s="150">
        <f t="shared" si="0"/>
        <v>1.346032651784407E-2</v>
      </c>
      <c r="I12" s="343">
        <f t="shared" si="1"/>
        <v>1.346032651784407E-2</v>
      </c>
      <c r="J12" s="150">
        <f t="shared" si="2"/>
        <v>0.24899996231580523</v>
      </c>
      <c r="K12" s="343">
        <f t="shared" si="3"/>
        <v>13.88819784735988</v>
      </c>
      <c r="L12" s="346"/>
      <c r="M12" s="13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53" x14ac:dyDescent="0.2">
      <c r="A13" s="19">
        <f t="shared" si="8"/>
        <v>2025</v>
      </c>
      <c r="B13" s="5">
        <f t="shared" si="6"/>
        <v>1181417.0652898776</v>
      </c>
      <c r="C13" s="6">
        <f t="shared" si="7"/>
        <v>204508.07060721758</v>
      </c>
      <c r="D13" s="5">
        <f>B13*'Ton-miles'!$B$160</f>
        <v>525730594.05399555</v>
      </c>
      <c r="E13" s="6">
        <f>C13*'Ton-miles'!$B$158</f>
        <v>80371671.748636514</v>
      </c>
      <c r="F13" s="345">
        <f t="shared" si="4"/>
        <v>232892603.16223279</v>
      </c>
      <c r="G13" s="6">
        <f t="shared" si="5"/>
        <v>28279592.519756269</v>
      </c>
      <c r="H13" s="150">
        <f t="shared" si="0"/>
        <v>1.3882641970787972E-2</v>
      </c>
      <c r="I13" s="343">
        <f t="shared" si="1"/>
        <v>1.3882641970787972E-2</v>
      </c>
      <c r="J13" s="150">
        <f t="shared" si="2"/>
        <v>0.25686164998317462</v>
      </c>
      <c r="K13" s="343">
        <f t="shared" si="3"/>
        <v>14.326835879139601</v>
      </c>
      <c r="L13" s="346">
        <f t="shared" ref="L13:L31" si="9">(J13*$B$62+K13*$B$63)-(H13*$B$62+I13*$B$63)</f>
        <v>5476710.746999573</v>
      </c>
      <c r="M13" s="139">
        <f>L13*NPV!C11</f>
        <v>3649363.6183554889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53" x14ac:dyDescent="0.2">
      <c r="A14" s="19">
        <f t="shared" si="8"/>
        <v>2026</v>
      </c>
      <c r="B14" s="5">
        <f t="shared" si="6"/>
        <v>1229509.0616608935</v>
      </c>
      <c r="C14" s="6">
        <f t="shared" si="7"/>
        <v>205530.61096025366</v>
      </c>
      <c r="D14" s="5">
        <f>B14*'Ton-miles'!$B$160</f>
        <v>547131532.43909764</v>
      </c>
      <c r="E14" s="6">
        <f>C14*'Ton-miles'!$B$158</f>
        <v>80773530.10737969</v>
      </c>
      <c r="F14" s="345">
        <f t="shared" si="4"/>
        <v>241318143.99158993</v>
      </c>
      <c r="G14" s="6">
        <f t="shared" si="5"/>
        <v>29303709.745962605</v>
      </c>
      <c r="H14" s="150">
        <f t="shared" si="0"/>
        <v>1.4382030338452033E-2</v>
      </c>
      <c r="I14" s="343">
        <f t="shared" si="1"/>
        <v>1.4382030338452033E-2</v>
      </c>
      <c r="J14" s="150">
        <f t="shared" si="2"/>
        <v>0.26615976288478393</v>
      </c>
      <c r="K14" s="343">
        <f t="shared" si="3"/>
        <v>14.845623232661945</v>
      </c>
      <c r="L14" s="346">
        <f t="shared" si="9"/>
        <v>5675030.54633414</v>
      </c>
      <c r="M14" s="139">
        <f>L14*NPV!C12</f>
        <v>3534123.8079167558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53" x14ac:dyDescent="0.2">
      <c r="A15" s="19">
        <f t="shared" si="8"/>
        <v>2027</v>
      </c>
      <c r="B15" s="5">
        <f t="shared" si="6"/>
        <v>1285956.5347458494</v>
      </c>
      <c r="C15" s="6">
        <f t="shared" si="7"/>
        <v>206558.26401505491</v>
      </c>
      <c r="D15" s="5">
        <f>B15*'Ton-miles'!$B$160</f>
        <v>572250657.96190298</v>
      </c>
      <c r="E15" s="6">
        <f>C15*'Ton-miles'!$B$158</f>
        <v>81177397.757916585</v>
      </c>
      <c r="F15" s="345">
        <f t="shared" si="4"/>
        <v>251182609.78010401</v>
      </c>
      <c r="G15" s="6">
        <f t="shared" si="5"/>
        <v>30502754.283418845</v>
      </c>
      <c r="H15" s="150">
        <f t="shared" si="0"/>
        <v>1.4966629004782966E-2</v>
      </c>
      <c r="I15" s="343">
        <f t="shared" si="1"/>
        <v>1.4966629004782966E-2</v>
      </c>
      <c r="J15" s="150">
        <f t="shared" si="2"/>
        <v>0.27704596397967063</v>
      </c>
      <c r="K15" s="343">
        <f t="shared" si="3"/>
        <v>15.453022376255156</v>
      </c>
      <c r="L15" s="346">
        <f t="shared" si="9"/>
        <v>5907224.5668829503</v>
      </c>
      <c r="M15" s="139">
        <f>L15*NPV!C13</f>
        <v>3438058.4806361427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53" x14ac:dyDescent="0.2">
      <c r="A16" s="19">
        <f t="shared" si="8"/>
        <v>2028</v>
      </c>
      <c r="B16" s="5">
        <f t="shared" si="6"/>
        <v>1351720.5217314679</v>
      </c>
      <c r="C16" s="6">
        <f t="shared" si="7"/>
        <v>207591.05533513014</v>
      </c>
      <c r="D16" s="5">
        <f>B16*'Ton-miles'!$B$160</f>
        <v>601515632.17050326</v>
      </c>
      <c r="E16" s="6">
        <f>C16*'Ton-miles'!$B$158</f>
        <v>81583284.746706143</v>
      </c>
      <c r="F16" s="345">
        <f t="shared" si="4"/>
        <v>262651422.74618846</v>
      </c>
      <c r="G16" s="6">
        <f t="shared" si="5"/>
        <v>31896836.280062225</v>
      </c>
      <c r="H16" s="150">
        <f t="shared" si="0"/>
        <v>1.564623369562311E-2</v>
      </c>
      <c r="I16" s="343">
        <f t="shared" si="1"/>
        <v>1.564623369562311E-2</v>
      </c>
      <c r="J16" s="150">
        <f t="shared" si="2"/>
        <v>0.28970282412295179</v>
      </c>
      <c r="K16" s="343">
        <f t="shared" si="3"/>
        <v>16.159220372795374</v>
      </c>
      <c r="L16" s="346">
        <f t="shared" si="9"/>
        <v>6177187.0855439929</v>
      </c>
      <c r="M16" s="139">
        <f>L16*NPV!C14</f>
        <v>3359980.4900824102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x14ac:dyDescent="0.2">
      <c r="A17" s="19">
        <f t="shared" si="8"/>
        <v>2029</v>
      </c>
      <c r="B17" s="5">
        <f t="shared" si="6"/>
        <v>1427951.9261335349</v>
      </c>
      <c r="C17" s="6">
        <f t="shared" si="7"/>
        <v>208629.01061180577</v>
      </c>
      <c r="D17" s="5">
        <f>B17*'Ton-miles'!$B$160</f>
        <v>635438607.12942302</v>
      </c>
      <c r="E17" s="6">
        <f>C17*'Ton-miles'!$B$158</f>
        <v>81991201.170439675</v>
      </c>
      <c r="F17" s="345">
        <f t="shared" si="4"/>
        <v>275922685.86861002</v>
      </c>
      <c r="G17" s="6">
        <f t="shared" si="5"/>
        <v>33510038.83898963</v>
      </c>
      <c r="H17" s="150">
        <f t="shared" si="0"/>
        <v>1.6432575375062708E-2</v>
      </c>
      <c r="I17" s="343">
        <f t="shared" si="1"/>
        <v>1.6432575375062708E-2</v>
      </c>
      <c r="J17" s="150">
        <f t="shared" si="2"/>
        <v>0.30434898281344669</v>
      </c>
      <c r="K17" s="343">
        <f t="shared" si="3"/>
        <v>16.976416838395462</v>
      </c>
      <c r="L17" s="346">
        <f t="shared" si="9"/>
        <v>6489581.7314512162</v>
      </c>
      <c r="M17" s="139">
        <f>L17*NPV!C15</f>
        <v>3298974.279433622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x14ac:dyDescent="0.2">
      <c r="A18" s="19">
        <f t="shared" si="8"/>
        <v>2030</v>
      </c>
      <c r="B18" s="5">
        <f t="shared" si="6"/>
        <v>1516024.8763851461</v>
      </c>
      <c r="C18" s="6">
        <f t="shared" si="7"/>
        <v>209672.15566486472</v>
      </c>
      <c r="D18" s="5">
        <f>B18*'Ton-miles'!$B$160</f>
        <v>674631069.99138999</v>
      </c>
      <c r="E18" s="6">
        <f>C18*'Ton-miles'!$B$158</f>
        <v>82401157.176291838</v>
      </c>
      <c r="F18" s="345">
        <f t="shared" si="4"/>
        <v>291232924.73358297</v>
      </c>
      <c r="G18" s="6">
        <f t="shared" si="5"/>
        <v>35371116.046927825</v>
      </c>
      <c r="H18" s="150">
        <f t="shared" si="0"/>
        <v>1.7339660257167634E-2</v>
      </c>
      <c r="I18" s="343">
        <f t="shared" si="1"/>
        <v>1.7339660257167634E-2</v>
      </c>
      <c r="J18" s="150">
        <f t="shared" si="2"/>
        <v>0.32124548527504804</v>
      </c>
      <c r="K18" s="343">
        <f t="shared" si="3"/>
        <v>17.91917753800325</v>
      </c>
      <c r="L18" s="346">
        <f t="shared" si="9"/>
        <v>6849976.6573375221</v>
      </c>
      <c r="M18" s="139">
        <f>L18*NPV!C16</f>
        <v>3254374.565324177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2">
      <c r="A19" s="19">
        <f t="shared" si="8"/>
        <v>2031</v>
      </c>
      <c r="B19" s="5">
        <f t="shared" si="6"/>
        <v>1617577.6233601908</v>
      </c>
      <c r="C19" s="6">
        <f t="shared" si="7"/>
        <v>210720.51644318903</v>
      </c>
      <c r="D19" s="5">
        <f>B19*'Ton-miles'!$B$160</f>
        <v>719822042.39528489</v>
      </c>
      <c r="E19" s="6">
        <f>C19*'Ton-miles'!$B$158</f>
        <v>82813162.962173283</v>
      </c>
      <c r="F19" s="345">
        <f t="shared" si="4"/>
        <v>308864127.02109152</v>
      </c>
      <c r="G19" s="6">
        <f t="shared" si="5"/>
        <v>37514348.754923478</v>
      </c>
      <c r="H19" s="150">
        <f t="shared" si="0"/>
        <v>1.8384186659278913E-2</v>
      </c>
      <c r="I19" s="343">
        <f t="shared" si="1"/>
        <v>1.8384186659278913E-2</v>
      </c>
      <c r="J19" s="150">
        <f t="shared" si="2"/>
        <v>0.34070355169838051</v>
      </c>
      <c r="K19" s="343">
        <f t="shared" si="3"/>
        <v>19.004867892483201</v>
      </c>
      <c r="L19" s="346">
        <f t="shared" si="9"/>
        <v>7265010.2591970144</v>
      </c>
      <c r="M19" s="139">
        <f>L19*NPV!C17</f>
        <v>3225751.4390901085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2">
      <c r="A20" s="19">
        <f t="shared" si="8"/>
        <v>2032</v>
      </c>
      <c r="B20" s="5">
        <f t="shared" si="6"/>
        <v>1734562.6680637137</v>
      </c>
      <c r="C20" s="6">
        <f t="shared" si="7"/>
        <v>211774.11902540494</v>
      </c>
      <c r="D20" s="5">
        <f>B20*'Ton-miles'!$B$160</f>
        <v>771880387.28835261</v>
      </c>
      <c r="E20" s="6">
        <f>C20*'Ton-miles'!$B$158</f>
        <v>83227228.77698414</v>
      </c>
      <c r="F20" s="345">
        <f t="shared" si="4"/>
        <v>329152370.73368651</v>
      </c>
      <c r="G20" s="6">
        <f t="shared" si="5"/>
        <v>39980593.500275254</v>
      </c>
      <c r="H20" s="150">
        <f t="shared" si="0"/>
        <v>1.9586055934981028E-2</v>
      </c>
      <c r="I20" s="343">
        <f t="shared" si="1"/>
        <v>1.9586055934981028E-2</v>
      </c>
      <c r="J20" s="150">
        <f t="shared" si="2"/>
        <v>0.36309409992349839</v>
      </c>
      <c r="K20" s="343">
        <f t="shared" si="3"/>
        <v>20.254184323961081</v>
      </c>
      <c r="L20" s="346">
        <f t="shared" si="9"/>
        <v>7742594.2972367965</v>
      </c>
      <c r="M20" s="139">
        <f>L20*NPV!C18</f>
        <v>3212901.3677778072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x14ac:dyDescent="0.2">
      <c r="A21" s="19">
        <f t="shared" si="8"/>
        <v>2033</v>
      </c>
      <c r="B21" s="5">
        <f t="shared" si="6"/>
        <v>1869308.2446369885</v>
      </c>
      <c r="C21" s="6">
        <f t="shared" si="7"/>
        <v>212832.98962053191</v>
      </c>
      <c r="D21" s="5">
        <f>B21*'Ton-miles'!$B$160</f>
        <v>831842168.86345983</v>
      </c>
      <c r="E21" s="6">
        <f>C21*'Ton-miles'!$B$158</f>
        <v>83643364.920869038</v>
      </c>
      <c r="F21" s="345">
        <f t="shared" si="4"/>
        <v>352498406.9588275</v>
      </c>
      <c r="G21" s="6">
        <f t="shared" si="5"/>
        <v>42818569.038426228</v>
      </c>
      <c r="H21" s="150">
        <f t="shared" si="0"/>
        <v>2.0968999147583059E-2</v>
      </c>
      <c r="I21" s="343">
        <f t="shared" si="1"/>
        <v>2.0968999147583059E-2</v>
      </c>
      <c r="J21" s="150">
        <f t="shared" si="2"/>
        <v>0.38885942527478878</v>
      </c>
      <c r="K21" s="343">
        <f t="shared" si="3"/>
        <v>21.691805965651778</v>
      </c>
      <c r="L21" s="346">
        <f t="shared" si="9"/>
        <v>8292163.029367771</v>
      </c>
      <c r="M21" s="139">
        <f>L21*NPV!C19</f>
        <v>3215843.7881152718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x14ac:dyDescent="0.2">
      <c r="A22" s="19">
        <f t="shared" si="8"/>
        <v>2034</v>
      </c>
      <c r="B22" s="5">
        <f t="shared" si="6"/>
        <v>2024593.8326087412</v>
      </c>
      <c r="C22" s="6">
        <f t="shared" si="7"/>
        <v>213897.15456863455</v>
      </c>
      <c r="D22" s="5">
        <f>B22*'Ton-miles'!$B$160</f>
        <v>900944255.51088989</v>
      </c>
      <c r="E22" s="6">
        <f>C22*'Ton-miles'!$B$158</f>
        <v>84061581.745473385</v>
      </c>
      <c r="F22" s="345">
        <f t="shared" si="4"/>
        <v>379380657.41521889</v>
      </c>
      <c r="G22" s="6">
        <f t="shared" si="5"/>
        <v>46086436.436832145</v>
      </c>
      <c r="H22" s="150">
        <f t="shared" si="0"/>
        <v>2.2561346738504393E-2</v>
      </c>
      <c r="I22" s="343">
        <f t="shared" si="1"/>
        <v>2.2561346738504393E-2</v>
      </c>
      <c r="J22" s="150">
        <f t="shared" si="2"/>
        <v>0.41852754551084809</v>
      </c>
      <c r="K22" s="343">
        <f t="shared" si="3"/>
        <v>23.347195079407381</v>
      </c>
      <c r="L22" s="346">
        <f t="shared" si="9"/>
        <v>8924979.1921939161</v>
      </c>
      <c r="M22" s="139">
        <f>L22*NPV!C20</f>
        <v>3234823.1836015675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x14ac:dyDescent="0.2">
      <c r="A23" s="19">
        <f t="shared" si="8"/>
        <v>2035</v>
      </c>
      <c r="B23" s="5">
        <f t="shared" si="6"/>
        <v>2203743.069015631</v>
      </c>
      <c r="C23" s="6">
        <f t="shared" si="7"/>
        <v>214966.64034147773</v>
      </c>
      <c r="D23" s="5">
        <f>B23*'Ton-miles'!$B$160</f>
        <v>980665665.71195579</v>
      </c>
      <c r="E23" s="6">
        <f>C23*'Ton-miles'!$B$158</f>
        <v>84481889.654200748</v>
      </c>
      <c r="F23" s="345">
        <f t="shared" si="4"/>
        <v>410371206.95164198</v>
      </c>
      <c r="G23" s="6">
        <f t="shared" si="5"/>
        <v>49853743.261093773</v>
      </c>
      <c r="H23" s="150">
        <f t="shared" si="0"/>
        <v>2.439697554607656E-2</v>
      </c>
      <c r="I23" s="343">
        <f t="shared" si="1"/>
        <v>2.439697554607656E-2</v>
      </c>
      <c r="J23" s="150">
        <f t="shared" si="2"/>
        <v>0.45272985120157716</v>
      </c>
      <c r="K23" s="343">
        <f t="shared" si="3"/>
        <v>25.255581909040345</v>
      </c>
      <c r="L23" s="346">
        <f t="shared" si="9"/>
        <v>9654510.4875034243</v>
      </c>
      <c r="M23" s="139">
        <f>L23*NPV!C21</f>
        <v>3270316.7269075084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x14ac:dyDescent="0.2">
      <c r="A24" s="19">
        <f t="shared" si="8"/>
        <v>2036</v>
      </c>
      <c r="B24" s="5">
        <f t="shared" si="6"/>
        <v>2410738.318567636</v>
      </c>
      <c r="C24" s="6">
        <f t="shared" si="7"/>
        <v>216041.47354318504</v>
      </c>
      <c r="D24" s="5">
        <f>B24*'Ton-miles'!$B$160</f>
        <v>1072778551.762598</v>
      </c>
      <c r="E24" s="6">
        <f>C24*'Ton-miles'!$B$158</f>
        <v>84904299.102471724</v>
      </c>
      <c r="F24" s="345">
        <f t="shared" si="4"/>
        <v>446155523.93676746</v>
      </c>
      <c r="G24" s="6">
        <f t="shared" si="5"/>
        <v>54203820.955679193</v>
      </c>
      <c r="H24" s="150">
        <f t="shared" si="0"/>
        <v>2.6516476576766985E-2</v>
      </c>
      <c r="I24" s="343">
        <f t="shared" si="1"/>
        <v>2.6516476576766985E-2</v>
      </c>
      <c r="J24" s="150">
        <f t="shared" si="2"/>
        <v>0.4922228704517766</v>
      </c>
      <c r="K24" s="343">
        <f t="shared" si="3"/>
        <v>27.459179105389005</v>
      </c>
      <c r="L24" s="346">
        <f t="shared" si="9"/>
        <v>10496893.828690901</v>
      </c>
      <c r="M24" s="139">
        <f>L24*NPV!C22</f>
        <v>3323047.7655843017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x14ac:dyDescent="0.2">
      <c r="A25" s="19">
        <f t="shared" si="8"/>
        <v>2037</v>
      </c>
      <c r="B25" s="5">
        <f t="shared" si="6"/>
        <v>2650362.2944676112</v>
      </c>
      <c r="C25" s="6">
        <f t="shared" si="7"/>
        <v>217121.68091090096</v>
      </c>
      <c r="D25" s="5">
        <f>B25*'Ton-miles'!$B$160</f>
        <v>1179411221.0380869</v>
      </c>
      <c r="E25" s="6">
        <f>C25*'Ton-miles'!$B$158</f>
        <v>85328820.597984076</v>
      </c>
      <c r="F25" s="345">
        <f t="shared" si="4"/>
        <v>487556836.74281722</v>
      </c>
      <c r="G25" s="6">
        <f t="shared" si="5"/>
        <v>59236748.259584427</v>
      </c>
      <c r="H25" s="150">
        <f t="shared" si="0"/>
        <v>2.8968598493691357E-2</v>
      </c>
      <c r="I25" s="343">
        <f t="shared" si="1"/>
        <v>2.8968598493691357E-2</v>
      </c>
      <c r="J25" s="150">
        <f t="shared" si="2"/>
        <v>0.53791517239717879</v>
      </c>
      <c r="K25" s="343">
        <f t="shared" si="3"/>
        <v>30.008682883903667</v>
      </c>
      <c r="L25" s="346">
        <f t="shared" si="9"/>
        <v>11471509.198345024</v>
      </c>
      <c r="M25" s="139">
        <f>L25*NPV!C23</f>
        <v>3394005.6375415968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x14ac:dyDescent="0.2">
      <c r="A26" s="19">
        <f t="shared" si="8"/>
        <v>2038</v>
      </c>
      <c r="B26" s="5">
        <f t="shared" si="6"/>
        <v>2928373.5770997307</v>
      </c>
      <c r="C26" s="6">
        <f t="shared" si="7"/>
        <v>218207.28931545545</v>
      </c>
      <c r="D26" s="5">
        <f>B26*'Ton-miles'!$B$160</f>
        <v>1303126241.8093801</v>
      </c>
      <c r="E26" s="6">
        <f>C26*'Ton-miles'!$B$158</f>
        <v>85755464.700973988</v>
      </c>
      <c r="F26" s="345">
        <f t="shared" si="4"/>
        <v>535566344.89990866</v>
      </c>
      <c r="G26" s="6">
        <f t="shared" si="5"/>
        <v>65073023.934900776</v>
      </c>
      <c r="H26" s="150">
        <f t="shared" si="0"/>
        <v>3.1812036613535676E-2</v>
      </c>
      <c r="I26" s="343">
        <f t="shared" si="1"/>
        <v>3.1812036613535676E-2</v>
      </c>
      <c r="J26" s="150">
        <f t="shared" si="2"/>
        <v>0.59090071022809287</v>
      </c>
      <c r="K26" s="343">
        <f t="shared" si="3"/>
        <v>32.965133494112131</v>
      </c>
      <c r="L26" s="346">
        <f t="shared" si="9"/>
        <v>12601690.862400394</v>
      </c>
      <c r="M26" s="139">
        <f>L26*NPV!C24</f>
        <v>3484472.5334802615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2">
      <c r="A27" s="19">
        <f t="shared" si="8"/>
        <v>2039</v>
      </c>
      <c r="B27" s="5">
        <f t="shared" si="6"/>
        <v>3251724.7487564078</v>
      </c>
      <c r="C27" s="6">
        <f t="shared" si="7"/>
        <v>219298.32576203265</v>
      </c>
      <c r="D27" s="5">
        <f>B27*'Ton-miles'!$B$160</f>
        <v>1447017513.1966014</v>
      </c>
      <c r="E27" s="6">
        <f>C27*'Ton-miles'!$B$158</f>
        <v>86184242.024478838</v>
      </c>
      <c r="F27" s="345">
        <f t="shared" si="4"/>
        <v>591380765.53602219</v>
      </c>
      <c r="G27" s="6">
        <f t="shared" si="5"/>
        <v>71858131.235987186</v>
      </c>
      <c r="H27" s="150">
        <f t="shared" si="0"/>
        <v>3.511765627295816E-2</v>
      </c>
      <c r="I27" s="343">
        <f t="shared" si="1"/>
        <v>3.511765627295816E-2</v>
      </c>
      <c r="J27" s="150">
        <f t="shared" si="2"/>
        <v>0.65250025991833482</v>
      </c>
      <c r="K27" s="343">
        <f t="shared" si="3"/>
        <v>36.402227412139752</v>
      </c>
      <c r="L27" s="346">
        <f t="shared" si="9"/>
        <v>13915611.267493885</v>
      </c>
      <c r="M27" s="139">
        <f>L27*NPV!C25</f>
        <v>3596058.3872912051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x14ac:dyDescent="0.2">
      <c r="A28" s="19">
        <f t="shared" si="8"/>
        <v>2040</v>
      </c>
      <c r="B28" s="5">
        <f t="shared" si="6"/>
        <v>3628834.2764682001</v>
      </c>
      <c r="C28" s="6">
        <f t="shared" si="7"/>
        <v>220394.81739084277</v>
      </c>
      <c r="D28" s="5">
        <f>B28*'Ton-miles'!$B$160</f>
        <v>1614831253.0283492</v>
      </c>
      <c r="E28" s="6">
        <f>C28*'Ton-miles'!$B$158</f>
        <v>86615163.234601215</v>
      </c>
      <c r="F28" s="345">
        <f t="shared" si="4"/>
        <v>656449131.20919621</v>
      </c>
      <c r="G28" s="6">
        <f t="shared" si="5"/>
        <v>79768227.057697728</v>
      </c>
      <c r="H28" s="150">
        <f t="shared" si="0"/>
        <v>3.8971264029477322E-2</v>
      </c>
      <c r="I28" s="343">
        <f t="shared" si="1"/>
        <v>3.8971264029477322E-2</v>
      </c>
      <c r="J28" s="150">
        <f t="shared" si="2"/>
        <v>0.72431306940114293</v>
      </c>
      <c r="K28" s="343">
        <f t="shared" si="3"/>
        <v>40.409199254351613</v>
      </c>
      <c r="L28" s="346">
        <f t="shared" si="9"/>
        <v>15447382.729438808</v>
      </c>
      <c r="M28" s="139">
        <f>L28*NPV!C26</f>
        <v>3730745.0850707982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x14ac:dyDescent="0.2">
      <c r="A29" s="19">
        <f t="shared" si="8"/>
        <v>2041</v>
      </c>
      <c r="B29" s="5">
        <f t="shared" si="6"/>
        <v>4069926.3989555584</v>
      </c>
      <c r="C29" s="6">
        <f t="shared" si="7"/>
        <v>221496.79147779694</v>
      </c>
      <c r="D29" s="5">
        <f>B29*'Ton-miles'!$B$160</f>
        <v>1811117247.5352235</v>
      </c>
      <c r="E29" s="6">
        <f>C29*'Ton-miles'!$B$158</f>
        <v>87048239.050774202</v>
      </c>
      <c r="F29" s="345">
        <f t="shared" si="4"/>
        <v>732531292.94919324</v>
      </c>
      <c r="G29" s="6">
        <f t="shared" si="5"/>
        <v>89017254.069858715</v>
      </c>
      <c r="H29" s="150">
        <f t="shared" si="0"/>
        <v>4.3477072003160804E-2</v>
      </c>
      <c r="I29" s="343">
        <f t="shared" si="1"/>
        <v>4.3477072003160804E-2</v>
      </c>
      <c r="J29" s="150">
        <f t="shared" si="2"/>
        <v>0.80828142638672285</v>
      </c>
      <c r="K29" s="343">
        <f t="shared" si="3"/>
        <v>45.094424523590661</v>
      </c>
      <c r="L29" s="346">
        <f t="shared" si="9"/>
        <v>17238434.679214515</v>
      </c>
      <c r="M29" s="139">
        <f>L29*NPV!C27</f>
        <v>3890941.654183446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2">
      <c r="A30" s="19">
        <f t="shared" si="8"/>
        <v>2042</v>
      </c>
      <c r="B30" s="5">
        <f t="shared" si="6"/>
        <v>4587457.329019147</v>
      </c>
      <c r="C30" s="6">
        <f t="shared" si="7"/>
        <v>222604.27543518596</v>
      </c>
      <c r="D30" s="5">
        <f>B30*'Ton-miles'!$B$160</f>
        <v>2041418511.4135203</v>
      </c>
      <c r="E30" s="6">
        <f>C30*'Ton-miles'!$B$158</f>
        <v>87483480.246028081</v>
      </c>
      <c r="F30" s="345">
        <f t="shared" si="4"/>
        <v>821771280.34403324</v>
      </c>
      <c r="G30" s="6">
        <f t="shared" si="5"/>
        <v>99865859.002297863</v>
      </c>
      <c r="H30" s="150">
        <f t="shared" si="0"/>
        <v>4.8762041999577371E-2</v>
      </c>
      <c r="I30" s="343">
        <f t="shared" si="1"/>
        <v>4.8762041999577371E-2</v>
      </c>
      <c r="J30" s="150">
        <f t="shared" si="2"/>
        <v>0.90677162339495931</v>
      </c>
      <c r="K30" s="343">
        <f t="shared" si="3"/>
        <v>50.589937284981239</v>
      </c>
      <c r="L30" s="346">
        <f t="shared" si="9"/>
        <v>19339240.665222842</v>
      </c>
      <c r="M30" s="139">
        <f>L30*NPV!C28</f>
        <v>4079552.5445917454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3.5" thickBot="1" x14ac:dyDescent="0.25">
      <c r="A31" s="51">
        <f t="shared" si="8"/>
        <v>2043</v>
      </c>
      <c r="B31" s="12">
        <f t="shared" si="6"/>
        <v>5196651.3632106315</v>
      </c>
      <c r="C31" s="13">
        <f t="shared" si="7"/>
        <v>223717.29681236183</v>
      </c>
      <c r="D31" s="12">
        <f>B31*'Ton-miles'!$B$160</f>
        <v>2312509856.6287313</v>
      </c>
      <c r="E31" s="13">
        <f>C31*'Ton-miles'!$B$158</f>
        <v>87920897.647258207</v>
      </c>
      <c r="F31" s="349">
        <f t="shared" si="4"/>
        <v>926789579.41717565</v>
      </c>
      <c r="G31" s="13">
        <f t="shared" si="5"/>
        <v>112632610.73971756</v>
      </c>
      <c r="H31" s="151">
        <f t="shared" si="0"/>
        <v>5.4981349876909447E-2</v>
      </c>
      <c r="I31" s="344">
        <f t="shared" si="1"/>
        <v>5.4981349876909447E-2</v>
      </c>
      <c r="J31" s="151">
        <f t="shared" si="2"/>
        <v>1.0226758017103221</v>
      </c>
      <c r="K31" s="344">
        <f t="shared" si="3"/>
        <v>57.057112840973218</v>
      </c>
      <c r="L31" s="347">
        <f t="shared" si="9"/>
        <v>21811490.70762483</v>
      </c>
      <c r="M31" s="139">
        <f>L31*NPV!C29</f>
        <v>4300061.669052816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3.5" thickTop="1" x14ac:dyDescent="0.2">
      <c r="A32" s="541" t="s">
        <v>0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3"/>
      <c r="L32" s="348">
        <f>SUM(L6:L31)</f>
        <v>200777222.53847951</v>
      </c>
      <c r="M32" s="249">
        <f>SUM(M6:M31)</f>
        <v>66493397.024037041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53" x14ac:dyDescent="0.2">
      <c r="A33" s="559" t="s">
        <v>311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0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41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3" x14ac:dyDescent="0.2">
      <c r="A34" s="245"/>
      <c r="B34" s="245"/>
      <c r="C34" s="245"/>
      <c r="D34" s="245"/>
      <c r="E34" s="245"/>
      <c r="F34" s="245"/>
      <c r="G34" s="245"/>
      <c r="H34" s="35"/>
      <c r="I34" s="35"/>
      <c r="J34" s="35"/>
      <c r="K34" s="35"/>
      <c r="L34" s="35"/>
      <c r="M34" s="3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41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3" x14ac:dyDescent="0.2">
      <c r="A35" s="508" t="s">
        <v>323</v>
      </c>
      <c r="B35" s="510"/>
      <c r="C35" s="245"/>
      <c r="D35" s="245"/>
      <c r="E35" s="245"/>
      <c r="F35" s="245"/>
      <c r="G35" s="245"/>
      <c r="H35" s="245"/>
      <c r="I35" s="245"/>
      <c r="J35" s="35"/>
      <c r="K35" s="35"/>
      <c r="L35" s="35"/>
      <c r="M35" s="3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7"/>
      <c r="Z35" s="41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3" x14ac:dyDescent="0.2">
      <c r="A36" s="156" t="s">
        <v>320</v>
      </c>
      <c r="B36" s="430">
        <v>0.9</v>
      </c>
      <c r="C36" s="245"/>
      <c r="D36" s="245"/>
      <c r="E36" s="245"/>
      <c r="F36" s="245"/>
      <c r="G36" s="245"/>
      <c r="H36" s="245"/>
      <c r="I36" s="245"/>
      <c r="J36" s="35"/>
      <c r="K36" s="35"/>
      <c r="L36" s="35"/>
      <c r="M36" s="3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7"/>
      <c r="Z36" s="41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3" x14ac:dyDescent="0.2">
      <c r="A37" s="157" t="s">
        <v>321</v>
      </c>
      <c r="B37" s="430">
        <f>1-B36</f>
        <v>9.9999999999999978E-2</v>
      </c>
      <c r="C37" s="245"/>
      <c r="D37" s="245"/>
      <c r="E37" s="245"/>
      <c r="F37" s="245"/>
      <c r="G37" s="245"/>
      <c r="H37" s="245"/>
      <c r="I37" s="245"/>
      <c r="J37" s="35"/>
      <c r="K37" s="35"/>
      <c r="L37" s="35"/>
      <c r="M37" s="35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7"/>
      <c r="Z37" s="41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3" x14ac:dyDescent="0.2">
      <c r="A38" s="429" t="s">
        <v>322</v>
      </c>
      <c r="B38" s="431">
        <v>0.25</v>
      </c>
      <c r="C38" s="245"/>
      <c r="D38" s="245"/>
      <c r="E38" s="245"/>
      <c r="F38" s="245"/>
      <c r="G38" s="245"/>
      <c r="H38" s="245"/>
      <c r="I38" s="245"/>
      <c r="J38" s="35"/>
      <c r="K38" s="35"/>
      <c r="L38" s="35"/>
      <c r="M38" s="35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41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3" x14ac:dyDescent="0.2">
      <c r="A39" s="559" t="s">
        <v>121</v>
      </c>
      <c r="B39" s="560"/>
      <c r="C39" s="37"/>
      <c r="D39" s="37"/>
      <c r="E39" s="37"/>
      <c r="F39" s="18"/>
      <c r="G39" s="18"/>
      <c r="H39" s="18"/>
      <c r="I39" s="18"/>
      <c r="J39" s="37"/>
      <c r="K39" s="37"/>
      <c r="L39" s="30"/>
      <c r="M39" s="30"/>
      <c r="N39" s="30"/>
      <c r="O39" s="36"/>
      <c r="P39" s="36"/>
      <c r="Q39" s="36"/>
      <c r="R39" s="36"/>
      <c r="S39" s="36"/>
      <c r="T39" s="36"/>
      <c r="U39" s="36"/>
      <c r="V39" s="3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</row>
    <row r="40" spans="1:53" x14ac:dyDescent="0.2">
      <c r="A40" s="38"/>
      <c r="B40" s="38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x14ac:dyDescent="0.2">
      <c r="A41" s="153" t="s">
        <v>324</v>
      </c>
      <c r="B41" s="153" t="s">
        <v>325</v>
      </c>
      <c r="C41" s="153" t="s">
        <v>326</v>
      </c>
      <c r="D41" s="153" t="s">
        <v>329</v>
      </c>
      <c r="E41" s="153" t="s">
        <v>335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  <row r="42" spans="1:53" x14ac:dyDescent="0.2">
      <c r="A42" s="154" t="s">
        <v>327</v>
      </c>
      <c r="B42" s="426" t="s">
        <v>332</v>
      </c>
      <c r="C42" s="427" t="s">
        <v>333</v>
      </c>
      <c r="D42" s="427" t="s">
        <v>330</v>
      </c>
      <c r="E42" s="427">
        <v>255</v>
      </c>
      <c r="F42" s="30" t="s">
        <v>334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</row>
    <row r="43" spans="1:53" x14ac:dyDescent="0.2">
      <c r="A43" s="154" t="s">
        <v>328</v>
      </c>
      <c r="B43" s="426" t="s">
        <v>332</v>
      </c>
      <c r="C43" s="427" t="s">
        <v>90</v>
      </c>
      <c r="D43" s="427" t="s">
        <v>330</v>
      </c>
      <c r="E43" s="427">
        <v>214</v>
      </c>
      <c r="F43" s="30" t="s">
        <v>334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1:53" x14ac:dyDescent="0.2">
      <c r="A44" s="154" t="s">
        <v>336</v>
      </c>
      <c r="B44" s="426" t="s">
        <v>332</v>
      </c>
      <c r="C44" s="427" t="s">
        <v>91</v>
      </c>
      <c r="D44" s="427"/>
      <c r="E44" s="427">
        <v>279</v>
      </c>
      <c r="F44" s="30" t="s">
        <v>338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</row>
    <row r="45" spans="1:53" x14ac:dyDescent="0.2">
      <c r="A45" s="154" t="s">
        <v>337</v>
      </c>
      <c r="B45" s="426" t="s">
        <v>332</v>
      </c>
      <c r="C45" s="427" t="s">
        <v>90</v>
      </c>
      <c r="D45" s="427"/>
      <c r="E45" s="427">
        <v>232</v>
      </c>
      <c r="F45" s="30" t="s">
        <v>338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</row>
    <row r="46" spans="1:53" x14ac:dyDescent="0.2">
      <c r="A46" s="559" t="s">
        <v>331</v>
      </c>
      <c r="B46" s="561"/>
      <c r="C46" s="561"/>
      <c r="D46" s="561"/>
      <c r="E46" s="56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</row>
    <row r="47" spans="1:53" x14ac:dyDescent="0.2">
      <c r="A47" s="38"/>
      <c r="B47" s="3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</row>
    <row r="48" spans="1:53" x14ac:dyDescent="0.2">
      <c r="A48" s="508" t="s">
        <v>346</v>
      </c>
      <c r="B48" s="51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</row>
    <row r="49" spans="1:53" x14ac:dyDescent="0.2">
      <c r="A49" s="154" t="s">
        <v>347</v>
      </c>
      <c r="B49" s="428">
        <v>5.0000000000000001E-3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</row>
    <row r="50" spans="1:53" x14ac:dyDescent="0.2">
      <c r="A50" s="38"/>
      <c r="B50" s="3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</row>
    <row r="51" spans="1:53" x14ac:dyDescent="0.2">
      <c r="A51" s="508" t="s">
        <v>135</v>
      </c>
      <c r="B51" s="510"/>
      <c r="C51" s="30"/>
      <c r="D51" s="16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</row>
    <row r="52" spans="1:53" x14ac:dyDescent="0.2">
      <c r="A52" s="152"/>
      <c r="B52" s="153" t="s">
        <v>153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</row>
    <row r="53" spans="1:53" x14ac:dyDescent="0.2">
      <c r="A53" s="154" t="s">
        <v>136</v>
      </c>
      <c r="B53" s="454">
        <v>4500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x14ac:dyDescent="0.2">
      <c r="A54" s="546" t="s">
        <v>152</v>
      </c>
      <c r="B54" s="54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</row>
    <row r="55" spans="1:53" x14ac:dyDescent="0.2">
      <c r="A55" s="155"/>
      <c r="B55" s="15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3" x14ac:dyDescent="0.2">
      <c r="A56" s="508" t="s">
        <v>137</v>
      </c>
      <c r="B56" s="51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</row>
    <row r="57" spans="1:53" x14ac:dyDescent="0.2">
      <c r="A57" s="152" t="s">
        <v>138</v>
      </c>
      <c r="B57" s="152" t="s">
        <v>139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</row>
    <row r="58" spans="1:53" x14ac:dyDescent="0.2">
      <c r="A58" s="156" t="s">
        <v>140</v>
      </c>
      <c r="B58" s="455">
        <v>3700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</row>
    <row r="59" spans="1:53" x14ac:dyDescent="0.2">
      <c r="A59" s="157" t="s">
        <v>141</v>
      </c>
      <c r="B59" s="456">
        <v>72500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</row>
    <row r="60" spans="1:53" x14ac:dyDescent="0.2">
      <c r="A60" s="157" t="s">
        <v>142</v>
      </c>
      <c r="B60" s="456">
        <v>142000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</row>
    <row r="61" spans="1:53" x14ac:dyDescent="0.2">
      <c r="A61" s="157" t="s">
        <v>143</v>
      </c>
      <c r="B61" s="456">
        <v>521300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</row>
    <row r="62" spans="1:53" x14ac:dyDescent="0.2">
      <c r="A62" s="157" t="s">
        <v>144</v>
      </c>
      <c r="B62" s="456">
        <v>10900000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spans="1:53" x14ac:dyDescent="0.2">
      <c r="A63" s="53" t="s">
        <v>145</v>
      </c>
      <c r="B63" s="457">
        <v>197600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</row>
    <row r="64" spans="1:53" ht="25.5" x14ac:dyDescent="0.2">
      <c r="A64" s="158" t="s">
        <v>146</v>
      </c>
      <c r="B64" s="458">
        <v>150200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</row>
    <row r="65" spans="1:53" x14ac:dyDescent="0.2">
      <c r="A65" s="546" t="s">
        <v>152</v>
      </c>
      <c r="B65" s="547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0"/>
      <c r="O66" s="30"/>
      <c r="P66" s="30"/>
      <c r="Q66" s="4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3" x14ac:dyDescent="0.2">
      <c r="A67" s="548" t="s">
        <v>147</v>
      </c>
      <c r="B67" s="549"/>
      <c r="C67" s="548" t="s">
        <v>124</v>
      </c>
      <c r="D67" s="549"/>
      <c r="E67" s="548" t="s">
        <v>134</v>
      </c>
      <c r="F67" s="549"/>
      <c r="G67" s="30"/>
      <c r="H67" s="81"/>
      <c r="I67" s="81"/>
      <c r="J67" s="235"/>
      <c r="K67" s="235"/>
      <c r="L67" s="235"/>
      <c r="M67" s="235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ht="38.25" x14ac:dyDescent="0.2">
      <c r="A68" s="239" t="s">
        <v>1</v>
      </c>
      <c r="B68" s="385" t="s">
        <v>131</v>
      </c>
      <c r="C68" s="239" t="s">
        <v>123</v>
      </c>
      <c r="D68" s="239" t="s">
        <v>122</v>
      </c>
      <c r="E68" s="239" t="s">
        <v>123</v>
      </c>
      <c r="F68" s="239" t="s">
        <v>122</v>
      </c>
      <c r="G68" s="30"/>
      <c r="H68" s="81"/>
      <c r="I68" s="81"/>
      <c r="J68" s="235"/>
      <c r="K68" s="235"/>
      <c r="L68" s="235"/>
      <c r="M68" s="235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x14ac:dyDescent="0.2">
      <c r="A69" s="363">
        <v>2002</v>
      </c>
      <c r="B69" s="84">
        <v>53653000000</v>
      </c>
      <c r="C69" s="84">
        <v>0</v>
      </c>
      <c r="D69" s="84">
        <v>0</v>
      </c>
      <c r="E69" s="146"/>
      <c r="F69" s="146"/>
      <c r="G69" s="30"/>
      <c r="H69" s="168"/>
      <c r="I69" s="168"/>
      <c r="J69" s="168"/>
      <c r="K69" s="168"/>
      <c r="L69" s="168"/>
      <c r="M69" s="168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x14ac:dyDescent="0.2">
      <c r="A70" s="363">
        <v>2003</v>
      </c>
      <c r="B70" s="84">
        <v>47539000000</v>
      </c>
      <c r="C70" s="84">
        <v>2</v>
      </c>
      <c r="D70" s="84">
        <v>2</v>
      </c>
      <c r="E70" s="146"/>
      <c r="F70" s="146"/>
      <c r="G70" s="30"/>
      <c r="H70" s="168"/>
      <c r="I70" s="168"/>
      <c r="J70" s="168"/>
      <c r="K70" s="168"/>
      <c r="L70" s="168"/>
      <c r="M70" s="16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71" spans="1:53" x14ac:dyDescent="0.2">
      <c r="A71" s="363">
        <v>2004</v>
      </c>
      <c r="B71" s="84">
        <v>55733000000</v>
      </c>
      <c r="C71" s="84">
        <v>1</v>
      </c>
      <c r="D71" s="84">
        <v>3</v>
      </c>
      <c r="E71" s="146"/>
      <c r="F71" s="146"/>
      <c r="G71" s="30"/>
      <c r="H71" s="168"/>
      <c r="I71" s="168"/>
      <c r="J71" s="168"/>
      <c r="K71" s="168"/>
      <c r="L71" s="168"/>
      <c r="M71" s="16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</row>
    <row r="72" spans="1:53" x14ac:dyDescent="0.2">
      <c r="A72" s="363">
        <v>2005</v>
      </c>
      <c r="B72" s="84">
        <v>51924000000</v>
      </c>
      <c r="C72" s="84">
        <v>1</v>
      </c>
      <c r="D72" s="84">
        <v>1</v>
      </c>
      <c r="E72" s="146"/>
      <c r="F72" s="146"/>
      <c r="G72" s="30"/>
      <c r="H72" s="168"/>
      <c r="I72" s="168"/>
      <c r="J72" s="168"/>
      <c r="K72" s="168"/>
      <c r="L72" s="168"/>
      <c r="M72" s="16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</row>
    <row r="73" spans="1:53" ht="13.5" thickBot="1" x14ac:dyDescent="0.25">
      <c r="A73" s="364">
        <v>2006</v>
      </c>
      <c r="B73" s="87">
        <v>53105000000</v>
      </c>
      <c r="C73" s="87">
        <v>2</v>
      </c>
      <c r="D73" s="87">
        <v>0</v>
      </c>
      <c r="E73" s="148"/>
      <c r="F73" s="148"/>
      <c r="G73" s="30"/>
      <c r="H73" s="168"/>
      <c r="I73" s="168"/>
      <c r="J73" s="168"/>
      <c r="K73" s="168"/>
      <c r="L73" s="168"/>
      <c r="M73" s="16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</row>
    <row r="74" spans="1:53" ht="13.5" thickTop="1" x14ac:dyDescent="0.2">
      <c r="A74" s="405" t="s">
        <v>125</v>
      </c>
      <c r="B74" s="85">
        <f>AVERAGE(B69:B73)</f>
        <v>52390800000</v>
      </c>
      <c r="C74" s="149">
        <f t="shared" ref="C74:D74" si="10">AVERAGE(C69:C73)</f>
        <v>1.2</v>
      </c>
      <c r="D74" s="149">
        <f t="shared" si="10"/>
        <v>1.2</v>
      </c>
      <c r="E74" s="147">
        <f>C74/$B$74</f>
        <v>2.2904784809546714E-11</v>
      </c>
      <c r="F74" s="147">
        <f>D74/$B$74</f>
        <v>2.2904784809546714E-11</v>
      </c>
      <c r="G74" s="30"/>
      <c r="H74" s="168"/>
      <c r="I74" s="168"/>
      <c r="J74" s="169"/>
      <c r="K74" s="169"/>
      <c r="L74" s="170"/>
      <c r="M74" s="17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</row>
    <row r="75" spans="1:53" x14ac:dyDescent="0.2">
      <c r="A75" s="550" t="s">
        <v>126</v>
      </c>
      <c r="B75" s="551"/>
      <c r="C75" s="551"/>
      <c r="D75" s="551"/>
      <c r="E75" s="551"/>
      <c r="F75" s="55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</row>
    <row r="76" spans="1:53" x14ac:dyDescent="0.2">
      <c r="A76" s="556" t="s">
        <v>439</v>
      </c>
      <c r="B76" s="557"/>
      <c r="C76" s="557"/>
      <c r="D76" s="557"/>
      <c r="E76" s="557"/>
      <c r="F76" s="55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</row>
    <row r="77" spans="1:53" x14ac:dyDescent="0.2">
      <c r="A77" s="18"/>
      <c r="B77" s="18"/>
      <c r="C77" s="18"/>
      <c r="D77" s="18"/>
      <c r="E77" s="18"/>
      <c r="F77" s="1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</row>
    <row r="78" spans="1:53" ht="16.5" x14ac:dyDescent="0.3">
      <c r="A78" s="548" t="s">
        <v>148</v>
      </c>
      <c r="B78" s="549"/>
      <c r="C78" s="548" t="s">
        <v>134</v>
      </c>
      <c r="D78" s="562"/>
      <c r="E78" s="562"/>
      <c r="F78" s="549"/>
      <c r="G78" s="30"/>
      <c r="H78" s="171"/>
      <c r="I78" s="17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1:53" ht="27" x14ac:dyDescent="0.3">
      <c r="A79" s="239" t="s">
        <v>1</v>
      </c>
      <c r="B79" s="384" t="s">
        <v>128</v>
      </c>
      <c r="C79" s="239" t="s">
        <v>123</v>
      </c>
      <c r="D79" s="239" t="s">
        <v>122</v>
      </c>
      <c r="E79" s="239" t="s">
        <v>123</v>
      </c>
      <c r="F79" s="239" t="s">
        <v>122</v>
      </c>
      <c r="G79" s="30"/>
      <c r="H79" s="171"/>
      <c r="I79" s="17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1:53" ht="16.5" x14ac:dyDescent="0.3">
      <c r="A80" s="363">
        <v>2014</v>
      </c>
      <c r="B80" s="84">
        <v>1851229000000</v>
      </c>
      <c r="C80" s="84">
        <f>5+767</f>
        <v>772</v>
      </c>
      <c r="D80" s="84">
        <f>143+8805</f>
        <v>8948</v>
      </c>
      <c r="E80" s="146"/>
      <c r="F80" s="146"/>
      <c r="G80" s="30"/>
      <c r="H80" s="167"/>
      <c r="I80" s="167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1:53" ht="16.5" x14ac:dyDescent="0.3">
      <c r="A81" s="363">
        <v>2015</v>
      </c>
      <c r="B81" s="84">
        <v>1738283000000</v>
      </c>
      <c r="C81" s="84">
        <f>11+749</f>
        <v>760</v>
      </c>
      <c r="D81" s="84">
        <f>564+9130</f>
        <v>9694</v>
      </c>
      <c r="E81" s="146"/>
      <c r="F81" s="146"/>
      <c r="G81" s="30"/>
      <c r="H81" s="167"/>
      <c r="I81" s="167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1:53" ht="16.5" x14ac:dyDescent="0.3">
      <c r="A82" s="363">
        <v>2016</v>
      </c>
      <c r="B82" s="84">
        <v>1585440000000</v>
      </c>
      <c r="C82" s="84">
        <f>760+7</f>
        <v>767</v>
      </c>
      <c r="D82" s="84">
        <f>8702+433</f>
        <v>9135</v>
      </c>
      <c r="E82" s="146"/>
      <c r="F82" s="146"/>
      <c r="G82" s="30"/>
      <c r="H82" s="167"/>
      <c r="I82" s="167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53" x14ac:dyDescent="0.2">
      <c r="A83" s="363">
        <v>2017</v>
      </c>
      <c r="B83" s="84">
        <v>1674784000000</v>
      </c>
      <c r="C83" s="84">
        <f>817+7</f>
        <v>824</v>
      </c>
      <c r="D83" s="84">
        <f>8889+319</f>
        <v>9208</v>
      </c>
      <c r="E83" s="146"/>
      <c r="F83" s="146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1:53" ht="13.5" thickBot="1" x14ac:dyDescent="0.25">
      <c r="A84" s="364">
        <v>2018</v>
      </c>
      <c r="B84" s="87">
        <v>1729638000000</v>
      </c>
      <c r="C84" s="87">
        <f>813+7</f>
        <v>820</v>
      </c>
      <c r="D84" s="87">
        <f>204+8303</f>
        <v>8507</v>
      </c>
      <c r="E84" s="148"/>
      <c r="F84" s="148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1:53" ht="13.5" thickTop="1" x14ac:dyDescent="0.2">
      <c r="A85" s="405" t="s">
        <v>125</v>
      </c>
      <c r="B85" s="85">
        <f>AVERAGE(B80:B84)</f>
        <v>1715874800000</v>
      </c>
      <c r="C85" s="149">
        <f>AVERAGE(C80:C84)</f>
        <v>788.6</v>
      </c>
      <c r="D85" s="149">
        <f t="shared" ref="D85" si="11">AVERAGE(D80:D84)</f>
        <v>9098.4</v>
      </c>
      <c r="E85" s="147">
        <f>C85/$B$85</f>
        <v>4.5959064146171972E-10</v>
      </c>
      <c r="F85" s="147">
        <f>D85/$B$85</f>
        <v>5.3024847733645832E-9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1:53" x14ac:dyDescent="0.2">
      <c r="A86" s="550" t="s">
        <v>126</v>
      </c>
      <c r="B86" s="551"/>
      <c r="C86" s="551"/>
      <c r="D86" s="551"/>
      <c r="E86" s="551"/>
      <c r="F86" s="55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</row>
    <row r="87" spans="1:53" x14ac:dyDescent="0.2">
      <c r="A87" s="553" t="s">
        <v>127</v>
      </c>
      <c r="B87" s="554"/>
      <c r="C87" s="554"/>
      <c r="D87" s="554"/>
      <c r="E87" s="554"/>
      <c r="F87" s="555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</row>
    <row r="88" spans="1:53" x14ac:dyDescent="0.2">
      <c r="A88" s="556" t="s">
        <v>129</v>
      </c>
      <c r="B88" s="557"/>
      <c r="C88" s="557"/>
      <c r="D88" s="557"/>
      <c r="E88" s="557"/>
      <c r="F88" s="558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</row>
    <row r="89" spans="1:53" x14ac:dyDescent="0.2">
      <c r="A89" s="18"/>
      <c r="B89" s="18"/>
      <c r="C89" s="18"/>
      <c r="D89" s="18"/>
      <c r="E89" s="18"/>
      <c r="F89" s="18"/>
      <c r="G89" s="30"/>
      <c r="H89" s="32"/>
      <c r="I89" s="32"/>
      <c r="J89" s="32"/>
      <c r="K89" s="32"/>
      <c r="L89" s="32"/>
      <c r="M89" s="32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</row>
    <row r="90" spans="1:53" x14ac:dyDescent="0.2">
      <c r="A90" s="548" t="s">
        <v>149</v>
      </c>
      <c r="B90" s="549"/>
      <c r="C90" s="548" t="s">
        <v>134</v>
      </c>
      <c r="D90" s="562"/>
      <c r="E90" s="562"/>
      <c r="F90" s="549"/>
      <c r="G90" s="30"/>
      <c r="H90" s="81"/>
      <c r="I90" s="81"/>
      <c r="J90" s="235"/>
      <c r="K90" s="235"/>
      <c r="L90" s="235"/>
      <c r="M90" s="235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</row>
    <row r="91" spans="1:53" x14ac:dyDescent="0.2">
      <c r="A91" s="239" t="s">
        <v>1</v>
      </c>
      <c r="B91" s="239" t="s">
        <v>132</v>
      </c>
      <c r="C91" s="239" t="s">
        <v>123</v>
      </c>
      <c r="D91" s="239" t="s">
        <v>122</v>
      </c>
      <c r="E91" s="239" t="s">
        <v>123</v>
      </c>
      <c r="F91" s="239" t="s">
        <v>122</v>
      </c>
      <c r="G91" s="30"/>
      <c r="H91" s="81"/>
      <c r="I91" s="81"/>
      <c r="J91" s="235"/>
      <c r="K91" s="235"/>
      <c r="L91" s="235"/>
      <c r="M91" s="235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</row>
    <row r="92" spans="1:53" x14ac:dyDescent="0.2">
      <c r="A92" s="363">
        <v>2014</v>
      </c>
      <c r="B92" s="84">
        <v>1956805000000</v>
      </c>
      <c r="C92" s="84">
        <v>9759</v>
      </c>
      <c r="D92" s="84">
        <v>811000</v>
      </c>
      <c r="E92" s="146"/>
      <c r="F92" s="146"/>
      <c r="G92" s="30"/>
      <c r="H92" s="168"/>
      <c r="I92" s="168"/>
      <c r="J92" s="168"/>
      <c r="K92" s="168"/>
      <c r="L92" s="168"/>
      <c r="M92" s="16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</row>
    <row r="93" spans="1:53" x14ac:dyDescent="0.2">
      <c r="A93" s="363">
        <v>2015</v>
      </c>
      <c r="B93" s="84">
        <v>1985827000000</v>
      </c>
      <c r="C93" s="84">
        <v>10543</v>
      </c>
      <c r="D93" s="84">
        <v>839000</v>
      </c>
      <c r="E93" s="146"/>
      <c r="F93" s="146"/>
      <c r="G93" s="30"/>
      <c r="H93" s="168"/>
      <c r="I93" s="168"/>
      <c r="J93" s="168"/>
      <c r="K93" s="168"/>
      <c r="L93" s="168"/>
      <c r="M93" s="16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</row>
    <row r="94" spans="1:53" x14ac:dyDescent="0.2">
      <c r="A94" s="363">
        <v>2016</v>
      </c>
      <c r="B94" s="84">
        <v>2060780000000</v>
      </c>
      <c r="C94" s="84">
        <v>11094</v>
      </c>
      <c r="D94" s="84">
        <v>1071000</v>
      </c>
      <c r="E94" s="146"/>
      <c r="F94" s="146"/>
      <c r="G94" s="30"/>
      <c r="H94" s="168"/>
      <c r="I94" s="168"/>
      <c r="J94" s="168"/>
      <c r="K94" s="168"/>
      <c r="L94" s="168"/>
      <c r="M94" s="16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</row>
    <row r="95" spans="1:53" x14ac:dyDescent="0.2">
      <c r="A95" s="363">
        <v>2017</v>
      </c>
      <c r="B95" s="84">
        <v>2024314000000</v>
      </c>
      <c r="C95" s="84">
        <v>11064</v>
      </c>
      <c r="D95" s="84">
        <v>977000</v>
      </c>
      <c r="E95" s="146"/>
      <c r="F95" s="146"/>
      <c r="G95" s="30"/>
      <c r="H95" s="168"/>
      <c r="I95" s="168"/>
      <c r="J95" s="168"/>
      <c r="K95" s="168"/>
      <c r="L95" s="168"/>
      <c r="M95" s="16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</row>
    <row r="96" spans="1:53" ht="13.5" thickBot="1" x14ac:dyDescent="0.25">
      <c r="A96" s="364">
        <v>2018</v>
      </c>
      <c r="B96" s="87">
        <v>2033921000000</v>
      </c>
      <c r="C96" s="87">
        <v>10847</v>
      </c>
      <c r="D96" s="87">
        <v>960000</v>
      </c>
      <c r="E96" s="148"/>
      <c r="F96" s="148"/>
      <c r="G96" s="30"/>
      <c r="H96" s="168"/>
      <c r="I96" s="168"/>
      <c r="J96" s="168"/>
      <c r="K96" s="168"/>
      <c r="L96" s="168"/>
      <c r="M96" s="168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</row>
    <row r="97" spans="1:53" ht="13.5" thickTop="1" x14ac:dyDescent="0.2">
      <c r="A97" s="405" t="s">
        <v>125</v>
      </c>
      <c r="B97" s="85">
        <f>AVERAGE(B92:B96)</f>
        <v>2012329400000</v>
      </c>
      <c r="C97" s="149">
        <f>AVERAGE(C92:C96)</f>
        <v>10661.4</v>
      </c>
      <c r="D97" s="149">
        <f>AVERAGE(D92:D96)</f>
        <v>931600</v>
      </c>
      <c r="E97" s="147">
        <f>C97/$B$97</f>
        <v>5.2980391778801223E-9</v>
      </c>
      <c r="F97" s="147">
        <f>D97/$B$97</f>
        <v>4.6294607632328982E-7</v>
      </c>
      <c r="G97" s="30"/>
      <c r="H97" s="168"/>
      <c r="I97" s="168"/>
      <c r="J97" s="169"/>
      <c r="K97" s="169"/>
      <c r="L97" s="170"/>
      <c r="M97" s="17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x14ac:dyDescent="0.2">
      <c r="A98" s="563" t="s">
        <v>126</v>
      </c>
      <c r="B98" s="564"/>
      <c r="C98" s="564"/>
      <c r="D98" s="564"/>
      <c r="E98" s="564"/>
      <c r="F98" s="565"/>
      <c r="G98" s="30"/>
      <c r="H98" s="32"/>
      <c r="I98" s="32"/>
      <c r="J98" s="32"/>
      <c r="K98" s="32"/>
      <c r="L98" s="32"/>
      <c r="M98" s="32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</row>
    <row r="99" spans="1:53" x14ac:dyDescent="0.2">
      <c r="A99" s="553" t="s">
        <v>130</v>
      </c>
      <c r="B99" s="554"/>
      <c r="C99" s="554"/>
      <c r="D99" s="554"/>
      <c r="E99" s="554"/>
      <c r="F99" s="555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</row>
    <row r="100" spans="1:53" x14ac:dyDescent="0.2">
      <c r="A100" s="566" t="s">
        <v>174</v>
      </c>
      <c r="B100" s="567"/>
      <c r="C100" s="567"/>
      <c r="D100" s="567"/>
      <c r="E100" s="567"/>
      <c r="F100" s="568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</row>
    <row r="101" spans="1:53" x14ac:dyDescent="0.2">
      <c r="A101" s="569" t="s">
        <v>133</v>
      </c>
      <c r="B101" s="570"/>
      <c r="C101" s="570"/>
      <c r="D101" s="570"/>
      <c r="E101" s="570"/>
      <c r="F101" s="57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</row>
    <row r="102" spans="1:53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</row>
    <row r="103" spans="1:53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</row>
    <row r="104" spans="1:53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</row>
    <row r="105" spans="1:53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</row>
    <row r="106" spans="1:53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</row>
    <row r="107" spans="1:53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</row>
    <row r="108" spans="1:53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</row>
    <row r="109" spans="1:53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</row>
    <row r="110" spans="1:53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</row>
    <row r="111" spans="1:53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</row>
    <row r="112" spans="1:53" s="18" customForma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</row>
    <row r="113" spans="1:53" s="18" customForma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</row>
    <row r="114" spans="1:53" s="18" customFormat="1" x14ac:dyDescent="0.2"/>
    <row r="115" spans="1:53" s="18" customFormat="1" x14ac:dyDescent="0.2"/>
    <row r="116" spans="1:53" s="18" customFormat="1" x14ac:dyDescent="0.2"/>
    <row r="117" spans="1:53" s="18" customFormat="1" x14ac:dyDescent="0.2"/>
    <row r="118" spans="1:53" s="18" customFormat="1" x14ac:dyDescent="0.2"/>
    <row r="119" spans="1:53" s="18" customFormat="1" x14ac:dyDescent="0.2"/>
    <row r="120" spans="1:53" s="18" customFormat="1" x14ac:dyDescent="0.2"/>
    <row r="121" spans="1:53" s="18" customFormat="1" x14ac:dyDescent="0.2"/>
    <row r="122" spans="1:53" s="18" customFormat="1" x14ac:dyDescent="0.2"/>
    <row r="123" spans="1:53" s="18" customFormat="1" x14ac:dyDescent="0.2"/>
    <row r="124" spans="1:53" s="18" customFormat="1" x14ac:dyDescent="0.2"/>
    <row r="125" spans="1:53" s="18" customFormat="1" x14ac:dyDescent="0.2"/>
    <row r="126" spans="1:53" s="18" customFormat="1" x14ac:dyDescent="0.2"/>
    <row r="127" spans="1:53" s="18" customFormat="1" x14ac:dyDescent="0.2"/>
    <row r="128" spans="1:53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</sheetData>
  <mergeCells count="35">
    <mergeCell ref="A98:F98"/>
    <mergeCell ref="A99:F99"/>
    <mergeCell ref="A100:F100"/>
    <mergeCell ref="A101:F101"/>
    <mergeCell ref="A90:B90"/>
    <mergeCell ref="A39:B39"/>
    <mergeCell ref="A35:B35"/>
    <mergeCell ref="A46:E46"/>
    <mergeCell ref="A78:B78"/>
    <mergeCell ref="C90:F90"/>
    <mergeCell ref="C78:F78"/>
    <mergeCell ref="A67:B67"/>
    <mergeCell ref="C67:D67"/>
    <mergeCell ref="E67:F67"/>
    <mergeCell ref="A75:F75"/>
    <mergeCell ref="A76:F76"/>
    <mergeCell ref="A86:F86"/>
    <mergeCell ref="A87:F87"/>
    <mergeCell ref="A88:F88"/>
    <mergeCell ref="B4:C4"/>
    <mergeCell ref="F4:G4"/>
    <mergeCell ref="D4:E4"/>
    <mergeCell ref="A54:B54"/>
    <mergeCell ref="A65:B65"/>
    <mergeCell ref="A3:A5"/>
    <mergeCell ref="B3:M3"/>
    <mergeCell ref="A51:B51"/>
    <mergeCell ref="A56:B56"/>
    <mergeCell ref="A32:K32"/>
    <mergeCell ref="L4:L5"/>
    <mergeCell ref="M4:M5"/>
    <mergeCell ref="H4:I4"/>
    <mergeCell ref="J4:K4"/>
    <mergeCell ref="A33:M33"/>
    <mergeCell ref="A48:B4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331"/>
  <sheetViews>
    <sheetView workbookViewId="0">
      <selection activeCell="J7" sqref="J7"/>
    </sheetView>
  </sheetViews>
  <sheetFormatPr defaultRowHeight="12.75" x14ac:dyDescent="0.2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4" max="65" width="8.85546875" style="18"/>
  </cols>
  <sheetData>
    <row r="1" spans="1:13" ht="20.25" x14ac:dyDescent="0.3">
      <c r="A1" s="29" t="s">
        <v>427</v>
      </c>
      <c r="B1" s="47"/>
      <c r="C1" s="46"/>
      <c r="D1" s="46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">
      <c r="A3" s="573" t="s">
        <v>1</v>
      </c>
      <c r="B3" s="490" t="s">
        <v>419</v>
      </c>
      <c r="C3" s="491"/>
      <c r="D3" s="491"/>
      <c r="E3" s="491"/>
      <c r="F3" s="491"/>
      <c r="G3" s="491"/>
      <c r="H3" s="491"/>
      <c r="I3" s="491"/>
      <c r="J3" s="491"/>
      <c r="K3" s="491"/>
      <c r="L3" s="492"/>
      <c r="M3" s="18"/>
    </row>
    <row r="4" spans="1:13" x14ac:dyDescent="0.2">
      <c r="A4" s="574"/>
      <c r="B4" s="224"/>
      <c r="C4" s="490" t="s">
        <v>340</v>
      </c>
      <c r="D4" s="492"/>
      <c r="E4" s="490" t="s">
        <v>402</v>
      </c>
      <c r="F4" s="491"/>
      <c r="G4" s="491"/>
      <c r="H4" s="492"/>
      <c r="I4" s="505" t="s">
        <v>405</v>
      </c>
      <c r="J4" s="505"/>
      <c r="K4" s="505" t="s">
        <v>305</v>
      </c>
      <c r="L4" s="505"/>
      <c r="M4" s="18"/>
    </row>
    <row r="5" spans="1:13" x14ac:dyDescent="0.2">
      <c r="A5" s="575"/>
      <c r="B5" s="244" t="s">
        <v>74</v>
      </c>
      <c r="C5" s="246" t="s">
        <v>69</v>
      </c>
      <c r="D5" s="244" t="s">
        <v>42</v>
      </c>
      <c r="E5" s="246" t="s">
        <v>401</v>
      </c>
      <c r="F5" s="246" t="s">
        <v>403</v>
      </c>
      <c r="G5" s="246" t="s">
        <v>404</v>
      </c>
      <c r="H5" s="246" t="s">
        <v>156</v>
      </c>
      <c r="I5" s="246" t="s">
        <v>406</v>
      </c>
      <c r="J5" s="246" t="s">
        <v>65</v>
      </c>
      <c r="K5" s="246" t="s">
        <v>406</v>
      </c>
      <c r="L5" s="246" t="s">
        <v>65</v>
      </c>
      <c r="M5" s="18"/>
    </row>
    <row r="6" spans="1:13" x14ac:dyDescent="0.2">
      <c r="A6" s="19">
        <v>2024</v>
      </c>
      <c r="B6" s="335">
        <f>LoU_Safety!D12+LoU_Safety!E12</f>
        <v>587664395.44255424</v>
      </c>
      <c r="C6" s="6">
        <f>LoU_Safety!F12</f>
        <v>225768569.82904115</v>
      </c>
      <c r="D6" s="5">
        <f>LoU_Safety!G12</f>
        <v>27413696.956520963</v>
      </c>
      <c r="E6" s="6">
        <f t="shared" ref="E6:E25" si="0">($C6/1000000*$C$70)+($D6/1000000*$D$70)-($B6/1000000*$B$70)</f>
        <v>-2986.9446018968592</v>
      </c>
      <c r="F6" s="5">
        <f t="shared" ref="F6:F25" si="1">(($C6/1000000*$C$73)+($D6/1000000*$D$73)-($B6/1000000*$B$73))</f>
        <v>172.58831510664413</v>
      </c>
      <c r="G6" s="6">
        <f t="shared" ref="G6:G25" si="2">(($C6/1000000*$C$79)+($D6/1000000*$D$79)-($B6/1000000*$B$79))</f>
        <v>21.779031566739302</v>
      </c>
      <c r="H6" s="5">
        <f t="shared" ref="H6:H25" si="3">(($C6/1000000*$C$76)+($D6/1000000*$D$76)-($B6/1000000*$B$76))</f>
        <v>-2.6872585008051963</v>
      </c>
      <c r="I6" s="139"/>
      <c r="J6" s="346"/>
      <c r="K6" s="139"/>
      <c r="L6" s="346"/>
      <c r="M6" s="18"/>
    </row>
    <row r="7" spans="1:13" x14ac:dyDescent="0.2">
      <c r="A7" s="19">
        <f t="shared" ref="A7:A25" si="4">A6+1</f>
        <v>2025</v>
      </c>
      <c r="B7" s="335">
        <f>LoU_Safety!D13+LoU_Safety!E13</f>
        <v>606102265.80263209</v>
      </c>
      <c r="C7" s="6">
        <f>LoU_Safety!F13</f>
        <v>232892603.16223279</v>
      </c>
      <c r="D7" s="5">
        <f>LoU_Safety!G13</f>
        <v>28279592.519756269</v>
      </c>
      <c r="E7" s="6">
        <f t="shared" si="0"/>
        <v>-3079.2933645491357</v>
      </c>
      <c r="F7" s="5">
        <f t="shared" si="1"/>
        <v>178.06366577342681</v>
      </c>
      <c r="G7" s="6">
        <f t="shared" si="2"/>
        <v>22.471993430906448</v>
      </c>
      <c r="H7" s="5">
        <f t="shared" si="3"/>
        <v>-2.7708086113272312</v>
      </c>
      <c r="I7" s="139">
        <f>F7*B37+G7*C37+H7*D37</f>
        <v>1793235.950257997</v>
      </c>
      <c r="J7" s="346">
        <f>E7*E37</f>
        <v>-172440.4284147516</v>
      </c>
      <c r="K7" s="139">
        <f>I7*NPV!C11</f>
        <v>1194908.8309226308</v>
      </c>
      <c r="L7" s="346">
        <f>J7*NPV!D11</f>
        <v>-144416.14401313916</v>
      </c>
      <c r="M7" s="18"/>
    </row>
    <row r="8" spans="1:13" x14ac:dyDescent="0.2">
      <c r="A8" s="19">
        <f t="shared" si="4"/>
        <v>2026</v>
      </c>
      <c r="B8" s="335">
        <f>LoU_Safety!D14+LoU_Safety!E14</f>
        <v>627905062.54647732</v>
      </c>
      <c r="C8" s="6">
        <f>LoU_Safety!F14</f>
        <v>241318143.99158993</v>
      </c>
      <c r="D8" s="5">
        <f>LoU_Safety!G14</f>
        <v>29303709.745962605</v>
      </c>
      <c r="E8" s="6">
        <f t="shared" si="0"/>
        <v>-3188.4498823999602</v>
      </c>
      <c r="F8" s="5">
        <f t="shared" si="1"/>
        <v>184.54030557257772</v>
      </c>
      <c r="G8" s="6">
        <f t="shared" si="2"/>
        <v>23.291746067947642</v>
      </c>
      <c r="H8" s="5">
        <f t="shared" si="3"/>
        <v>-2.8695810385099962</v>
      </c>
      <c r="I8" s="139">
        <f t="shared" ref="I8:I25" si="5">F8*B38+G8*C38+H8*D38</f>
        <v>1879772.9522286174</v>
      </c>
      <c r="J8" s="346">
        <f t="shared" ref="J8:J25" si="6">E8*E38</f>
        <v>-181741.64329679773</v>
      </c>
      <c r="K8" s="139">
        <f>I8*NPV!C12</f>
        <v>1170628.1208020071</v>
      </c>
      <c r="L8" s="346">
        <f>J8*NPV!D12</f>
        <v>-147772.58742221797</v>
      </c>
      <c r="M8" s="18"/>
    </row>
    <row r="9" spans="1:13" x14ac:dyDescent="0.2">
      <c r="A9" s="19">
        <f t="shared" si="4"/>
        <v>2027</v>
      </c>
      <c r="B9" s="335">
        <f>LoU_Safety!D15+LoU_Safety!E15</f>
        <v>653428055.71981955</v>
      </c>
      <c r="C9" s="6">
        <f>LoU_Safety!F15</f>
        <v>251182609.78010401</v>
      </c>
      <c r="D9" s="5">
        <f>LoU_Safety!G15</f>
        <v>30502754.283418845</v>
      </c>
      <c r="E9" s="6">
        <f t="shared" si="0"/>
        <v>-3316.1885935862911</v>
      </c>
      <c r="F9" s="5">
        <f t="shared" si="1"/>
        <v>192.12395670385627</v>
      </c>
      <c r="G9" s="6">
        <f t="shared" si="2"/>
        <v>24.251677009653228</v>
      </c>
      <c r="H9" s="5">
        <f t="shared" si="3"/>
        <v>-2.9851828869416748</v>
      </c>
      <c r="I9" s="139">
        <f t="shared" si="5"/>
        <v>2000501.2175722374</v>
      </c>
      <c r="J9" s="346">
        <f t="shared" si="6"/>
        <v>-192338.93842800488</v>
      </c>
      <c r="K9" s="139">
        <f>I9*NPV!C13</f>
        <v>1164309.922320487</v>
      </c>
      <c r="L9" s="346">
        <f>J9*NPV!D13</f>
        <v>-151834.13411320656</v>
      </c>
      <c r="M9" s="18"/>
    </row>
    <row r="10" spans="1:13" x14ac:dyDescent="0.2">
      <c r="A10" s="19">
        <f t="shared" si="4"/>
        <v>2028</v>
      </c>
      <c r="B10" s="335">
        <f>LoU_Safety!D16+LoU_Safety!E16</f>
        <v>683098916.91720939</v>
      </c>
      <c r="C10" s="6">
        <f>LoU_Safety!F16</f>
        <v>262651422.74618846</v>
      </c>
      <c r="D10" s="5">
        <f>LoU_Safety!G16</f>
        <v>31896836.280062225</v>
      </c>
      <c r="E10" s="6">
        <f t="shared" si="0"/>
        <v>-3464.6455530312014</v>
      </c>
      <c r="F10" s="5">
        <f t="shared" si="1"/>
        <v>200.94188686832049</v>
      </c>
      <c r="G10" s="6">
        <f t="shared" si="2"/>
        <v>25.367902082184756</v>
      </c>
      <c r="H10" s="5">
        <f t="shared" si="3"/>
        <v>-3.1195487771594825</v>
      </c>
      <c r="I10" s="139">
        <f t="shared" si="5"/>
        <v>2117636.0525631346</v>
      </c>
      <c r="J10" s="346">
        <f t="shared" si="6"/>
        <v>-204414.08762884088</v>
      </c>
      <c r="K10" s="139">
        <f>I10*NPV!C14</f>
        <v>1151853.7035017875</v>
      </c>
      <c r="L10" s="346">
        <f>J10*NPV!D14</f>
        <v>-156666.37708550005</v>
      </c>
      <c r="M10" s="18"/>
    </row>
    <row r="11" spans="1:13" x14ac:dyDescent="0.2">
      <c r="A11" s="19">
        <f t="shared" si="4"/>
        <v>2029</v>
      </c>
      <c r="B11" s="335">
        <f>LoU_Safety!D17+LoU_Safety!E17</f>
        <v>717429808.29986274</v>
      </c>
      <c r="C11" s="6">
        <f>LoU_Safety!F17</f>
        <v>275922685.86861002</v>
      </c>
      <c r="D11" s="5">
        <f>LoU_Safety!G17</f>
        <v>33510038.83898963</v>
      </c>
      <c r="E11" s="6">
        <f t="shared" si="0"/>
        <v>-3636.3788122488877</v>
      </c>
      <c r="F11" s="5">
        <f t="shared" si="1"/>
        <v>211.14650675996478</v>
      </c>
      <c r="G11" s="6">
        <f t="shared" si="2"/>
        <v>26.659720954368602</v>
      </c>
      <c r="H11" s="5">
        <f t="shared" si="3"/>
        <v>-3.2749955315784218</v>
      </c>
      <c r="I11" s="139">
        <f t="shared" si="5"/>
        <v>2251369.6459155534</v>
      </c>
      <c r="J11" s="346">
        <f t="shared" si="6"/>
        <v>-218182.72873493325</v>
      </c>
      <c r="K11" s="139">
        <f>I11*NPV!C15</f>
        <v>1144482.1658347619</v>
      </c>
      <c r="L11" s="346">
        <f>J11*NPV!D15</f>
        <v>-162348.44078722669</v>
      </c>
      <c r="M11" s="18"/>
    </row>
    <row r="12" spans="1:13" x14ac:dyDescent="0.2">
      <c r="A12" s="19">
        <f t="shared" si="4"/>
        <v>2030</v>
      </c>
      <c r="B12" s="335">
        <f>LoU_Safety!D18+LoU_Safety!E18</f>
        <v>757032227.16768181</v>
      </c>
      <c r="C12" s="6">
        <f>LoU_Safety!F18</f>
        <v>291232924.73358297</v>
      </c>
      <c r="D12" s="5">
        <f>LoU_Safety!G18</f>
        <v>35371116.046927825</v>
      </c>
      <c r="E12" s="6">
        <f t="shared" si="0"/>
        <v>-3834.4425620397324</v>
      </c>
      <c r="F12" s="5">
        <f t="shared" si="1"/>
        <v>222.91978756467847</v>
      </c>
      <c r="G12" s="6">
        <f t="shared" si="2"/>
        <v>28.150176523044252</v>
      </c>
      <c r="H12" s="5">
        <f t="shared" si="3"/>
        <v>-3.4542893254557372</v>
      </c>
      <c r="I12" s="139">
        <f t="shared" si="5"/>
        <v>2423922.1767588388</v>
      </c>
      <c r="J12" s="346">
        <f t="shared" si="6"/>
        <v>-233900.99628442369</v>
      </c>
      <c r="K12" s="139">
        <f>I12*NPV!C16</f>
        <v>1151587.9651822429</v>
      </c>
      <c r="L12" s="346">
        <f>J12*NPV!D16</f>
        <v>-168975.05633351573</v>
      </c>
      <c r="M12" s="18"/>
    </row>
    <row r="13" spans="1:13" x14ac:dyDescent="0.2">
      <c r="A13" s="19">
        <f t="shared" si="4"/>
        <v>2031</v>
      </c>
      <c r="B13" s="335">
        <f>LoU_Safety!D19+LoU_Safety!E19</f>
        <v>802635205.35745811</v>
      </c>
      <c r="C13" s="6">
        <f>LoU_Safety!F19</f>
        <v>308864127.02109152</v>
      </c>
      <c r="D13" s="5">
        <f>LoU_Safety!G19</f>
        <v>37514348.754923478</v>
      </c>
      <c r="E13" s="6">
        <f t="shared" si="0"/>
        <v>-4062.4780311992163</v>
      </c>
      <c r="F13" s="5">
        <f t="shared" si="1"/>
        <v>236.47867679995483</v>
      </c>
      <c r="G13" s="6">
        <f t="shared" si="2"/>
        <v>29.866740717726671</v>
      </c>
      <c r="H13" s="5">
        <f t="shared" si="3"/>
        <v>-3.6607280137602949</v>
      </c>
      <c r="I13" s="139">
        <f t="shared" si="5"/>
        <v>2574690.3076602095</v>
      </c>
      <c r="J13" s="346">
        <f t="shared" si="6"/>
        <v>-251873.6379343514</v>
      </c>
      <c r="K13" s="139">
        <f>I13*NPV!C17</f>
        <v>1143193.2879423411</v>
      </c>
      <c r="L13" s="346">
        <f>J13*NPV!D17</f>
        <v>-176659.10199816371</v>
      </c>
      <c r="M13" s="18"/>
    </row>
    <row r="14" spans="1:13" x14ac:dyDescent="0.2">
      <c r="A14" s="19">
        <f t="shared" si="4"/>
        <v>2032</v>
      </c>
      <c r="B14" s="335">
        <f>LoU_Safety!D20+LoU_Safety!E20</f>
        <v>855107616.0653367</v>
      </c>
      <c r="C14" s="6">
        <f>LoU_Safety!F20</f>
        <v>329152370.73368651</v>
      </c>
      <c r="D14" s="5">
        <f>LoU_Safety!G20</f>
        <v>39980593.500275254</v>
      </c>
      <c r="E14" s="6">
        <f t="shared" si="0"/>
        <v>-4324.8249001667737</v>
      </c>
      <c r="F14" s="5">
        <f t="shared" si="1"/>
        <v>252.08173645608642</v>
      </c>
      <c r="G14" s="6">
        <f t="shared" si="2"/>
        <v>31.842155084601892</v>
      </c>
      <c r="H14" s="5">
        <f t="shared" si="3"/>
        <v>-3.8982420384025076</v>
      </c>
      <c r="I14" s="139">
        <f t="shared" si="5"/>
        <v>2748232.145141548</v>
      </c>
      <c r="J14" s="346">
        <f t="shared" si="6"/>
        <v>-272463.96871050674</v>
      </c>
      <c r="K14" s="139">
        <f>I14*NPV!C18</f>
        <v>1140418.6347781937</v>
      </c>
      <c r="L14" s="346">
        <f>J14*NPV!D18</f>
        <v>-185534.70459327888</v>
      </c>
      <c r="M14" s="18"/>
    </row>
    <row r="15" spans="1:13" x14ac:dyDescent="0.2">
      <c r="A15" s="19">
        <f t="shared" si="4"/>
        <v>2033</v>
      </c>
      <c r="B15" s="335">
        <f>LoU_Safety!D21+LoU_Safety!E21</f>
        <v>915485533.78432882</v>
      </c>
      <c r="C15" s="6">
        <f>LoU_Safety!F21</f>
        <v>352498406.9588275</v>
      </c>
      <c r="D15" s="5">
        <f>LoU_Safety!G21</f>
        <v>42818569.038426228</v>
      </c>
      <c r="E15" s="6">
        <f t="shared" si="0"/>
        <v>-4626.6579529615356</v>
      </c>
      <c r="F15" s="5">
        <f t="shared" si="1"/>
        <v>270.03728486077182</v>
      </c>
      <c r="G15" s="6">
        <f t="shared" si="2"/>
        <v>34.115461786151947</v>
      </c>
      <c r="H15" s="5">
        <f t="shared" si="3"/>
        <v>-4.1715181937553218</v>
      </c>
      <c r="I15" s="139">
        <f t="shared" si="5"/>
        <v>2947982.8217712534</v>
      </c>
      <c r="J15" s="346">
        <f t="shared" si="6"/>
        <v>-296106.10898953828</v>
      </c>
      <c r="K15" s="139">
        <f>I15*NPV!C19</f>
        <v>1143278.5645057957</v>
      </c>
      <c r="L15" s="346">
        <f>J15*NPV!D19</f>
        <v>-195761.02106465248</v>
      </c>
      <c r="M15" s="18"/>
    </row>
    <row r="16" spans="1:13" x14ac:dyDescent="0.2">
      <c r="A16" s="19">
        <f t="shared" si="4"/>
        <v>2034</v>
      </c>
      <c r="B16" s="335">
        <f>LoU_Safety!D22+LoU_Safety!E22</f>
        <v>985005837.25636327</v>
      </c>
      <c r="C16" s="6">
        <f>LoU_Safety!F22</f>
        <v>379380657.41521889</v>
      </c>
      <c r="D16" s="5">
        <f>LoU_Safety!G22</f>
        <v>46086436.436832145</v>
      </c>
      <c r="E16" s="6">
        <f t="shared" si="0"/>
        <v>-4974.1549104766236</v>
      </c>
      <c r="F16" s="5">
        <f t="shared" si="1"/>
        <v>290.71339636153209</v>
      </c>
      <c r="G16" s="6">
        <f t="shared" si="2"/>
        <v>36.733269855178882</v>
      </c>
      <c r="H16" s="5">
        <f t="shared" si="3"/>
        <v>-4.4861516331003921</v>
      </c>
      <c r="I16" s="139">
        <f t="shared" si="5"/>
        <v>3178043.2439824953</v>
      </c>
      <c r="J16" s="346">
        <f t="shared" si="6"/>
        <v>-328294.22409145714</v>
      </c>
      <c r="K16" s="139">
        <f>I16*NPV!C20</f>
        <v>1151869.1240327479</v>
      </c>
      <c r="L16" s="346">
        <f>J16*NPV!D20</f>
        <v>-210719.5699944371</v>
      </c>
      <c r="M16" s="18"/>
    </row>
    <row r="17" spans="1:13" x14ac:dyDescent="0.2">
      <c r="A17" s="19">
        <f t="shared" si="4"/>
        <v>2035</v>
      </c>
      <c r="B17" s="335">
        <f>LoU_Safety!D23+LoU_Safety!E23</f>
        <v>1065147555.3661566</v>
      </c>
      <c r="C17" s="6">
        <f>LoU_Safety!F23</f>
        <v>410371206.95164198</v>
      </c>
      <c r="D17" s="5">
        <f>LoU_Safety!G23</f>
        <v>49853743.261093773</v>
      </c>
      <c r="E17" s="6">
        <f t="shared" si="0"/>
        <v>-5374.7029366682473</v>
      </c>
      <c r="F17" s="5">
        <f t="shared" si="1"/>
        <v>314.55020517947105</v>
      </c>
      <c r="G17" s="6">
        <f t="shared" si="2"/>
        <v>39.751313224718778</v>
      </c>
      <c r="H17" s="5">
        <f t="shared" si="3"/>
        <v>-4.8488329010762605</v>
      </c>
      <c r="I17" s="139">
        <f t="shared" si="5"/>
        <v>3443317.1759141972</v>
      </c>
      <c r="J17" s="346">
        <f t="shared" si="6"/>
        <v>-360105.09675677255</v>
      </c>
      <c r="K17" s="139">
        <f>I17*NPV!C21</f>
        <v>1166370.6586694128</v>
      </c>
      <c r="L17" s="346">
        <f>J17*NPV!D21</f>
        <v>-224405.59094348107</v>
      </c>
      <c r="M17" s="18"/>
    </row>
    <row r="18" spans="1:13" x14ac:dyDescent="0.2">
      <c r="A18" s="19">
        <f t="shared" si="4"/>
        <v>2036</v>
      </c>
      <c r="B18" s="335">
        <f>LoU_Safety!D24+LoU_Safety!E24</f>
        <v>1157682850.8650699</v>
      </c>
      <c r="C18" s="6">
        <f>LoU_Safety!F24</f>
        <v>446155523.93676746</v>
      </c>
      <c r="D18" s="5">
        <f>LoU_Safety!G24</f>
        <v>54203820.955679193</v>
      </c>
      <c r="E18" s="6">
        <f t="shared" si="0"/>
        <v>-5837.1532818475771</v>
      </c>
      <c r="F18" s="5">
        <f t="shared" si="1"/>
        <v>342.07507732174014</v>
      </c>
      <c r="G18" s="6">
        <f t="shared" si="2"/>
        <v>43.236371938577484</v>
      </c>
      <c r="H18" s="5">
        <f t="shared" si="3"/>
        <v>-5.2675785638521884</v>
      </c>
      <c r="I18" s="139">
        <f t="shared" si="5"/>
        <v>3749680.2778339963</v>
      </c>
      <c r="J18" s="346">
        <f t="shared" si="6"/>
        <v>-396926.42316563526</v>
      </c>
      <c r="K18" s="139">
        <f>I18*NPV!C22</f>
        <v>1187052.7483905926</v>
      </c>
      <c r="L18" s="346">
        <f>J18*NPV!D22</f>
        <v>-240147.01380555032</v>
      </c>
      <c r="M18" s="18"/>
    </row>
    <row r="19" spans="1:13" x14ac:dyDescent="0.2">
      <c r="A19" s="19">
        <f t="shared" si="4"/>
        <v>2037</v>
      </c>
      <c r="B19" s="335">
        <f>LoU_Safety!D25+LoU_Safety!E25</f>
        <v>1264740041.636071</v>
      </c>
      <c r="C19" s="6">
        <f>LoU_Safety!F25</f>
        <v>487556836.74281722</v>
      </c>
      <c r="D19" s="5">
        <f>LoU_Safety!G25</f>
        <v>59236748.259584427</v>
      </c>
      <c r="E19" s="6">
        <f t="shared" si="0"/>
        <v>-6372.1360486717167</v>
      </c>
      <c r="F19" s="5">
        <f t="shared" si="1"/>
        <v>373.9213646670226</v>
      </c>
      <c r="G19" s="6">
        <f t="shared" si="2"/>
        <v>47.268646970372188</v>
      </c>
      <c r="H19" s="5">
        <f t="shared" si="3"/>
        <v>-5.7520162923702802</v>
      </c>
      <c r="I19" s="139">
        <f t="shared" si="5"/>
        <v>4104189.0554742077</v>
      </c>
      <c r="J19" s="346">
        <f t="shared" si="6"/>
        <v>-439677.38735834847</v>
      </c>
      <c r="K19" s="139">
        <f>I19*NPV!C23</f>
        <v>1214281.4472768405</v>
      </c>
      <c r="L19" s="346">
        <f>J19*NPV!D23</f>
        <v>-258264.12642510943</v>
      </c>
      <c r="M19" s="18"/>
    </row>
    <row r="20" spans="1:13" x14ac:dyDescent="0.2">
      <c r="A20" s="19">
        <f t="shared" si="4"/>
        <v>2038</v>
      </c>
      <c r="B20" s="335">
        <f>LoU_Safety!D26+LoU_Safety!E26</f>
        <v>1388881706.510354</v>
      </c>
      <c r="C20" s="6">
        <f>LoU_Safety!F26</f>
        <v>535566344.89990866</v>
      </c>
      <c r="D20" s="5">
        <f>LoU_Safety!G26</f>
        <v>65073023.934900776</v>
      </c>
      <c r="E20" s="6">
        <f t="shared" si="0"/>
        <v>-6992.4502994318573</v>
      </c>
      <c r="F20" s="5">
        <f t="shared" si="1"/>
        <v>410.85164796395117</v>
      </c>
      <c r="G20" s="6">
        <f t="shared" si="2"/>
        <v>51.944703471032213</v>
      </c>
      <c r="H20" s="5">
        <f t="shared" si="3"/>
        <v>-6.3137381821247835</v>
      </c>
      <c r="I20" s="139">
        <f t="shared" si="5"/>
        <v>4515339.8227570709</v>
      </c>
      <c r="J20" s="346">
        <f t="shared" si="6"/>
        <v>-489471.52096023003</v>
      </c>
      <c r="K20" s="139">
        <f>I20*NPV!C24</f>
        <v>1248529.0873680171</v>
      </c>
      <c r="L20" s="346">
        <f>J20*NPV!D24</f>
        <v>-279138.76892599947</v>
      </c>
      <c r="M20" s="18"/>
    </row>
    <row r="21" spans="1:13" x14ac:dyDescent="0.2">
      <c r="A21" s="19">
        <f t="shared" si="4"/>
        <v>2039</v>
      </c>
      <c r="B21" s="335">
        <f>LoU_Safety!D27+LoU_Safety!E27</f>
        <v>1533201755.2210803</v>
      </c>
      <c r="C21" s="6">
        <f>LoU_Safety!F27</f>
        <v>591380765.53602219</v>
      </c>
      <c r="D21" s="5">
        <f>LoU_Safety!G27</f>
        <v>71858131.235987186</v>
      </c>
      <c r="E21" s="6">
        <f t="shared" si="0"/>
        <v>-7713.5488816148791</v>
      </c>
      <c r="F21" s="5">
        <f t="shared" si="1"/>
        <v>453.78662324288888</v>
      </c>
      <c r="G21" s="6">
        <f t="shared" si="2"/>
        <v>57.381128638483034</v>
      </c>
      <c r="H21" s="5">
        <f t="shared" si="3"/>
        <v>-6.9667398591866867</v>
      </c>
      <c r="I21" s="139">
        <f t="shared" si="5"/>
        <v>4993390.5408183942</v>
      </c>
      <c r="J21" s="346">
        <f t="shared" si="6"/>
        <v>-547661.97059465642</v>
      </c>
      <c r="K21" s="139">
        <f>I21*NPV!C25</f>
        <v>1290387.0042184941</v>
      </c>
      <c r="L21" s="346">
        <f>J21*NPV!D25</f>
        <v>-303227.15460817079</v>
      </c>
      <c r="M21" s="18"/>
    </row>
    <row r="22" spans="1:13" x14ac:dyDescent="0.2">
      <c r="A22" s="19">
        <f t="shared" si="4"/>
        <v>2040</v>
      </c>
      <c r="B22" s="335">
        <f>LoU_Safety!D28+LoU_Safety!E28</f>
        <v>1701446416.2629504</v>
      </c>
      <c r="C22" s="6">
        <f>LoU_Safety!F28</f>
        <v>656449131.20919621</v>
      </c>
      <c r="D22" s="5">
        <f>LoU_Safety!G28</f>
        <v>79768227.057697728</v>
      </c>
      <c r="E22" s="6">
        <f t="shared" si="0"/>
        <v>-8554.1427138301624</v>
      </c>
      <c r="F22" s="5">
        <f t="shared" si="1"/>
        <v>503.84110580066022</v>
      </c>
      <c r="G22" s="6">
        <f t="shared" si="2"/>
        <v>63.719090881493187</v>
      </c>
      <c r="H22" s="5">
        <f t="shared" si="3"/>
        <v>-7.7279677813611123</v>
      </c>
      <c r="I22" s="139">
        <f t="shared" si="5"/>
        <v>5550761.9577332353</v>
      </c>
      <c r="J22" s="346">
        <f t="shared" si="6"/>
        <v>-615898.27539577172</v>
      </c>
      <c r="K22" s="139">
        <f>I22*NPV!C26</f>
        <v>1340581.6541818506</v>
      </c>
      <c r="L22" s="346">
        <f>J22*NPV!D26</f>
        <v>-331075.67197263782</v>
      </c>
      <c r="M22" s="18"/>
    </row>
    <row r="23" spans="1:13" x14ac:dyDescent="0.2">
      <c r="A23" s="19">
        <f t="shared" si="4"/>
        <v>2041</v>
      </c>
      <c r="B23" s="335">
        <f>LoU_Safety!D29+LoU_Safety!E29</f>
        <v>1898165486.5859976</v>
      </c>
      <c r="C23" s="6">
        <f>LoU_Safety!F29</f>
        <v>732531292.94919324</v>
      </c>
      <c r="D23" s="5">
        <f>LoU_Safety!G29</f>
        <v>89017254.069858715</v>
      </c>
      <c r="E23" s="6">
        <f t="shared" si="0"/>
        <v>-9536.9562174844395</v>
      </c>
      <c r="F23" s="5">
        <f t="shared" si="1"/>
        <v>562.36903960633038</v>
      </c>
      <c r="G23" s="6">
        <f t="shared" si="2"/>
        <v>71.130039334800927</v>
      </c>
      <c r="H23" s="5">
        <f t="shared" si="3"/>
        <v>-8.6180034318971295</v>
      </c>
      <c r="I23" s="139">
        <f t="shared" si="5"/>
        <v>6202539.082472669</v>
      </c>
      <c r="J23" s="346">
        <f t="shared" si="6"/>
        <v>-696197.80387636414</v>
      </c>
      <c r="K23" s="139">
        <f>I23*NPV!C27</f>
        <v>1399994.7284536948</v>
      </c>
      <c r="L23" s="346">
        <f>J23*NPV!D27</f>
        <v>-363340.41297399951</v>
      </c>
      <c r="M23" s="18"/>
    </row>
    <row r="24" spans="1:13" x14ac:dyDescent="0.2">
      <c r="A24" s="19">
        <f t="shared" si="4"/>
        <v>2042</v>
      </c>
      <c r="B24" s="335">
        <f>LoU_Safety!D30+LoU_Safety!E30</f>
        <v>2128901991.6595485</v>
      </c>
      <c r="C24" s="6">
        <f>LoU_Safety!F30</f>
        <v>821771280.34403324</v>
      </c>
      <c r="D24" s="5">
        <f>LoU_Safety!G30</f>
        <v>99865859.002297863</v>
      </c>
      <c r="E24" s="6">
        <f t="shared" si="0"/>
        <v>-10689.674592879805</v>
      </c>
      <c r="F24" s="5">
        <f t="shared" si="1"/>
        <v>631.01993699748232</v>
      </c>
      <c r="G24" s="6">
        <f t="shared" si="2"/>
        <v>79.822850785342553</v>
      </c>
      <c r="H24" s="5">
        <f t="shared" si="3"/>
        <v>-9.6619212664990037</v>
      </c>
      <c r="I24" s="139">
        <f t="shared" si="5"/>
        <v>6967100.0098644923</v>
      </c>
      <c r="J24" s="346">
        <f t="shared" si="6"/>
        <v>-801725.59446598531</v>
      </c>
      <c r="K24" s="139">
        <f>I24*NPV!C28</f>
        <v>1469688.0330353111</v>
      </c>
      <c r="L24" s="346">
        <f>J24*NPV!D28</f>
        <v>-406227.74322080641</v>
      </c>
      <c r="M24" s="18"/>
    </row>
    <row r="25" spans="1:13" ht="13.5" thickBot="1" x14ac:dyDescent="0.25">
      <c r="A25" s="19">
        <f t="shared" si="4"/>
        <v>2043</v>
      </c>
      <c r="B25" s="335">
        <f>LoU_Safety!D31+LoU_Safety!E31</f>
        <v>2400430754.2759895</v>
      </c>
      <c r="C25" s="6">
        <f>LoU_Safety!F31</f>
        <v>926789579.41717565</v>
      </c>
      <c r="D25" s="5">
        <f>LoU_Safety!G31</f>
        <v>112632610.73971756</v>
      </c>
      <c r="E25" s="6">
        <f t="shared" si="0"/>
        <v>-12046.135374888599</v>
      </c>
      <c r="F25" s="5">
        <f t="shared" si="1"/>
        <v>711.80987280805061</v>
      </c>
      <c r="G25" s="6">
        <f t="shared" si="2"/>
        <v>90.052819617765067</v>
      </c>
      <c r="H25" s="5">
        <f t="shared" si="3"/>
        <v>-10.890367904105183</v>
      </c>
      <c r="I25" s="441">
        <f t="shared" si="5"/>
        <v>7866906.9042906985</v>
      </c>
      <c r="J25" s="347">
        <f t="shared" si="6"/>
        <v>-915506.2884915336</v>
      </c>
      <c r="K25" s="441">
        <f>I25*NPV!C29</f>
        <v>1550934.1056327606</v>
      </c>
      <c r="L25" s="347">
        <f>J25*NPV!D29</f>
        <v>-450368.42913995695</v>
      </c>
      <c r="M25" s="18"/>
    </row>
    <row r="26" spans="1:13" ht="13.5" thickTop="1" x14ac:dyDescent="0.2">
      <c r="A26" s="541" t="s">
        <v>0</v>
      </c>
      <c r="B26" s="542"/>
      <c r="C26" s="542"/>
      <c r="D26" s="542"/>
      <c r="E26" s="542"/>
      <c r="F26" s="542"/>
      <c r="G26" s="542"/>
      <c r="H26" s="543"/>
      <c r="I26" s="249">
        <f>SUM(I6:I25)</f>
        <v>71308611.341010839</v>
      </c>
      <c r="J26" s="348">
        <f>SUM(J6:J25)</f>
        <v>-7614927.1235789023</v>
      </c>
      <c r="K26" s="249">
        <f>SUM(K6:K25)</f>
        <v>23424349.787049968</v>
      </c>
      <c r="L26" s="348">
        <f>SUM(L6:L25)</f>
        <v>-4556882.0494210506</v>
      </c>
      <c r="M26" s="18"/>
    </row>
    <row r="27" spans="1:13" x14ac:dyDescent="0.2">
      <c r="A27" s="616" t="s">
        <v>100</v>
      </c>
      <c r="B27" s="616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18"/>
    </row>
    <row r="28" spans="1:13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x14ac:dyDescent="0.2">
      <c r="A29" s="572" t="s">
        <v>13</v>
      </c>
      <c r="B29" s="572"/>
      <c r="C29" s="572"/>
      <c r="D29" s="572"/>
      <c r="E29" s="572"/>
      <c r="F29" s="18"/>
      <c r="G29" s="18"/>
      <c r="H29" s="18"/>
      <c r="I29" s="18"/>
      <c r="J29" s="18"/>
      <c r="K29" s="18"/>
      <c r="L29" s="18"/>
      <c r="M29" s="18"/>
    </row>
    <row r="30" spans="1:13" x14ac:dyDescent="0.2">
      <c r="A30" s="503" t="s">
        <v>1</v>
      </c>
      <c r="B30" s="572" t="s">
        <v>160</v>
      </c>
      <c r="C30" s="572"/>
      <c r="D30" s="572"/>
      <c r="E30" s="572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576"/>
      <c r="B31" s="162" t="s">
        <v>154</v>
      </c>
      <c r="C31" s="159" t="s">
        <v>155</v>
      </c>
      <c r="D31" s="159" t="s">
        <v>156</v>
      </c>
      <c r="E31" s="159" t="s">
        <v>65</v>
      </c>
      <c r="F31" s="18"/>
      <c r="G31" s="18"/>
      <c r="H31" s="18"/>
      <c r="I31" s="18"/>
      <c r="J31" s="18"/>
      <c r="K31" s="18"/>
      <c r="L31" s="18"/>
      <c r="M31" s="18"/>
    </row>
    <row r="32" spans="1:13" x14ac:dyDescent="0.2">
      <c r="A32" s="358">
        <v>2020</v>
      </c>
      <c r="B32" s="442">
        <v>15700</v>
      </c>
      <c r="C32" s="443">
        <v>40400</v>
      </c>
      <c r="D32" s="442">
        <v>729300</v>
      </c>
      <c r="E32" s="443">
        <v>50</v>
      </c>
      <c r="F32" s="18"/>
      <c r="G32" s="18"/>
      <c r="H32" s="18"/>
      <c r="J32" s="18"/>
      <c r="K32" s="18"/>
      <c r="L32" s="18"/>
      <c r="M32" s="18"/>
    </row>
    <row r="33" spans="1:13" x14ac:dyDescent="0.2">
      <c r="A33" s="48">
        <v>2021</v>
      </c>
      <c r="B33" s="444">
        <v>15900</v>
      </c>
      <c r="C33" s="445">
        <v>41300</v>
      </c>
      <c r="D33" s="444">
        <v>742300</v>
      </c>
      <c r="E33" s="445">
        <v>52</v>
      </c>
      <c r="F33" s="18"/>
      <c r="G33" s="18"/>
      <c r="H33" s="18"/>
      <c r="I33" s="18"/>
      <c r="J33" s="18"/>
      <c r="K33" s="18"/>
      <c r="L33" s="18"/>
      <c r="M33" s="18"/>
    </row>
    <row r="34" spans="1:13" x14ac:dyDescent="0.2">
      <c r="A34" s="48">
        <v>2022</v>
      </c>
      <c r="B34" s="444">
        <v>16100</v>
      </c>
      <c r="C34" s="445">
        <v>42100</v>
      </c>
      <c r="D34" s="444">
        <v>755500</v>
      </c>
      <c r="E34" s="445">
        <v>53</v>
      </c>
      <c r="F34" s="18"/>
      <c r="G34" s="18"/>
      <c r="H34" s="18"/>
      <c r="I34" s="18"/>
      <c r="J34" s="18"/>
      <c r="K34" s="18"/>
      <c r="L34" s="18"/>
      <c r="M34" s="18"/>
    </row>
    <row r="35" spans="1:13" x14ac:dyDescent="0.2">
      <c r="A35" s="48">
        <v>2023</v>
      </c>
      <c r="B35" s="444">
        <v>16400</v>
      </c>
      <c r="C35" s="445">
        <v>43000</v>
      </c>
      <c r="D35" s="444">
        <v>769000</v>
      </c>
      <c r="E35" s="445">
        <v>54</v>
      </c>
      <c r="F35" s="18"/>
      <c r="G35" s="18"/>
      <c r="H35" s="18"/>
      <c r="I35" s="18"/>
      <c r="J35" s="18"/>
      <c r="K35" s="18"/>
      <c r="L35" s="18"/>
      <c r="M35" s="18"/>
    </row>
    <row r="36" spans="1:13" x14ac:dyDescent="0.2">
      <c r="A36" s="48">
        <v>2024</v>
      </c>
      <c r="B36" s="444">
        <v>16600</v>
      </c>
      <c r="C36" s="445">
        <v>43900</v>
      </c>
      <c r="D36" s="444">
        <v>782700</v>
      </c>
      <c r="E36" s="445">
        <v>55</v>
      </c>
      <c r="F36" s="18"/>
      <c r="G36" s="18"/>
      <c r="H36" s="18"/>
      <c r="I36" s="18"/>
      <c r="J36" s="18"/>
      <c r="K36" s="18"/>
      <c r="L36" s="18"/>
      <c r="M36" s="18"/>
    </row>
    <row r="37" spans="1:13" x14ac:dyDescent="0.2">
      <c r="A37" s="48">
        <v>2025</v>
      </c>
      <c r="B37" s="444">
        <v>16800</v>
      </c>
      <c r="C37" s="445">
        <v>44900</v>
      </c>
      <c r="D37" s="444">
        <v>796600</v>
      </c>
      <c r="E37" s="445">
        <v>56</v>
      </c>
      <c r="F37" s="18"/>
      <c r="G37" s="18"/>
      <c r="H37" s="18"/>
      <c r="I37" s="18"/>
      <c r="J37" s="18"/>
      <c r="K37" s="18"/>
      <c r="L37" s="18"/>
      <c r="M37" s="18"/>
    </row>
    <row r="38" spans="1:13" x14ac:dyDescent="0.2">
      <c r="A38" s="48">
        <v>2026</v>
      </c>
      <c r="B38" s="444">
        <v>17000</v>
      </c>
      <c r="C38" s="445">
        <v>45500</v>
      </c>
      <c r="D38" s="444">
        <v>807500</v>
      </c>
      <c r="E38" s="445">
        <v>57</v>
      </c>
      <c r="F38" s="18"/>
      <c r="G38" s="18"/>
      <c r="H38" s="18"/>
      <c r="I38" s="18"/>
      <c r="J38" s="18"/>
      <c r="K38" s="18"/>
      <c r="L38" s="18"/>
      <c r="M38" s="18"/>
    </row>
    <row r="39" spans="1:13" x14ac:dyDescent="0.2">
      <c r="A39" s="48">
        <v>2027</v>
      </c>
      <c r="B39" s="444">
        <v>17300</v>
      </c>
      <c r="C39" s="445">
        <v>46200</v>
      </c>
      <c r="D39" s="444">
        <v>818600</v>
      </c>
      <c r="E39" s="445">
        <v>58</v>
      </c>
      <c r="F39" s="18"/>
      <c r="G39" s="18"/>
      <c r="H39" s="18"/>
      <c r="I39" s="18"/>
      <c r="J39" s="18"/>
      <c r="K39" s="18"/>
      <c r="L39" s="18"/>
      <c r="M39" s="18"/>
    </row>
    <row r="40" spans="1:13" x14ac:dyDescent="0.2">
      <c r="A40" s="48">
        <v>2028</v>
      </c>
      <c r="B40" s="444">
        <v>17500</v>
      </c>
      <c r="C40" s="445">
        <v>46900</v>
      </c>
      <c r="D40" s="444">
        <v>829800</v>
      </c>
      <c r="E40" s="445">
        <v>59</v>
      </c>
      <c r="F40" s="18"/>
      <c r="G40" s="18"/>
      <c r="H40" s="18"/>
      <c r="I40" s="18"/>
      <c r="J40" s="18"/>
      <c r="K40" s="18"/>
      <c r="L40" s="18"/>
      <c r="M40" s="18"/>
    </row>
    <row r="41" spans="1:13" x14ac:dyDescent="0.2">
      <c r="A41" s="48">
        <v>2029</v>
      </c>
      <c r="B41" s="444">
        <v>17700</v>
      </c>
      <c r="C41" s="445">
        <v>47600</v>
      </c>
      <c r="D41" s="444">
        <v>841200</v>
      </c>
      <c r="E41" s="445">
        <v>60</v>
      </c>
      <c r="F41" s="18"/>
      <c r="G41" s="18"/>
      <c r="H41" s="18"/>
      <c r="I41" s="18"/>
      <c r="J41" s="18"/>
      <c r="K41" s="18"/>
      <c r="L41" s="18"/>
      <c r="M41" s="18"/>
    </row>
    <row r="42" spans="1:13" x14ac:dyDescent="0.2">
      <c r="A42" s="48">
        <v>2030</v>
      </c>
      <c r="B42" s="444">
        <v>18000</v>
      </c>
      <c r="C42" s="445">
        <v>48200</v>
      </c>
      <c r="D42" s="444">
        <v>852700</v>
      </c>
      <c r="E42" s="445">
        <v>61</v>
      </c>
      <c r="F42" s="18"/>
      <c r="G42" s="18"/>
      <c r="H42" s="18"/>
      <c r="I42" s="18"/>
      <c r="J42" s="18"/>
      <c r="K42" s="18"/>
      <c r="L42" s="18"/>
      <c r="M42" s="18"/>
    </row>
    <row r="43" spans="1:13" x14ac:dyDescent="0.2">
      <c r="A43" s="48">
        <v>2031</v>
      </c>
      <c r="B43" s="444">
        <v>18000</v>
      </c>
      <c r="C43" s="445">
        <v>48200</v>
      </c>
      <c r="D43" s="444">
        <v>852700</v>
      </c>
      <c r="E43" s="445">
        <v>62</v>
      </c>
      <c r="F43" s="18"/>
      <c r="G43" s="18"/>
      <c r="H43" s="18"/>
      <c r="I43" s="18"/>
      <c r="J43" s="18"/>
      <c r="K43" s="18"/>
      <c r="L43" s="18"/>
      <c r="M43" s="18"/>
    </row>
    <row r="44" spans="1:13" x14ac:dyDescent="0.2">
      <c r="A44" s="48">
        <v>2032</v>
      </c>
      <c r="B44" s="444">
        <v>18000</v>
      </c>
      <c r="C44" s="445">
        <v>48200</v>
      </c>
      <c r="D44" s="444">
        <v>852700</v>
      </c>
      <c r="E44" s="445">
        <v>63</v>
      </c>
      <c r="F44" s="18"/>
      <c r="G44" s="18"/>
      <c r="H44" s="18"/>
      <c r="I44" s="18"/>
      <c r="J44" s="18"/>
      <c r="K44" s="18"/>
      <c r="L44" s="18"/>
      <c r="M44" s="18"/>
    </row>
    <row r="45" spans="1:13" x14ac:dyDescent="0.2">
      <c r="A45" s="48">
        <v>2033</v>
      </c>
      <c r="B45" s="444">
        <v>18000</v>
      </c>
      <c r="C45" s="445">
        <v>48200</v>
      </c>
      <c r="D45" s="444">
        <v>852700</v>
      </c>
      <c r="E45" s="445">
        <v>64</v>
      </c>
      <c r="F45" s="18"/>
      <c r="G45" s="18"/>
      <c r="H45" s="18"/>
      <c r="I45" s="18"/>
      <c r="J45" s="18"/>
      <c r="K45" s="18"/>
      <c r="L45" s="18"/>
      <c r="M45" s="18"/>
    </row>
    <row r="46" spans="1:13" x14ac:dyDescent="0.2">
      <c r="A46" s="48">
        <v>2034</v>
      </c>
      <c r="B46" s="444">
        <v>18000</v>
      </c>
      <c r="C46" s="445">
        <v>48200</v>
      </c>
      <c r="D46" s="444">
        <v>852700</v>
      </c>
      <c r="E46" s="445">
        <v>66</v>
      </c>
      <c r="F46" s="18"/>
      <c r="G46" s="18"/>
      <c r="H46" s="18"/>
      <c r="I46" s="18"/>
      <c r="J46" s="18"/>
      <c r="K46" s="18"/>
      <c r="L46" s="18"/>
      <c r="M46" s="18"/>
    </row>
    <row r="47" spans="1:13" x14ac:dyDescent="0.2">
      <c r="A47" s="48">
        <v>2035</v>
      </c>
      <c r="B47" s="444">
        <v>18000</v>
      </c>
      <c r="C47" s="445">
        <v>48200</v>
      </c>
      <c r="D47" s="444">
        <v>852700</v>
      </c>
      <c r="E47" s="445">
        <v>67</v>
      </c>
      <c r="F47" s="18"/>
      <c r="G47" s="18"/>
      <c r="H47" s="18"/>
      <c r="I47" s="18"/>
      <c r="J47" s="18"/>
      <c r="K47" s="18"/>
      <c r="L47" s="18"/>
      <c r="M47" s="18"/>
    </row>
    <row r="48" spans="1:13" x14ac:dyDescent="0.2">
      <c r="A48" s="48">
        <v>2036</v>
      </c>
      <c r="B48" s="444">
        <v>18000</v>
      </c>
      <c r="C48" s="445">
        <v>48200</v>
      </c>
      <c r="D48" s="444">
        <v>852700</v>
      </c>
      <c r="E48" s="445">
        <v>68</v>
      </c>
      <c r="F48" s="18"/>
      <c r="G48" s="18"/>
      <c r="H48" s="18"/>
      <c r="I48" s="18"/>
      <c r="J48" s="18"/>
      <c r="K48" s="18"/>
      <c r="L48" s="18"/>
      <c r="M48" s="18"/>
    </row>
    <row r="49" spans="1:13" x14ac:dyDescent="0.2">
      <c r="A49" s="48">
        <v>2037</v>
      </c>
      <c r="B49" s="444">
        <v>18000</v>
      </c>
      <c r="C49" s="445">
        <v>48200</v>
      </c>
      <c r="D49" s="444">
        <v>852700</v>
      </c>
      <c r="E49" s="445">
        <v>69</v>
      </c>
      <c r="F49" s="18"/>
      <c r="G49" s="18"/>
      <c r="H49" s="18"/>
      <c r="I49" s="18"/>
      <c r="J49" s="18"/>
      <c r="K49" s="18"/>
      <c r="L49" s="18"/>
      <c r="M49" s="18"/>
    </row>
    <row r="50" spans="1:13" x14ac:dyDescent="0.2">
      <c r="A50" s="48">
        <v>2038</v>
      </c>
      <c r="B50" s="444">
        <v>18000</v>
      </c>
      <c r="C50" s="445">
        <v>48200</v>
      </c>
      <c r="D50" s="444">
        <v>852700</v>
      </c>
      <c r="E50" s="445">
        <v>70</v>
      </c>
      <c r="F50" s="18"/>
      <c r="G50" s="18"/>
      <c r="H50" s="18"/>
      <c r="I50" s="18"/>
      <c r="J50" s="18"/>
      <c r="K50" s="18"/>
      <c r="L50" s="18"/>
      <c r="M50" s="18"/>
    </row>
    <row r="51" spans="1:13" x14ac:dyDescent="0.2">
      <c r="A51" s="48">
        <v>2039</v>
      </c>
      <c r="B51" s="444">
        <v>18000</v>
      </c>
      <c r="C51" s="445">
        <v>48200</v>
      </c>
      <c r="D51" s="444">
        <v>852700</v>
      </c>
      <c r="E51" s="445">
        <v>71</v>
      </c>
      <c r="F51" s="18"/>
      <c r="G51" s="18"/>
      <c r="H51" s="18"/>
      <c r="I51" s="18"/>
      <c r="J51" s="18"/>
      <c r="K51" s="18"/>
      <c r="L51" s="18"/>
      <c r="M51" s="18"/>
    </row>
    <row r="52" spans="1:13" x14ac:dyDescent="0.2">
      <c r="A52" s="48">
        <v>2040</v>
      </c>
      <c r="B52" s="444">
        <v>18000</v>
      </c>
      <c r="C52" s="445">
        <v>48200</v>
      </c>
      <c r="D52" s="444">
        <v>852700</v>
      </c>
      <c r="E52" s="445">
        <v>72</v>
      </c>
      <c r="F52" s="18"/>
      <c r="G52" s="18"/>
      <c r="H52" s="18"/>
      <c r="I52" s="18"/>
      <c r="J52" s="18"/>
      <c r="K52" s="18"/>
      <c r="L52" s="18"/>
      <c r="M52" s="18"/>
    </row>
    <row r="53" spans="1:13" x14ac:dyDescent="0.2">
      <c r="A53" s="48">
        <v>2041</v>
      </c>
      <c r="B53" s="444">
        <v>18000</v>
      </c>
      <c r="C53" s="445">
        <v>48200</v>
      </c>
      <c r="D53" s="444">
        <v>852700</v>
      </c>
      <c r="E53" s="445">
        <v>73</v>
      </c>
      <c r="F53" s="18"/>
      <c r="G53" s="18"/>
      <c r="H53" s="18"/>
      <c r="I53" s="18"/>
      <c r="J53" s="18"/>
      <c r="K53" s="18"/>
      <c r="L53" s="18"/>
      <c r="M53" s="18"/>
    </row>
    <row r="54" spans="1:13" x14ac:dyDescent="0.2">
      <c r="A54" s="48">
        <v>2042</v>
      </c>
      <c r="B54" s="444">
        <v>18000</v>
      </c>
      <c r="C54" s="445">
        <v>48200</v>
      </c>
      <c r="D54" s="444">
        <v>852700</v>
      </c>
      <c r="E54" s="445">
        <v>75</v>
      </c>
      <c r="F54" s="18"/>
      <c r="G54" s="18"/>
      <c r="H54" s="18"/>
      <c r="I54" s="18"/>
      <c r="J54" s="18"/>
      <c r="K54" s="18"/>
      <c r="L54" s="18"/>
      <c r="M54" s="18"/>
    </row>
    <row r="55" spans="1:13" x14ac:dyDescent="0.2">
      <c r="A55" s="48">
        <v>2043</v>
      </c>
      <c r="B55" s="444">
        <v>18000</v>
      </c>
      <c r="C55" s="445">
        <v>48200</v>
      </c>
      <c r="D55" s="444">
        <v>852700</v>
      </c>
      <c r="E55" s="445">
        <v>76</v>
      </c>
      <c r="F55" s="18"/>
      <c r="G55" s="18"/>
      <c r="H55" s="18"/>
      <c r="I55" s="18"/>
      <c r="J55" s="18"/>
      <c r="K55" s="18"/>
      <c r="L55" s="18"/>
      <c r="M55" s="18"/>
    </row>
    <row r="56" spans="1:13" x14ac:dyDescent="0.2">
      <c r="A56" s="48">
        <v>2044</v>
      </c>
      <c r="B56" s="444">
        <v>18000</v>
      </c>
      <c r="C56" s="445">
        <v>48200</v>
      </c>
      <c r="D56" s="444">
        <v>852700</v>
      </c>
      <c r="E56" s="445">
        <v>77</v>
      </c>
      <c r="F56" s="18"/>
      <c r="G56" s="18"/>
      <c r="H56" s="18"/>
      <c r="I56" s="18"/>
      <c r="J56" s="18"/>
      <c r="K56" s="18"/>
      <c r="L56" s="18"/>
      <c r="M56" s="18"/>
    </row>
    <row r="57" spans="1:13" x14ac:dyDescent="0.2">
      <c r="A57" s="48">
        <v>2045</v>
      </c>
      <c r="B57" s="444">
        <v>18000</v>
      </c>
      <c r="C57" s="445">
        <v>48200</v>
      </c>
      <c r="D57" s="444">
        <v>852700</v>
      </c>
      <c r="E57" s="445">
        <v>78</v>
      </c>
      <c r="F57" s="18"/>
      <c r="G57" s="18"/>
      <c r="H57" s="18"/>
      <c r="I57" s="18"/>
      <c r="J57" s="18"/>
      <c r="K57" s="18"/>
      <c r="L57" s="18"/>
      <c r="M57" s="18"/>
    </row>
    <row r="58" spans="1:13" x14ac:dyDescent="0.2">
      <c r="A58" s="48">
        <v>2046</v>
      </c>
      <c r="B58" s="444">
        <v>18000</v>
      </c>
      <c r="C58" s="445">
        <v>48200</v>
      </c>
      <c r="D58" s="444">
        <v>852700</v>
      </c>
      <c r="E58" s="445">
        <v>79</v>
      </c>
      <c r="F58" s="18"/>
      <c r="G58" s="18"/>
      <c r="H58" s="18"/>
      <c r="I58" s="18"/>
      <c r="J58" s="18"/>
      <c r="K58" s="18"/>
      <c r="L58" s="18"/>
      <c r="M58" s="18"/>
    </row>
    <row r="59" spans="1:13" x14ac:dyDescent="0.2">
      <c r="A59" s="48">
        <v>2047</v>
      </c>
      <c r="B59" s="444">
        <v>18000</v>
      </c>
      <c r="C59" s="445">
        <v>48200</v>
      </c>
      <c r="D59" s="444">
        <v>852700</v>
      </c>
      <c r="E59" s="445">
        <v>80</v>
      </c>
      <c r="F59" s="18"/>
      <c r="G59" s="18"/>
      <c r="H59" s="18"/>
      <c r="I59" s="18"/>
      <c r="J59" s="18"/>
      <c r="K59" s="18"/>
      <c r="L59" s="18"/>
      <c r="M59" s="18"/>
    </row>
    <row r="60" spans="1:13" x14ac:dyDescent="0.2">
      <c r="A60" s="48">
        <v>2048</v>
      </c>
      <c r="B60" s="444">
        <v>18000</v>
      </c>
      <c r="C60" s="445">
        <v>48200</v>
      </c>
      <c r="D60" s="444">
        <v>852700</v>
      </c>
      <c r="E60" s="445">
        <v>81</v>
      </c>
      <c r="F60" s="18"/>
      <c r="G60" s="18"/>
      <c r="H60" s="18"/>
      <c r="I60" s="18"/>
      <c r="J60" s="18"/>
      <c r="K60" s="18"/>
      <c r="L60" s="18"/>
      <c r="M60" s="18"/>
    </row>
    <row r="61" spans="1:13" x14ac:dyDescent="0.2">
      <c r="A61" s="48">
        <v>2049</v>
      </c>
      <c r="B61" s="444">
        <v>18000</v>
      </c>
      <c r="C61" s="445">
        <v>48200</v>
      </c>
      <c r="D61" s="444">
        <v>852700</v>
      </c>
      <c r="E61" s="445">
        <v>83</v>
      </c>
      <c r="F61" s="18"/>
      <c r="G61" s="18"/>
      <c r="H61" s="18"/>
      <c r="I61" s="18"/>
      <c r="J61" s="18"/>
      <c r="K61" s="18"/>
      <c r="L61" s="18"/>
      <c r="M61" s="18"/>
    </row>
    <row r="62" spans="1:13" x14ac:dyDescent="0.2">
      <c r="A62" s="359">
        <v>2050</v>
      </c>
      <c r="B62" s="446">
        <v>18000</v>
      </c>
      <c r="C62" s="447">
        <v>48200</v>
      </c>
      <c r="D62" s="446">
        <v>852700</v>
      </c>
      <c r="E62" s="447">
        <v>84</v>
      </c>
      <c r="F62" s="18"/>
      <c r="G62" s="18"/>
      <c r="H62" s="18"/>
      <c r="I62" s="18"/>
      <c r="J62" s="18"/>
      <c r="K62" s="18"/>
      <c r="L62" s="18"/>
      <c r="M62" s="18"/>
    </row>
    <row r="63" spans="1:13" x14ac:dyDescent="0.2">
      <c r="A63" s="577" t="s">
        <v>159</v>
      </c>
      <c r="B63" s="578"/>
      <c r="C63" s="578"/>
      <c r="D63" s="578"/>
      <c r="E63" s="579"/>
      <c r="F63" s="18"/>
      <c r="G63" s="18"/>
      <c r="H63" s="18"/>
      <c r="I63" s="18"/>
      <c r="J63" s="18"/>
      <c r="K63" s="18"/>
      <c r="L63" s="18"/>
      <c r="M63" s="18"/>
    </row>
    <row r="64" spans="1:13" x14ac:dyDescent="0.2">
      <c r="A64" s="617" t="s">
        <v>157</v>
      </c>
      <c r="B64" s="618"/>
      <c r="C64" s="618"/>
      <c r="D64" s="618"/>
      <c r="E64" s="619"/>
      <c r="F64" s="18"/>
      <c r="G64" s="18"/>
      <c r="H64" s="18"/>
      <c r="I64" s="18"/>
      <c r="J64" s="18"/>
      <c r="K64" s="18"/>
      <c r="L64" s="18"/>
      <c r="M64" s="18"/>
    </row>
    <row r="65" spans="1:13" x14ac:dyDescent="0.2">
      <c r="A65" s="620" t="s">
        <v>158</v>
      </c>
      <c r="B65" s="621"/>
      <c r="C65" s="621"/>
      <c r="D65" s="621"/>
      <c r="E65" s="622"/>
      <c r="F65" s="18"/>
      <c r="G65" s="18"/>
      <c r="H65" s="18"/>
      <c r="I65" s="18"/>
      <c r="J65" s="18"/>
      <c r="K65" s="18"/>
      <c r="L65" s="18"/>
      <c r="M65" s="18"/>
    </row>
    <row r="66" spans="1: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2">
      <c r="A67" s="237"/>
      <c r="B67" s="99" t="s">
        <v>116</v>
      </c>
      <c r="C67" s="99" t="s">
        <v>69</v>
      </c>
      <c r="D67" s="99" t="s">
        <v>42</v>
      </c>
      <c r="E67" s="18"/>
      <c r="F67" s="18"/>
      <c r="G67" s="18"/>
      <c r="H67" s="18"/>
      <c r="I67" s="18"/>
      <c r="J67" s="18"/>
      <c r="K67" s="18"/>
      <c r="L67" s="18"/>
      <c r="M67" s="18"/>
    </row>
    <row r="68" spans="1:13" x14ac:dyDescent="0.2">
      <c r="A68" s="238"/>
      <c r="B68" s="548" t="s">
        <v>65</v>
      </c>
      <c r="C68" s="562"/>
      <c r="D68" s="549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2">
      <c r="A69" s="15" t="s">
        <v>66</v>
      </c>
      <c r="B69" s="73">
        <v>19.27</v>
      </c>
      <c r="C69" s="73">
        <v>26.88</v>
      </c>
      <c r="D69" s="73">
        <v>71.61</v>
      </c>
      <c r="E69" s="163" t="s">
        <v>161</v>
      </c>
      <c r="F69" s="18"/>
      <c r="G69" s="18"/>
      <c r="H69" s="18"/>
      <c r="I69" s="18"/>
      <c r="J69" s="18"/>
      <c r="K69" s="18"/>
      <c r="L69" s="18"/>
      <c r="M69" s="18"/>
    </row>
    <row r="70" spans="1:13" x14ac:dyDescent="0.2">
      <c r="A70" s="15" t="s">
        <v>163</v>
      </c>
      <c r="B70" s="165">
        <f>B69/1.10231</f>
        <v>17.481470729649555</v>
      </c>
      <c r="C70" s="165">
        <f t="shared" ref="C70:D70" si="7">C69/1.10231</f>
        <v>24.385154811259991</v>
      </c>
      <c r="D70" s="165">
        <f t="shared" si="7"/>
        <v>64.963576489372329</v>
      </c>
      <c r="F70" s="18"/>
      <c r="G70" s="18"/>
      <c r="H70" s="18"/>
      <c r="I70" s="18"/>
      <c r="J70" s="18"/>
      <c r="K70" s="18"/>
      <c r="L70" s="18"/>
      <c r="M70" s="18"/>
    </row>
    <row r="71" spans="1:13" x14ac:dyDescent="0.2">
      <c r="A71" s="15"/>
      <c r="B71" s="239" t="s">
        <v>72</v>
      </c>
      <c r="C71" s="239"/>
      <c r="D71" s="239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2">
      <c r="A72" s="15" t="s">
        <v>71</v>
      </c>
      <c r="B72" s="73">
        <v>0.53</v>
      </c>
      <c r="C72" s="73">
        <v>1.83</v>
      </c>
      <c r="D72" s="73">
        <v>10.17</v>
      </c>
      <c r="E72" s="76" t="s">
        <v>70</v>
      </c>
      <c r="F72" s="18"/>
      <c r="G72" s="18"/>
      <c r="H72" s="18"/>
      <c r="I72" s="18"/>
      <c r="J72" s="18"/>
      <c r="K72" s="18"/>
      <c r="L72" s="18"/>
      <c r="M72" s="18"/>
    </row>
    <row r="73" spans="1:13" x14ac:dyDescent="0.2">
      <c r="A73" s="15" t="s">
        <v>163</v>
      </c>
      <c r="B73" s="165">
        <f>B72*1000/2204.62</f>
        <v>0.24040424200088906</v>
      </c>
      <c r="C73" s="165">
        <f t="shared" ref="C73:D73" si="8">C72*1000/2204.62</f>
        <v>0.83007502426722068</v>
      </c>
      <c r="D73" s="165">
        <f t="shared" si="8"/>
        <v>4.613039888960456</v>
      </c>
      <c r="E73" s="163"/>
      <c r="F73" s="18"/>
      <c r="G73" s="18"/>
      <c r="H73" s="18"/>
      <c r="I73" s="18"/>
      <c r="J73" s="18"/>
      <c r="K73" s="18"/>
      <c r="L73" s="18"/>
      <c r="M73" s="18"/>
    </row>
    <row r="74" spans="1:13" x14ac:dyDescent="0.2">
      <c r="A74" s="15"/>
      <c r="B74" s="239" t="s">
        <v>15</v>
      </c>
      <c r="C74" s="239"/>
      <c r="D74" s="239"/>
      <c r="E74" s="163"/>
      <c r="F74" s="18"/>
      <c r="G74" s="18"/>
      <c r="H74" s="18"/>
      <c r="I74" s="18"/>
      <c r="J74" s="18"/>
      <c r="K74" s="18"/>
      <c r="L74" s="18"/>
      <c r="M74" s="18"/>
    </row>
    <row r="75" spans="1:13" x14ac:dyDescent="0.2">
      <c r="A75" s="15" t="s">
        <v>162</v>
      </c>
      <c r="B75" s="73">
        <v>1.1639999999999999E-2</v>
      </c>
      <c r="C75" s="73">
        <v>1.6209999999999999E-2</v>
      </c>
      <c r="D75" s="73">
        <v>1.7999999999999999E-2</v>
      </c>
      <c r="E75" s="163" t="s">
        <v>166</v>
      </c>
      <c r="F75" s="18"/>
      <c r="G75" s="18"/>
      <c r="H75" s="18"/>
      <c r="I75" s="18"/>
      <c r="J75" s="18"/>
      <c r="K75" s="18"/>
      <c r="L75" s="18"/>
      <c r="M75" s="18"/>
    </row>
    <row r="76" spans="1:13" x14ac:dyDescent="0.2">
      <c r="A76" s="15" t="s">
        <v>163</v>
      </c>
      <c r="B76" s="73">
        <f>B75/1000000*1000000</f>
        <v>1.1639999999999999E-2</v>
      </c>
      <c r="C76" s="73">
        <f t="shared" ref="C76:D76" si="9">C75/1000000*1000000</f>
        <v>1.6209999999999999E-2</v>
      </c>
      <c r="D76" s="73">
        <f t="shared" si="9"/>
        <v>1.7999999999999999E-2</v>
      </c>
      <c r="E76" s="163"/>
      <c r="F76" s="18"/>
      <c r="G76" s="18"/>
      <c r="H76" s="18"/>
      <c r="I76" s="18"/>
      <c r="J76" s="18"/>
      <c r="K76" s="18"/>
      <c r="L76" s="18"/>
      <c r="M76" s="18"/>
    </row>
    <row r="77" spans="1:13" x14ac:dyDescent="0.2">
      <c r="A77" s="15"/>
      <c r="B77" s="239" t="s">
        <v>16</v>
      </c>
      <c r="C77" s="239"/>
      <c r="D77" s="239"/>
      <c r="E77" s="163"/>
      <c r="F77" s="18"/>
      <c r="G77" s="18"/>
      <c r="H77" s="18"/>
      <c r="I77" s="18"/>
      <c r="J77" s="18"/>
      <c r="K77" s="18"/>
      <c r="L77" s="18"/>
      <c r="M77" s="18"/>
    </row>
    <row r="78" spans="1:13" x14ac:dyDescent="0.2">
      <c r="A78" s="15" t="s">
        <v>170</v>
      </c>
      <c r="B78" s="73">
        <v>3.5000000000000003E-2</v>
      </c>
      <c r="C78" s="73">
        <v>0.125</v>
      </c>
      <c r="D78" s="73">
        <v>0.26500000000000001</v>
      </c>
      <c r="E78" s="163" t="s">
        <v>168</v>
      </c>
      <c r="F78" s="18"/>
      <c r="G78" s="18"/>
      <c r="H78" s="18"/>
      <c r="I78" s="39" t="s">
        <v>169</v>
      </c>
      <c r="J78" s="18"/>
      <c r="K78" s="18"/>
      <c r="L78" s="18"/>
      <c r="M78" s="18"/>
    </row>
    <row r="79" spans="1:13" x14ac:dyDescent="0.2">
      <c r="A79" s="15" t="s">
        <v>163</v>
      </c>
      <c r="B79" s="164">
        <f>B78*1.60934/1.10231</f>
        <v>5.1098964900980676E-2</v>
      </c>
      <c r="C79" s="164">
        <f t="shared" ref="C79:D79" si="10">C78*1.60934/1.10231</f>
        <v>0.18249630321778812</v>
      </c>
      <c r="D79" s="164">
        <f t="shared" si="10"/>
        <v>0.38689216282171079</v>
      </c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">
      <c r="A80" s="15"/>
      <c r="B80" s="383" t="s">
        <v>14</v>
      </c>
      <c r="C80" s="239"/>
      <c r="D80" s="239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2">
      <c r="A81" s="15" t="s">
        <v>172</v>
      </c>
      <c r="B81" s="73">
        <v>7.4999999999999997E-2</v>
      </c>
      <c r="C81" s="73">
        <v>0.08</v>
      </c>
      <c r="D81" s="73">
        <v>1.1000000000000001</v>
      </c>
      <c r="E81" s="163" t="s">
        <v>168</v>
      </c>
      <c r="F81" s="18"/>
      <c r="G81" s="18"/>
      <c r="H81" s="18"/>
      <c r="I81" s="39" t="s">
        <v>169</v>
      </c>
      <c r="J81" s="18"/>
      <c r="K81" s="18"/>
      <c r="L81" s="18"/>
      <c r="M81" s="18"/>
    </row>
    <row r="82" spans="1:13" x14ac:dyDescent="0.2">
      <c r="A82" s="15" t="s">
        <v>163</v>
      </c>
      <c r="B82" s="165">
        <f>B81*1.60934/1.10231</f>
        <v>0.10949778193067286</v>
      </c>
      <c r="C82" s="165">
        <f>C81*1.60934/1.10231</f>
        <v>0.1167976340593844</v>
      </c>
      <c r="D82" s="165">
        <f>D81*1.60934/1.10231</f>
        <v>1.6059674683165355</v>
      </c>
      <c r="E82" s="18"/>
      <c r="F82" s="18"/>
      <c r="G82" s="18"/>
      <c r="H82" s="18"/>
      <c r="I82" s="18"/>
      <c r="J82" s="18"/>
      <c r="K82" s="18"/>
      <c r="L82" s="18"/>
      <c r="M82" s="18"/>
    </row>
    <row r="83" spans="1:13" x14ac:dyDescent="0.2">
      <c r="A83" s="406" t="s">
        <v>165</v>
      </c>
      <c r="B83" s="407"/>
      <c r="C83" s="407"/>
      <c r="D83" s="408"/>
      <c r="E83" s="18"/>
      <c r="F83" s="18"/>
      <c r="G83" s="18"/>
      <c r="H83" s="18"/>
      <c r="I83" s="18"/>
      <c r="J83" s="18"/>
      <c r="K83" s="18"/>
      <c r="L83" s="18"/>
      <c r="M83" s="18"/>
    </row>
    <row r="84" spans="1:13" x14ac:dyDescent="0.2">
      <c r="A84" s="409" t="s">
        <v>164</v>
      </c>
      <c r="B84" s="34"/>
      <c r="C84" s="34"/>
      <c r="D84" s="410"/>
      <c r="E84" s="18"/>
      <c r="F84" s="18"/>
      <c r="G84" s="18"/>
      <c r="H84" s="18"/>
      <c r="I84" s="18"/>
      <c r="J84" s="18"/>
      <c r="K84" s="18"/>
      <c r="L84" s="18"/>
      <c r="M84" s="18"/>
    </row>
    <row r="85" spans="1:13" x14ac:dyDescent="0.2">
      <c r="A85" s="409" t="s">
        <v>167</v>
      </c>
      <c r="B85" s="34"/>
      <c r="C85" s="34"/>
      <c r="D85" s="410"/>
      <c r="E85" s="18"/>
      <c r="F85" s="18"/>
      <c r="G85" s="18"/>
      <c r="H85" s="18"/>
      <c r="I85" s="18"/>
      <c r="J85" s="18"/>
      <c r="K85" s="18"/>
      <c r="L85" s="18"/>
      <c r="M85" s="18"/>
    </row>
    <row r="86" spans="1:13" x14ac:dyDescent="0.2">
      <c r="A86" s="409" t="s">
        <v>171</v>
      </c>
      <c r="B86" s="34"/>
      <c r="C86" s="34"/>
      <c r="D86" s="410"/>
      <c r="E86" s="18"/>
      <c r="F86" s="18"/>
      <c r="G86" s="18"/>
      <c r="H86" s="18"/>
      <c r="I86" s="18"/>
      <c r="J86" s="18"/>
      <c r="K86" s="18"/>
      <c r="L86" s="18"/>
      <c r="M86" s="18"/>
    </row>
    <row r="87" spans="1:13" x14ac:dyDescent="0.2">
      <c r="A87" s="411" t="s">
        <v>173</v>
      </c>
      <c r="B87" s="412"/>
      <c r="C87" s="412"/>
      <c r="D87" s="413"/>
      <c r="E87" s="18"/>
      <c r="F87" s="18"/>
      <c r="G87" s="18"/>
      <c r="H87" s="18"/>
      <c r="I87" s="18"/>
      <c r="J87" s="18"/>
      <c r="K87" s="18"/>
      <c r="L87" s="18"/>
      <c r="M87" s="18"/>
    </row>
    <row r="88" spans="1: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8" customFormat="1" x14ac:dyDescent="0.2"/>
    <row r="127" spans="1:13" s="18" customFormat="1" x14ac:dyDescent="0.2"/>
    <row r="128" spans="1:13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pans="11:13" s="18" customFormat="1" x14ac:dyDescent="0.2"/>
    <row r="322" spans="11:13" s="18" customFormat="1" x14ac:dyDescent="0.2"/>
    <row r="328" spans="11:13" x14ac:dyDescent="0.2">
      <c r="K328" s="18"/>
      <c r="L328" s="18"/>
      <c r="M328" s="18"/>
    </row>
    <row r="329" spans="11:13" x14ac:dyDescent="0.2">
      <c r="K329" s="18"/>
      <c r="L329" s="18"/>
      <c r="M329" s="18"/>
    </row>
    <row r="330" spans="11:13" x14ac:dyDescent="0.2">
      <c r="K330" s="18"/>
      <c r="L330" s="18"/>
      <c r="M330" s="18"/>
    </row>
    <row r="331" spans="11:13" x14ac:dyDescent="0.2">
      <c r="K331" s="18"/>
      <c r="L331" s="18"/>
      <c r="M331" s="18"/>
    </row>
  </sheetData>
  <mergeCells count="15">
    <mergeCell ref="A64:E64"/>
    <mergeCell ref="A65:E65"/>
    <mergeCell ref="A63:E63"/>
    <mergeCell ref="B68:D68"/>
    <mergeCell ref="I4:J4"/>
    <mergeCell ref="B30:E30"/>
    <mergeCell ref="A30:A31"/>
    <mergeCell ref="K4:L4"/>
    <mergeCell ref="B3:L3"/>
    <mergeCell ref="A29:E29"/>
    <mergeCell ref="A26:H26"/>
    <mergeCell ref="A27:L27"/>
    <mergeCell ref="C4:D4"/>
    <mergeCell ref="E4:H4"/>
    <mergeCell ref="A3: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306"/>
  <sheetViews>
    <sheetView workbookViewId="0"/>
  </sheetViews>
  <sheetFormatPr defaultRowHeight="12.75" x14ac:dyDescent="0.2"/>
  <cols>
    <col min="1" max="1" width="28.140625" customWidth="1"/>
    <col min="2" max="2" width="14.85546875" customWidth="1"/>
    <col min="3" max="4" width="13.140625" bestFit="1" customWidth="1"/>
    <col min="7" max="7" width="10.28515625" customWidth="1"/>
    <col min="8" max="8" width="10.7109375" customWidth="1"/>
    <col min="17" max="105" width="8.85546875" style="18"/>
  </cols>
  <sheetData>
    <row r="1" spans="1:32" ht="20.25" x14ac:dyDescent="0.3">
      <c r="A1" s="29" t="s">
        <v>427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x14ac:dyDescent="0.2">
      <c r="A2" s="27"/>
      <c r="B2" s="20"/>
      <c r="C2" s="21"/>
      <c r="D2" s="22"/>
      <c r="E2" s="22"/>
      <c r="F2" s="20"/>
      <c r="G2" s="21"/>
      <c r="H2" s="22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x14ac:dyDescent="0.2">
      <c r="A3" s="503" t="s">
        <v>1</v>
      </c>
      <c r="B3" s="490" t="s">
        <v>412</v>
      </c>
      <c r="C3" s="491"/>
      <c r="D3" s="491"/>
      <c r="E3" s="491"/>
      <c r="F3" s="491"/>
      <c r="G3" s="491"/>
      <c r="H3" s="492"/>
      <c r="I3" s="23"/>
      <c r="J3" s="23"/>
      <c r="K3" s="23"/>
      <c r="L3" s="23"/>
      <c r="M3" s="23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32" x14ac:dyDescent="0.2">
      <c r="A4" s="544"/>
      <c r="B4" s="488" t="s">
        <v>74</v>
      </c>
      <c r="C4" s="505" t="s">
        <v>340</v>
      </c>
      <c r="D4" s="505"/>
      <c r="E4" s="488" t="s">
        <v>103</v>
      </c>
      <c r="F4" s="488" t="s">
        <v>105</v>
      </c>
      <c r="G4" s="505" t="s">
        <v>413</v>
      </c>
      <c r="H4" s="505"/>
      <c r="I4" s="23"/>
      <c r="J4" s="23"/>
      <c r="K4" s="23"/>
      <c r="L4" s="23"/>
      <c r="M4" s="2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32" ht="13.5" thickBot="1" x14ac:dyDescent="0.25">
      <c r="A5" s="504"/>
      <c r="B5" s="489"/>
      <c r="C5" s="102" t="s">
        <v>69</v>
      </c>
      <c r="D5" s="106" t="s">
        <v>42</v>
      </c>
      <c r="E5" s="489"/>
      <c r="F5" s="489"/>
      <c r="G5" s="102" t="s">
        <v>76</v>
      </c>
      <c r="H5" s="233" t="s">
        <v>305</v>
      </c>
      <c r="I5" s="23"/>
      <c r="J5" s="23"/>
      <c r="K5" s="23"/>
      <c r="L5" s="23"/>
      <c r="M5" s="2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2" ht="13.5" thickTop="1" x14ac:dyDescent="0.2">
      <c r="A6" s="19">
        <v>2024</v>
      </c>
      <c r="B6" s="345">
        <f>LoU_Safety!D12+LoU_Safety!E12</f>
        <v>587664395.44255424</v>
      </c>
      <c r="C6" s="6">
        <f>LoU_Safety!F12</f>
        <v>225768569.82904115</v>
      </c>
      <c r="D6" s="345">
        <f>LoU_Safety!G12</f>
        <v>27413696.956520963</v>
      </c>
      <c r="E6" s="6">
        <f>($C6/1000000*$C$33)+($D6/1000000*$D$33)-($B6/1000000*$B$33)</f>
        <v>263.05320176196665</v>
      </c>
      <c r="F6" s="360">
        <f t="shared" ref="F6:F25" si="0">E6*8.34/2000</f>
        <v>1.0969318513474009</v>
      </c>
      <c r="G6" s="139"/>
      <c r="H6" s="346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32" x14ac:dyDescent="0.2">
      <c r="A7" s="19">
        <f>A6+1</f>
        <v>2025</v>
      </c>
      <c r="B7" s="345">
        <f>LoU_Safety!D13+LoU_Safety!E13</f>
        <v>606102265.80263209</v>
      </c>
      <c r="C7" s="6">
        <f>LoU_Safety!F13</f>
        <v>232892603.16223279</v>
      </c>
      <c r="D7" s="345">
        <f>LoU_Safety!G13</f>
        <v>28279592.519756269</v>
      </c>
      <c r="E7" s="6">
        <f t="shared" ref="E7:E25" si="1">($C7/1000000*$C$33)+($D7/1000000*$D$33)-($B7/1000000*$B$33)</f>
        <v>271.58292413303252</v>
      </c>
      <c r="F7" s="360">
        <f t="shared" si="0"/>
        <v>1.1325007936347455</v>
      </c>
      <c r="G7" s="139">
        <f t="shared" ref="G7:G25" si="2">F7*$A$55</f>
        <v>510.76276127446749</v>
      </c>
      <c r="H7" s="346">
        <f>G7*NPV!C11</f>
        <v>340.34279419029116</v>
      </c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32" x14ac:dyDescent="0.2">
      <c r="A8" s="19">
        <f t="shared" ref="A8:A25" si="3">A7+1</f>
        <v>2026</v>
      </c>
      <c r="B8" s="345">
        <f>LoU_Safety!D14+LoU_Safety!E14</f>
        <v>627905062.54647732</v>
      </c>
      <c r="C8" s="6">
        <f>LoU_Safety!F14</f>
        <v>241318143.99158993</v>
      </c>
      <c r="D8" s="345">
        <f>LoU_Safety!G14</f>
        <v>29303709.745962605</v>
      </c>
      <c r="E8" s="6">
        <f t="shared" si="1"/>
        <v>281.67863101704211</v>
      </c>
      <c r="F8" s="360">
        <f t="shared" si="0"/>
        <v>1.1745998913410656</v>
      </c>
      <c r="G8" s="139">
        <f t="shared" si="2"/>
        <v>529.74963661486447</v>
      </c>
      <c r="H8" s="346">
        <f>G8*NPV!C12</f>
        <v>329.90144946536276</v>
      </c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32" x14ac:dyDescent="0.2">
      <c r="A9" s="19">
        <f t="shared" si="3"/>
        <v>2027</v>
      </c>
      <c r="B9" s="345">
        <f>LoU_Safety!D15+LoU_Safety!E15</f>
        <v>653428055.71981955</v>
      </c>
      <c r="C9" s="6">
        <f>LoU_Safety!F15</f>
        <v>251182609.78010401</v>
      </c>
      <c r="D9" s="345">
        <f>LoU_Safety!G15</f>
        <v>30502754.283418845</v>
      </c>
      <c r="E9" s="6">
        <f t="shared" si="1"/>
        <v>293.50568593745106</v>
      </c>
      <c r="F9" s="360">
        <f t="shared" si="0"/>
        <v>1.2239187103591709</v>
      </c>
      <c r="G9" s="139">
        <f t="shared" si="2"/>
        <v>551.99263752582681</v>
      </c>
      <c r="H9" s="346">
        <f>G9*NPV!C13</f>
        <v>321.26474069290026</v>
      </c>
      <c r="I9" s="23"/>
      <c r="J9" s="23"/>
      <c r="K9" s="23"/>
      <c r="L9" s="23"/>
      <c r="M9" s="23"/>
      <c r="N9" s="23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32" x14ac:dyDescent="0.2">
      <c r="A10" s="19">
        <f t="shared" si="3"/>
        <v>2028</v>
      </c>
      <c r="B10" s="345">
        <f>LoU_Safety!D16+LoU_Safety!E16</f>
        <v>683098916.91720939</v>
      </c>
      <c r="C10" s="6">
        <f>LoU_Safety!F16</f>
        <v>262651422.74618846</v>
      </c>
      <c r="D10" s="345">
        <f>LoU_Safety!G16</f>
        <v>31896836.280062225</v>
      </c>
      <c r="E10" s="6">
        <f t="shared" si="1"/>
        <v>307.26315260691308</v>
      </c>
      <c r="F10" s="360">
        <f t="shared" si="0"/>
        <v>1.2812873463708274</v>
      </c>
      <c r="G10" s="139">
        <f t="shared" si="2"/>
        <v>577.86614075386422</v>
      </c>
      <c r="H10" s="346">
        <f>G10*NPV!C14</f>
        <v>314.32089265290745</v>
      </c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32" x14ac:dyDescent="0.2">
      <c r="A11" s="19">
        <f t="shared" si="3"/>
        <v>2029</v>
      </c>
      <c r="B11" s="345">
        <f>LoU_Safety!D17+LoU_Safety!E17</f>
        <v>717429808.29986274</v>
      </c>
      <c r="C11" s="6">
        <f>LoU_Safety!F17</f>
        <v>275922685.86861002</v>
      </c>
      <c r="D11" s="345">
        <f>LoU_Safety!G17</f>
        <v>33510038.83898963</v>
      </c>
      <c r="E11" s="6">
        <f t="shared" si="1"/>
        <v>323.1894219100177</v>
      </c>
      <c r="F11" s="360">
        <f t="shared" si="0"/>
        <v>1.3476998893647738</v>
      </c>
      <c r="G11" s="139">
        <f t="shared" si="2"/>
        <v>607.81848518797119</v>
      </c>
      <c r="H11" s="346">
        <f>G11*NPV!C15</f>
        <v>308.98409669170161</v>
      </c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32" x14ac:dyDescent="0.2">
      <c r="A12" s="19">
        <f t="shared" si="3"/>
        <v>2030</v>
      </c>
      <c r="B12" s="345">
        <f>LoU_Safety!D18+LoU_Safety!E18</f>
        <v>757032227.16768181</v>
      </c>
      <c r="C12" s="6">
        <f>LoU_Safety!F18</f>
        <v>291232924.73358297</v>
      </c>
      <c r="D12" s="345">
        <f>LoU_Safety!G18</f>
        <v>35371116.046927825</v>
      </c>
      <c r="E12" s="6">
        <f t="shared" si="1"/>
        <v>341.56912149277741</v>
      </c>
      <c r="F12" s="360">
        <f t="shared" si="0"/>
        <v>1.4243432366248816</v>
      </c>
      <c r="G12" s="139">
        <f t="shared" si="2"/>
        <v>642.38496664203728</v>
      </c>
      <c r="H12" s="346">
        <f>G12*NPV!C16</f>
        <v>305.19247015931205</v>
      </c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32" x14ac:dyDescent="0.2">
      <c r="A13" s="19">
        <f t="shared" si="3"/>
        <v>2031</v>
      </c>
      <c r="B13" s="345">
        <f>LoU_Safety!D19+LoU_Safety!E19</f>
        <v>802635205.35745811</v>
      </c>
      <c r="C13" s="6">
        <f>LoU_Safety!F19</f>
        <v>308864127.02109152</v>
      </c>
      <c r="D13" s="345">
        <f>LoU_Safety!G19</f>
        <v>37514348.754923478</v>
      </c>
      <c r="E13" s="6">
        <f t="shared" si="1"/>
        <v>362.74158689742126</v>
      </c>
      <c r="F13" s="360">
        <f t="shared" si="0"/>
        <v>1.5126324173622465</v>
      </c>
      <c r="G13" s="139">
        <f t="shared" si="2"/>
        <v>682.20376941686425</v>
      </c>
      <c r="H13" s="346">
        <f>G13*NPV!C17</f>
        <v>302.90663226019672</v>
      </c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32" x14ac:dyDescent="0.2">
      <c r="A14" s="19">
        <f t="shared" si="3"/>
        <v>2032</v>
      </c>
      <c r="B14" s="345">
        <f>LoU_Safety!D20+LoU_Safety!E20</f>
        <v>855107616.0653367</v>
      </c>
      <c r="C14" s="6">
        <f>LoU_Safety!F20</f>
        <v>329152370.73368651</v>
      </c>
      <c r="D14" s="345">
        <f>LoU_Safety!G20</f>
        <v>39980593.500275254</v>
      </c>
      <c r="E14" s="6">
        <f t="shared" si="1"/>
        <v>387.11124454858327</v>
      </c>
      <c r="F14" s="360">
        <f t="shared" si="0"/>
        <v>1.6142538897675922</v>
      </c>
      <c r="G14" s="139">
        <f t="shared" si="2"/>
        <v>728.03549345826195</v>
      </c>
      <c r="H14" s="346">
        <f>G14*NPV!C18</f>
        <v>302.10884658616669</v>
      </c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32" x14ac:dyDescent="0.2">
      <c r="A15" s="19">
        <f t="shared" si="3"/>
        <v>2033</v>
      </c>
      <c r="B15" s="345">
        <f>LoU_Safety!D21+LoU_Safety!E21</f>
        <v>915485533.78432882</v>
      </c>
      <c r="C15" s="6">
        <f>LoU_Safety!F21</f>
        <v>352498406.9588275</v>
      </c>
      <c r="D15" s="345">
        <f>LoU_Safety!G21</f>
        <v>42818569.038426228</v>
      </c>
      <c r="E15" s="6">
        <f t="shared" si="1"/>
        <v>415.16034677434095</v>
      </c>
      <c r="F15" s="360">
        <f t="shared" si="0"/>
        <v>1.7312186460490018</v>
      </c>
      <c r="G15" s="139">
        <f t="shared" si="2"/>
        <v>780.78710495899134</v>
      </c>
      <c r="H15" s="346">
        <f>G15*NPV!C19</f>
        <v>302.8027008671005</v>
      </c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32" x14ac:dyDescent="0.2">
      <c r="A16" s="19">
        <f t="shared" si="3"/>
        <v>2034</v>
      </c>
      <c r="B16" s="345">
        <f>LoU_Safety!D22+LoU_Safety!E22</f>
        <v>985005837.25636327</v>
      </c>
      <c r="C16" s="6">
        <f>LoU_Safety!F22</f>
        <v>379380657.41521889</v>
      </c>
      <c r="D16" s="345">
        <f>LoU_Safety!G22</f>
        <v>46086436.436832145</v>
      </c>
      <c r="E16" s="6">
        <f t="shared" si="1"/>
        <v>447.46461271552789</v>
      </c>
      <c r="F16" s="360">
        <f t="shared" si="0"/>
        <v>1.8659274350237514</v>
      </c>
      <c r="G16" s="139">
        <f t="shared" si="2"/>
        <v>841.54135203007411</v>
      </c>
      <c r="H16" s="346">
        <f>G16*NPV!C20</f>
        <v>305.01331340775016</v>
      </c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32" x14ac:dyDescent="0.2">
      <c r="A17" s="19">
        <f t="shared" si="3"/>
        <v>2035</v>
      </c>
      <c r="B17" s="345">
        <f>LoU_Safety!D23+LoU_Safety!E23</f>
        <v>1065147555.3661566</v>
      </c>
      <c r="C17" s="6">
        <f>LoU_Safety!F23</f>
        <v>410371206.95164198</v>
      </c>
      <c r="D17" s="345">
        <f>LoU_Safety!G23</f>
        <v>49853743.261093773</v>
      </c>
      <c r="E17" s="6">
        <f t="shared" si="1"/>
        <v>484.71247328302388</v>
      </c>
      <c r="F17" s="360">
        <f t="shared" si="0"/>
        <v>2.0212510135902098</v>
      </c>
      <c r="G17" s="139">
        <f t="shared" si="2"/>
        <v>911.59295846208045</v>
      </c>
      <c r="H17" s="346">
        <f>G17*NPV!C21</f>
        <v>308.78807413886358</v>
      </c>
      <c r="I17" s="23"/>
      <c r="J17" s="23"/>
      <c r="K17" s="23"/>
      <c r="L17" s="23"/>
      <c r="M17" s="23"/>
      <c r="N17" s="23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32" x14ac:dyDescent="0.2">
      <c r="A18" s="19">
        <f t="shared" si="3"/>
        <v>2036</v>
      </c>
      <c r="B18" s="345">
        <f>LoU_Safety!D24+LoU_Safety!E24</f>
        <v>1157682850.8650699</v>
      </c>
      <c r="C18" s="6">
        <f>LoU_Safety!F24</f>
        <v>446155523.93676746</v>
      </c>
      <c r="D18" s="345">
        <f>LoU_Safety!G24</f>
        <v>54203820.955679193</v>
      </c>
      <c r="E18" s="6">
        <f t="shared" si="1"/>
        <v>527.7288021621207</v>
      </c>
      <c r="F18" s="360">
        <f t="shared" si="0"/>
        <v>2.2006291050160436</v>
      </c>
      <c r="G18" s="139">
        <f t="shared" si="2"/>
        <v>992.49325434156572</v>
      </c>
      <c r="H18" s="346">
        <f>G18*NPV!C22</f>
        <v>314.19794703292223</v>
      </c>
      <c r="I18" s="23"/>
      <c r="J18" s="23"/>
      <c r="K18" s="23"/>
      <c r="L18" s="23"/>
      <c r="M18" s="23"/>
      <c r="N18" s="23"/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32" x14ac:dyDescent="0.2">
      <c r="A19" s="19">
        <f t="shared" si="3"/>
        <v>2037</v>
      </c>
      <c r="B19" s="345">
        <f>LoU_Safety!D25+LoU_Safety!E25</f>
        <v>1264740041.636071</v>
      </c>
      <c r="C19" s="6">
        <f>LoU_Safety!F25</f>
        <v>487556836.74281722</v>
      </c>
      <c r="D19" s="345">
        <f>LoU_Safety!G25</f>
        <v>59236748.259584427</v>
      </c>
      <c r="E19" s="6">
        <f t="shared" si="1"/>
        <v>577.50424983918174</v>
      </c>
      <c r="F19" s="360">
        <f t="shared" si="0"/>
        <v>2.4081927218293875</v>
      </c>
      <c r="G19" s="139">
        <f t="shared" si="2"/>
        <v>1086.1053442046048</v>
      </c>
      <c r="H19" s="346">
        <f>G19*NPV!C23</f>
        <v>321.33938067419183</v>
      </c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32" x14ac:dyDescent="0.2">
      <c r="A20" s="19">
        <f t="shared" si="3"/>
        <v>2038</v>
      </c>
      <c r="B20" s="345">
        <f>LoU_Safety!D26+LoU_Safety!E26</f>
        <v>1388881706.510354</v>
      </c>
      <c r="C20" s="6">
        <f>LoU_Safety!F26</f>
        <v>535566344.89990866</v>
      </c>
      <c r="D20" s="345">
        <f>LoU_Safety!G26</f>
        <v>65073023.934900776</v>
      </c>
      <c r="E20" s="6">
        <f t="shared" si="1"/>
        <v>635.23159891930709</v>
      </c>
      <c r="F20" s="360">
        <f t="shared" si="0"/>
        <v>2.6489157674935102</v>
      </c>
      <c r="G20" s="139">
        <f t="shared" si="2"/>
        <v>1194.672480048451</v>
      </c>
      <c r="H20" s="346">
        <f>G20*NPV!C24</f>
        <v>330.33689595212257</v>
      </c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32" x14ac:dyDescent="0.2">
      <c r="A21" s="19">
        <f t="shared" si="3"/>
        <v>2039</v>
      </c>
      <c r="B21" s="345">
        <f>LoU_Safety!D27+LoU_Safety!E27</f>
        <v>1533201755.2210803</v>
      </c>
      <c r="C21" s="6">
        <f>LoU_Safety!F27</f>
        <v>591380765.53602219</v>
      </c>
      <c r="D21" s="345">
        <f>LoU_Safety!G27</f>
        <v>71858131.235987186</v>
      </c>
      <c r="E21" s="6">
        <f t="shared" si="1"/>
        <v>702.35094653600436</v>
      </c>
      <c r="F21" s="360">
        <f t="shared" si="0"/>
        <v>2.9288034470551385</v>
      </c>
      <c r="G21" s="139">
        <f t="shared" si="2"/>
        <v>1320.9030353496837</v>
      </c>
      <c r="H21" s="346">
        <f>G21*NPV!C25</f>
        <v>341.34644520887764</v>
      </c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32" x14ac:dyDescent="0.2">
      <c r="A22" s="19">
        <f t="shared" si="3"/>
        <v>2040</v>
      </c>
      <c r="B22" s="345">
        <f>LoU_Safety!D28+LoU_Safety!E28</f>
        <v>1701446416.2629504</v>
      </c>
      <c r="C22" s="6">
        <f>LoU_Safety!F28</f>
        <v>656449131.20919621</v>
      </c>
      <c r="D22" s="345">
        <f>LoU_Safety!G28</f>
        <v>79768227.057697728</v>
      </c>
      <c r="E22" s="6">
        <f t="shared" si="1"/>
        <v>780.60601964575653</v>
      </c>
      <c r="F22" s="360">
        <f t="shared" si="0"/>
        <v>3.2551271019228047</v>
      </c>
      <c r="G22" s="139">
        <f t="shared" si="2"/>
        <v>1468.0764165659987</v>
      </c>
      <c r="H22" s="346">
        <f>G22*NPV!C26</f>
        <v>354.55966693789071</v>
      </c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32" x14ac:dyDescent="0.2">
      <c r="A23" s="19">
        <f t="shared" si="3"/>
        <v>2041</v>
      </c>
      <c r="B23" s="345">
        <f>LoU_Safety!D29+LoU_Safety!E29</f>
        <v>1898165486.5859976</v>
      </c>
      <c r="C23" s="6">
        <f>LoU_Safety!F29</f>
        <v>732531292.94919324</v>
      </c>
      <c r="D23" s="345">
        <f>LoU_Safety!G29</f>
        <v>89017254.069858715</v>
      </c>
      <c r="E23" s="6">
        <f t="shared" si="1"/>
        <v>872.11457606733165</v>
      </c>
      <c r="F23" s="360">
        <f t="shared" si="0"/>
        <v>3.636717782200773</v>
      </c>
      <c r="G23" s="139">
        <f t="shared" si="2"/>
        <v>1640.1754655298773</v>
      </c>
      <c r="H23" s="346">
        <f>G23*NPV!C27</f>
        <v>370.20919577430675</v>
      </c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32" x14ac:dyDescent="0.2">
      <c r="A24" s="19">
        <f t="shared" si="3"/>
        <v>2042</v>
      </c>
      <c r="B24" s="345">
        <f>LoU_Safety!D30+LoU_Safety!E30</f>
        <v>2128901991.6595485</v>
      </c>
      <c r="C24" s="6">
        <f>LoU_Safety!F30</f>
        <v>821771280.34403324</v>
      </c>
      <c r="D24" s="345">
        <f>LoU_Safety!G30</f>
        <v>99865859.002297863</v>
      </c>
      <c r="E24" s="6">
        <f t="shared" si="1"/>
        <v>979.45668410263443</v>
      </c>
      <c r="F24" s="360">
        <f t="shared" si="0"/>
        <v>4.0843343727079855</v>
      </c>
      <c r="G24" s="139">
        <f t="shared" si="2"/>
        <v>1842.0524858769932</v>
      </c>
      <c r="H24" s="346">
        <f>G24*NPV!C28</f>
        <v>388.57523085405205</v>
      </c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32" ht="13.5" thickBot="1" x14ac:dyDescent="0.25">
      <c r="A25" s="51">
        <f t="shared" si="3"/>
        <v>2043</v>
      </c>
      <c r="B25" s="345">
        <f>LoU_Safety!D31+LoU_Safety!E31</f>
        <v>2400430754.2759895</v>
      </c>
      <c r="C25" s="6">
        <f>LoU_Safety!F31</f>
        <v>926789579.41717565</v>
      </c>
      <c r="D25" s="345">
        <f>LoU_Safety!G31</f>
        <v>112632610.73971756</v>
      </c>
      <c r="E25" s="6">
        <f t="shared" si="1"/>
        <v>1105.7857673349918</v>
      </c>
      <c r="F25" s="360">
        <f t="shared" si="0"/>
        <v>4.6111266497869154</v>
      </c>
      <c r="G25" s="139">
        <f t="shared" si="2"/>
        <v>2079.6380836718836</v>
      </c>
      <c r="H25" s="346">
        <f>G25*NPV!C29</f>
        <v>409.99361891270399</v>
      </c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32" ht="13.5" thickTop="1" x14ac:dyDescent="0.2">
      <c r="A26" s="541" t="s">
        <v>0</v>
      </c>
      <c r="B26" s="542"/>
      <c r="C26" s="542"/>
      <c r="D26" s="542"/>
      <c r="E26" s="542"/>
      <c r="F26" s="543"/>
      <c r="G26" s="361">
        <f>SUM(G6:G25)</f>
        <v>18988.851871914361</v>
      </c>
      <c r="H26" s="140">
        <f>SUM(H6:H25)</f>
        <v>6272.1843924596214</v>
      </c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32" x14ac:dyDescent="0.2">
      <c r="A27" s="633" t="s">
        <v>100</v>
      </c>
      <c r="B27" s="634"/>
      <c r="C27" s="634"/>
      <c r="D27" s="634"/>
      <c r="E27" s="634"/>
      <c r="F27" s="634"/>
      <c r="G27" s="634"/>
      <c r="H27" s="63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2" x14ac:dyDescent="0.2">
      <c r="A28" s="617" t="s">
        <v>104</v>
      </c>
      <c r="B28" s="618"/>
      <c r="C28" s="618"/>
      <c r="D28" s="618"/>
      <c r="E28" s="618"/>
      <c r="F28" s="618"/>
      <c r="G28" s="618"/>
      <c r="H28" s="619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">
      <c r="A29" s="620" t="s">
        <v>438</v>
      </c>
      <c r="B29" s="621"/>
      <c r="C29" s="621"/>
      <c r="D29" s="621"/>
      <c r="E29" s="621"/>
      <c r="F29" s="621"/>
      <c r="G29" s="621"/>
      <c r="H29" s="6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">
      <c r="A30" s="25"/>
      <c r="B30" s="72"/>
      <c r="C30" s="72"/>
      <c r="D30" s="72"/>
      <c r="E30" s="25"/>
      <c r="F30" s="25"/>
      <c r="G30" s="25"/>
      <c r="H30" s="25"/>
      <c r="I30" s="25"/>
      <c r="J30" s="25"/>
      <c r="K30" s="25"/>
      <c r="L30" s="25"/>
      <c r="M30" s="26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">
      <c r="A31" s="632"/>
      <c r="B31" s="548" t="s">
        <v>428</v>
      </c>
      <c r="C31" s="562"/>
      <c r="D31" s="549"/>
      <c r="E31" s="25"/>
      <c r="F31" s="25"/>
      <c r="G31" s="25"/>
      <c r="H31" s="25"/>
      <c r="I31" s="25"/>
      <c r="J31" s="25"/>
      <c r="K31" s="25"/>
      <c r="L31" s="25"/>
      <c r="M31" s="26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">
      <c r="A32" s="632"/>
      <c r="B32" s="66" t="s">
        <v>116</v>
      </c>
      <c r="C32" s="66" t="s">
        <v>69</v>
      </c>
      <c r="D32" s="66" t="s">
        <v>42</v>
      </c>
      <c r="E32" s="25"/>
      <c r="F32" s="25"/>
      <c r="G32" s="25"/>
      <c r="H32" s="25"/>
      <c r="I32" s="25"/>
      <c r="J32" s="25"/>
      <c r="K32" s="25"/>
      <c r="L32" s="25"/>
      <c r="M32" s="26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105" x14ac:dyDescent="0.2">
      <c r="A33" s="404" t="s">
        <v>64</v>
      </c>
      <c r="B33" s="414">
        <v>2.12</v>
      </c>
      <c r="C33" s="414">
        <v>5.95</v>
      </c>
      <c r="D33" s="414">
        <v>6.04</v>
      </c>
      <c r="E33" s="25"/>
      <c r="F33" s="25"/>
      <c r="G33" s="25"/>
      <c r="H33" s="25"/>
      <c r="I33" s="25"/>
      <c r="J33" s="25"/>
      <c r="K33" s="25"/>
      <c r="L33" s="25"/>
      <c r="M33" s="2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105" x14ac:dyDescent="0.2">
      <c r="A34" s="626" t="s">
        <v>102</v>
      </c>
      <c r="B34" s="627"/>
      <c r="C34" s="627"/>
      <c r="D34" s="628"/>
      <c r="E34" s="25"/>
      <c r="F34" s="25"/>
      <c r="G34" s="25"/>
      <c r="H34" s="25"/>
      <c r="I34" s="25"/>
      <c r="J34" s="25"/>
      <c r="K34" s="25"/>
      <c r="L34" s="25"/>
      <c r="M34" s="2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105" x14ac:dyDescent="0.2">
      <c r="A35" s="629" t="s">
        <v>178</v>
      </c>
      <c r="B35" s="630"/>
      <c r="C35" s="630"/>
      <c r="D35" s="631"/>
      <c r="E35" s="25"/>
      <c r="F35" s="25"/>
      <c r="G35" s="25"/>
      <c r="H35" s="25"/>
      <c r="I35" s="25"/>
      <c r="J35" s="25"/>
      <c r="K35" s="25"/>
      <c r="L35" s="25"/>
      <c r="M35" s="2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10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105" x14ac:dyDescent="0.2">
      <c r="A37" s="548" t="s">
        <v>431</v>
      </c>
      <c r="B37" s="562"/>
      <c r="C37" s="562"/>
      <c r="D37" s="562"/>
      <c r="E37" s="549"/>
      <c r="F37" s="39"/>
      <c r="G37" s="18"/>
      <c r="H37" s="18"/>
      <c r="I37" s="18"/>
      <c r="J37" s="18"/>
      <c r="K37" s="18"/>
      <c r="L37" s="18"/>
      <c r="M37" s="18"/>
      <c r="N37" s="18"/>
      <c r="O37" s="18"/>
      <c r="P37" s="18"/>
      <c r="CN37"/>
      <c r="CO37"/>
      <c r="CP37"/>
      <c r="CQ37"/>
      <c r="CR37"/>
      <c r="CS37"/>
      <c r="CT37"/>
      <c r="CU37"/>
      <c r="CV37"/>
      <c r="CW37"/>
      <c r="CX37"/>
      <c r="DA37"/>
    </row>
    <row r="38" spans="1:105" x14ac:dyDescent="0.2">
      <c r="A38" s="239" t="s">
        <v>77</v>
      </c>
      <c r="B38" s="376" t="s">
        <v>75</v>
      </c>
      <c r="C38" s="376" t="s">
        <v>73</v>
      </c>
      <c r="D38" s="376" t="s">
        <v>76</v>
      </c>
      <c r="E38" s="376" t="s">
        <v>308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CN38"/>
      <c r="CO38"/>
      <c r="CP38"/>
      <c r="CQ38"/>
      <c r="CR38"/>
      <c r="CS38"/>
      <c r="CT38"/>
      <c r="CU38"/>
      <c r="CV38"/>
      <c r="CW38"/>
      <c r="CX38"/>
      <c r="DA38"/>
    </row>
    <row r="39" spans="1:105" x14ac:dyDescent="0.2">
      <c r="A39" s="77" t="s">
        <v>78</v>
      </c>
      <c r="B39" s="79">
        <v>341975</v>
      </c>
      <c r="C39" s="90">
        <f>B39*'Ton-miles'!$B$162</f>
        <v>144769416.66666666</v>
      </c>
      <c r="D39" s="141">
        <v>284902792</v>
      </c>
      <c r="E39" s="381">
        <f>D39/B39</f>
        <v>833.10999926895238</v>
      </c>
      <c r="F39" s="370"/>
      <c r="G39" s="18"/>
      <c r="H39" s="18"/>
      <c r="I39" s="18"/>
      <c r="J39" s="18"/>
      <c r="K39" s="18"/>
      <c r="L39" s="18"/>
      <c r="M39" s="18"/>
      <c r="N39" s="18"/>
      <c r="O39" s="18"/>
      <c r="P39" s="18"/>
      <c r="CN39"/>
      <c r="CO39"/>
      <c r="CP39"/>
      <c r="CQ39"/>
      <c r="CR39"/>
      <c r="CS39"/>
      <c r="CT39"/>
      <c r="CU39"/>
      <c r="CV39"/>
      <c r="CW39"/>
      <c r="CX39"/>
      <c r="DA39"/>
    </row>
    <row r="40" spans="1:105" x14ac:dyDescent="0.2">
      <c r="A40" s="77" t="s">
        <v>79</v>
      </c>
      <c r="B40" s="79">
        <v>1331260</v>
      </c>
      <c r="C40" s="90">
        <f>B40*'Ton-miles'!$B$162</f>
        <v>563566733.33333325</v>
      </c>
      <c r="D40" s="141">
        <v>712224100</v>
      </c>
      <c r="E40" s="381">
        <f t="shared" ref="E40:E49" si="4">D40/B40</f>
        <v>535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CN40"/>
      <c r="CO40"/>
      <c r="CP40"/>
      <c r="CQ40"/>
      <c r="CR40"/>
      <c r="CS40"/>
      <c r="CT40"/>
      <c r="CU40"/>
      <c r="CV40"/>
      <c r="CW40"/>
      <c r="CX40"/>
      <c r="DA40"/>
    </row>
    <row r="41" spans="1:105" x14ac:dyDescent="0.2">
      <c r="A41" s="77" t="s">
        <v>80</v>
      </c>
      <c r="B41" s="79">
        <v>397054</v>
      </c>
      <c r="C41" s="90">
        <f>B41*'Ton-miles'!$B$162</f>
        <v>168086193.33333331</v>
      </c>
      <c r="D41" s="141">
        <v>212423890</v>
      </c>
      <c r="E41" s="381">
        <f t="shared" si="4"/>
        <v>535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CN41"/>
      <c r="CO41"/>
      <c r="CP41"/>
      <c r="CQ41"/>
      <c r="CR41"/>
      <c r="CS41"/>
      <c r="CT41"/>
      <c r="CU41"/>
      <c r="CV41"/>
      <c r="CW41"/>
      <c r="CX41"/>
      <c r="DA41"/>
    </row>
    <row r="42" spans="1:105" x14ac:dyDescent="0.2">
      <c r="A42" s="77" t="s">
        <v>81</v>
      </c>
      <c r="B42" s="79">
        <v>56300</v>
      </c>
      <c r="C42" s="90">
        <f>B42*'Ton-miles'!$B$162</f>
        <v>23833666.666666664</v>
      </c>
      <c r="D42" s="141">
        <v>22520000</v>
      </c>
      <c r="E42" s="381">
        <f t="shared" si="4"/>
        <v>400</v>
      </c>
      <c r="F42" s="39"/>
      <c r="G42" s="18"/>
      <c r="H42" s="18"/>
      <c r="I42" s="18"/>
      <c r="J42" s="18"/>
      <c r="K42" s="18"/>
      <c r="L42" s="18"/>
      <c r="M42" s="18"/>
      <c r="N42" s="18"/>
      <c r="O42" s="18"/>
      <c r="P42" s="18"/>
      <c r="CN42"/>
      <c r="CO42"/>
      <c r="CP42"/>
      <c r="CQ42"/>
      <c r="CR42"/>
      <c r="CS42"/>
      <c r="CT42"/>
      <c r="CU42"/>
      <c r="CV42"/>
      <c r="CW42"/>
      <c r="CX42"/>
      <c r="DA42"/>
    </row>
    <row r="43" spans="1:105" x14ac:dyDescent="0.2">
      <c r="A43" s="77" t="s">
        <v>82</v>
      </c>
      <c r="B43" s="79">
        <v>117881</v>
      </c>
      <c r="C43" s="90">
        <f>B43*'Ton-miles'!$B$162</f>
        <v>49902956.666666664</v>
      </c>
      <c r="D43" s="141">
        <v>977233</v>
      </c>
      <c r="E43" s="381">
        <f t="shared" si="4"/>
        <v>8.2899958432656664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CN43"/>
      <c r="CO43"/>
      <c r="CP43"/>
      <c r="CQ43"/>
      <c r="CR43"/>
      <c r="CS43"/>
      <c r="CT43"/>
      <c r="CU43"/>
      <c r="CV43"/>
      <c r="CW43"/>
      <c r="CX43"/>
      <c r="DA43"/>
    </row>
    <row r="44" spans="1:105" x14ac:dyDescent="0.2">
      <c r="A44" s="77" t="s">
        <v>83</v>
      </c>
      <c r="B44" s="79">
        <v>273180</v>
      </c>
      <c r="C44" s="90">
        <f>B44*'Ton-miles'!$B$162</f>
        <v>115646200</v>
      </c>
      <c r="D44" s="141">
        <v>172704396</v>
      </c>
      <c r="E44" s="381">
        <f t="shared" si="4"/>
        <v>632.20000000000005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CN44"/>
      <c r="CO44"/>
      <c r="CP44"/>
      <c r="CQ44"/>
      <c r="CR44"/>
      <c r="CS44"/>
      <c r="CT44"/>
      <c r="CU44"/>
      <c r="CV44"/>
      <c r="CW44"/>
      <c r="CX44"/>
      <c r="DA44"/>
    </row>
    <row r="45" spans="1:105" x14ac:dyDescent="0.2">
      <c r="A45" s="77" t="s">
        <v>84</v>
      </c>
      <c r="B45" s="79">
        <v>141400</v>
      </c>
      <c r="C45" s="90">
        <f>B45*'Ton-miles'!$B$162</f>
        <v>59859333.333333328</v>
      </c>
      <c r="D45" s="141">
        <v>116294430</v>
      </c>
      <c r="E45" s="381">
        <f t="shared" si="4"/>
        <v>822.45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CN45"/>
      <c r="CO45"/>
      <c r="CP45"/>
      <c r="CQ45"/>
      <c r="CR45"/>
      <c r="CS45"/>
      <c r="CT45"/>
      <c r="CU45"/>
      <c r="CV45"/>
      <c r="CW45"/>
      <c r="CX45"/>
      <c r="DA45"/>
    </row>
    <row r="46" spans="1:105" x14ac:dyDescent="0.2">
      <c r="A46" s="77" t="s">
        <v>85</v>
      </c>
      <c r="B46" s="79">
        <v>214334</v>
      </c>
      <c r="C46" s="90">
        <f>B46*'Ton-miles'!$B$162</f>
        <v>90734726.666666657</v>
      </c>
      <c r="D46" s="141">
        <v>45353074</v>
      </c>
      <c r="E46" s="381">
        <f t="shared" si="4"/>
        <v>211.59999813375387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CN46"/>
      <c r="CO46"/>
      <c r="CP46"/>
      <c r="CQ46"/>
      <c r="CR46"/>
      <c r="CS46"/>
      <c r="CT46"/>
      <c r="CU46"/>
      <c r="CV46"/>
      <c r="CW46"/>
      <c r="CX46"/>
      <c r="DA46"/>
    </row>
    <row r="47" spans="1:105" x14ac:dyDescent="0.2">
      <c r="A47" s="77" t="s">
        <v>86</v>
      </c>
      <c r="B47" s="79">
        <v>1071595</v>
      </c>
      <c r="C47" s="90">
        <f>B47*'Ton-miles'!$B$162</f>
        <v>453641883.33333331</v>
      </c>
      <c r="D47" s="141">
        <v>190347420</v>
      </c>
      <c r="E47" s="381">
        <f t="shared" si="4"/>
        <v>177.63000013997825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</row>
    <row r="48" spans="1:105" x14ac:dyDescent="0.2">
      <c r="A48" s="77" t="s">
        <v>87</v>
      </c>
      <c r="B48" s="79">
        <v>21821</v>
      </c>
      <c r="C48" s="90">
        <f>B48*'Ton-miles'!$B$162</f>
        <v>9237556.666666666</v>
      </c>
      <c r="D48" s="141">
        <v>109105000</v>
      </c>
      <c r="E48" s="381">
        <f t="shared" si="4"/>
        <v>5000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CN48"/>
      <c r="CO48"/>
      <c r="CP48"/>
      <c r="CQ48"/>
      <c r="CR48"/>
      <c r="CS48"/>
      <c r="CT48"/>
      <c r="CU48"/>
      <c r="CV48"/>
      <c r="CW48"/>
      <c r="CX48"/>
      <c r="DA48"/>
    </row>
    <row r="49" spans="1:105" ht="13.5" thickBot="1" x14ac:dyDescent="0.25">
      <c r="A49" s="78" t="s">
        <v>88</v>
      </c>
      <c r="B49" s="80">
        <v>788537</v>
      </c>
      <c r="C49" s="80">
        <f>B49*'Ton-miles'!$B$162</f>
        <v>333813996.66666663</v>
      </c>
      <c r="D49" s="142">
        <v>277825241</v>
      </c>
      <c r="E49" s="382">
        <f t="shared" si="4"/>
        <v>352.32999973368402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</row>
    <row r="50" spans="1:105" ht="13.5" thickTop="1" x14ac:dyDescent="0.2">
      <c r="A50" s="415" t="s">
        <v>0</v>
      </c>
      <c r="B50" s="416">
        <f>SUM(B39:B49)</f>
        <v>4755337</v>
      </c>
      <c r="C50" s="416">
        <f>SUM(C39:C49)</f>
        <v>2013092663.333333</v>
      </c>
      <c r="D50" s="417">
        <f>SUM(D39:D49)</f>
        <v>2144677576</v>
      </c>
      <c r="E50" s="4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</row>
    <row r="51" spans="1:105" ht="13.15" customHeight="1" x14ac:dyDescent="0.2">
      <c r="A51" s="623" t="s">
        <v>432</v>
      </c>
      <c r="B51" s="624"/>
      <c r="C51" s="624"/>
      <c r="D51" s="624"/>
      <c r="E51" s="625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ht="13.15" customHeight="1" x14ac:dyDescent="0.2">
      <c r="A52" s="411" t="s">
        <v>349</v>
      </c>
      <c r="B52" s="418"/>
      <c r="C52" s="418"/>
      <c r="D52" s="418"/>
      <c r="E52" s="4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105" s="18" customFormat="1" x14ac:dyDescent="0.2">
      <c r="A54" s="362" t="s">
        <v>101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105" s="18" customFormat="1" x14ac:dyDescent="0.2">
      <c r="A55" s="143">
        <f>D50/B50</f>
        <v>451.00432966159917</v>
      </c>
    </row>
    <row r="56" spans="1:105" s="18" customFormat="1" x14ac:dyDescent="0.2"/>
    <row r="57" spans="1:105" s="18" customFormat="1" x14ac:dyDescent="0.2"/>
    <row r="58" spans="1:105" s="18" customFormat="1" x14ac:dyDescent="0.2"/>
    <row r="59" spans="1:105" s="18" customFormat="1" x14ac:dyDescent="0.2"/>
    <row r="60" spans="1:105" s="18" customFormat="1" x14ac:dyDescent="0.2"/>
    <row r="61" spans="1:105" s="18" customFormat="1" x14ac:dyDescent="0.2"/>
    <row r="62" spans="1:105" s="18" customFormat="1" x14ac:dyDescent="0.2"/>
    <row r="63" spans="1:105" s="18" customFormat="1" x14ac:dyDescent="0.2"/>
    <row r="64" spans="1:105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</sheetData>
  <mergeCells count="17">
    <mergeCell ref="A29:H29"/>
    <mergeCell ref="A37:E37"/>
    <mergeCell ref="A51:E51"/>
    <mergeCell ref="C4:D4"/>
    <mergeCell ref="B3:H3"/>
    <mergeCell ref="G4:H4"/>
    <mergeCell ref="B31:D31"/>
    <mergeCell ref="A3:A5"/>
    <mergeCell ref="E4:E5"/>
    <mergeCell ref="F4:F5"/>
    <mergeCell ref="B4:B5"/>
    <mergeCell ref="A26:F26"/>
    <mergeCell ref="A34:D34"/>
    <mergeCell ref="A35:D35"/>
    <mergeCell ref="A31:A32"/>
    <mergeCell ref="A27:H27"/>
    <mergeCell ref="A28:H28"/>
  </mergeCells>
  <pageMargins left="0.7" right="0.7" top="0.75" bottom="0.75" header="0.3" footer="0.3"/>
  <pageSetup paperSize="256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M417"/>
  <sheetViews>
    <sheetView workbookViewId="0">
      <selection activeCell="L27" sqref="L27"/>
    </sheetView>
  </sheetViews>
  <sheetFormatPr defaultRowHeight="12.75" x14ac:dyDescent="0.2"/>
  <cols>
    <col min="1" max="1" width="32.28515625" customWidth="1"/>
    <col min="2" max="2" width="20" bestFit="1" customWidth="1"/>
    <col min="3" max="3" width="12.42578125" bestFit="1" customWidth="1"/>
    <col min="4" max="4" width="13.140625" bestFit="1" customWidth="1"/>
    <col min="5" max="5" width="15.140625" bestFit="1" customWidth="1"/>
    <col min="6" max="6" width="13.5703125" bestFit="1" customWidth="1"/>
    <col min="7" max="7" width="15.28515625" bestFit="1" customWidth="1"/>
    <col min="8" max="8" width="15.7109375" bestFit="1" customWidth="1"/>
    <col min="9" max="10" width="15.140625" bestFit="1" customWidth="1"/>
    <col min="11" max="12" width="10.42578125" bestFit="1" customWidth="1"/>
    <col min="13" max="13" width="13.5703125" style="18" bestFit="1" customWidth="1"/>
    <col min="14" max="14" width="15.140625" style="18" bestFit="1" customWidth="1"/>
    <col min="15" max="15" width="13.5703125" style="18" bestFit="1" customWidth="1"/>
    <col min="16" max="16" width="15.140625" style="18" bestFit="1" customWidth="1"/>
    <col min="17" max="17" width="14.7109375" style="18" customWidth="1"/>
    <col min="18" max="91" width="8.85546875" style="18"/>
  </cols>
  <sheetData>
    <row r="1" spans="1:12" ht="23.25" x14ac:dyDescent="0.35">
      <c r="A1" s="75" t="s">
        <v>450</v>
      </c>
      <c r="B1" s="25"/>
      <c r="C1" s="25"/>
      <c r="D1" s="25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637" t="s">
        <v>307</v>
      </c>
      <c r="B3" s="636" t="s">
        <v>75</v>
      </c>
      <c r="C3" s="636"/>
      <c r="D3" s="636"/>
      <c r="E3" s="636"/>
      <c r="F3" s="636" t="s">
        <v>76</v>
      </c>
      <c r="G3" s="636"/>
      <c r="H3" s="636"/>
      <c r="I3" s="636"/>
      <c r="J3" s="18"/>
      <c r="K3" s="18"/>
      <c r="L3" s="18"/>
    </row>
    <row r="4" spans="1:12" x14ac:dyDescent="0.2">
      <c r="A4" s="637"/>
      <c r="B4" s="239" t="s">
        <v>90</v>
      </c>
      <c r="C4" s="239" t="s">
        <v>185</v>
      </c>
      <c r="D4" s="239" t="s">
        <v>91</v>
      </c>
      <c r="E4" s="239" t="s">
        <v>0</v>
      </c>
      <c r="F4" s="239" t="s">
        <v>90</v>
      </c>
      <c r="G4" s="239" t="s">
        <v>185</v>
      </c>
      <c r="H4" s="239" t="s">
        <v>91</v>
      </c>
      <c r="I4" s="239" t="s">
        <v>0</v>
      </c>
      <c r="J4" s="18"/>
      <c r="K4" s="18"/>
      <c r="L4" s="18"/>
    </row>
    <row r="5" spans="1:12" x14ac:dyDescent="0.2">
      <c r="A5" s="193" t="s">
        <v>78</v>
      </c>
      <c r="B5" s="386">
        <f t="shared" ref="B5:B15" si="0">SUMIF($B$21:$B$43,A5,$D$21:$D$43)</f>
        <v>217701.26838699999</v>
      </c>
      <c r="C5" s="386">
        <f t="shared" ref="C5:C15" si="1">SUMIF($B$100:$B$132,A5,$C$100:$C$132)</f>
        <v>29189.862000000001</v>
      </c>
      <c r="D5" s="386">
        <f>SUMIF($B$51:$B$93,A5,C51:C93)</f>
        <v>164037</v>
      </c>
      <c r="E5" s="387">
        <f>B5+D5+C5</f>
        <v>410928.13038699998</v>
      </c>
      <c r="F5" s="388">
        <f>B5*LoU_Econ!$E39</f>
        <v>181369103.54674357</v>
      </c>
      <c r="G5" s="388">
        <f>C5*LoU_Econ!$E39</f>
        <v>24318365.909480821</v>
      </c>
      <c r="H5" s="388">
        <f>D5*LoU_Econ!$E39</f>
        <v>136660864.95008114</v>
      </c>
      <c r="I5" s="388">
        <f>SUM(F5:H5)</f>
        <v>342348334.40630555</v>
      </c>
      <c r="J5" s="18"/>
      <c r="K5" s="18"/>
      <c r="L5" s="18"/>
    </row>
    <row r="6" spans="1:12" x14ac:dyDescent="0.2">
      <c r="A6" s="203" t="s">
        <v>79</v>
      </c>
      <c r="B6" s="386">
        <f t="shared" si="0"/>
        <v>71952.672013000003</v>
      </c>
      <c r="C6" s="386">
        <f t="shared" si="1"/>
        <v>955617.353</v>
      </c>
      <c r="D6" s="386">
        <f>SUMIF($B$51:$B$93,A6,C51:C93)</f>
        <v>1022878</v>
      </c>
      <c r="E6" s="387">
        <f t="shared" ref="E6:E15" si="2">B6+D6+C6</f>
        <v>2050448.0250130002</v>
      </c>
      <c r="F6" s="388">
        <f>B6*LoU_Econ!$E40</f>
        <v>38494679.526955001</v>
      </c>
      <c r="G6" s="388">
        <f>C6*LoU_Econ!$E40</f>
        <v>511255283.85500002</v>
      </c>
      <c r="H6" s="388">
        <f>D6*LoU_Econ!$E40</f>
        <v>547239730</v>
      </c>
      <c r="I6" s="388">
        <f t="shared" ref="I6:I15" si="3">SUM(F6:H6)</f>
        <v>1096989693.3819551</v>
      </c>
      <c r="J6" s="18"/>
      <c r="K6" s="18"/>
      <c r="L6" s="18"/>
    </row>
    <row r="7" spans="1:12" x14ac:dyDescent="0.2">
      <c r="A7" s="194" t="s">
        <v>80</v>
      </c>
      <c r="B7" s="386">
        <f t="shared" si="0"/>
        <v>0</v>
      </c>
      <c r="C7" s="386">
        <f t="shared" si="1"/>
        <v>0</v>
      </c>
      <c r="D7" s="386">
        <f>SUMIF($B$51:$B$93,A7,C51:C93)</f>
        <v>4555</v>
      </c>
      <c r="E7" s="387">
        <f>B7+D7+C7</f>
        <v>4555</v>
      </c>
      <c r="F7" s="388">
        <f>B7*LoU_Econ!$E41</f>
        <v>0</v>
      </c>
      <c r="G7" s="388">
        <f>C7*LoU_Econ!$E41</f>
        <v>0</v>
      </c>
      <c r="H7" s="388">
        <f>D7*LoU_Econ!$E41</f>
        <v>2436925</v>
      </c>
      <c r="I7" s="388">
        <f t="shared" si="3"/>
        <v>2436925</v>
      </c>
      <c r="J7" s="18"/>
      <c r="K7" s="18"/>
      <c r="L7" s="18"/>
    </row>
    <row r="8" spans="1:12" x14ac:dyDescent="0.2">
      <c r="A8" s="195" t="s">
        <v>81</v>
      </c>
      <c r="B8" s="386">
        <f t="shared" si="0"/>
        <v>0</v>
      </c>
      <c r="C8" s="386">
        <f t="shared" si="1"/>
        <v>0</v>
      </c>
      <c r="D8" s="386">
        <f>SUMIF($B$51:$B$93,A8,C51:C93)</f>
        <v>0</v>
      </c>
      <c r="E8" s="387">
        <f t="shared" si="2"/>
        <v>0</v>
      </c>
      <c r="F8" s="388">
        <f>B8*LoU_Econ!$E42</f>
        <v>0</v>
      </c>
      <c r="G8" s="388">
        <f>C8*LoU_Econ!$E42</f>
        <v>0</v>
      </c>
      <c r="H8" s="388">
        <f>D8*LoU_Econ!$E42</f>
        <v>0</v>
      </c>
      <c r="I8" s="388">
        <f t="shared" si="3"/>
        <v>0</v>
      </c>
      <c r="J8" s="18"/>
      <c r="K8" s="18"/>
      <c r="L8" s="18"/>
    </row>
    <row r="9" spans="1:12" x14ac:dyDescent="0.2">
      <c r="A9" s="196" t="s">
        <v>82</v>
      </c>
      <c r="B9" s="386">
        <f t="shared" si="0"/>
        <v>0</v>
      </c>
      <c r="C9" s="386">
        <f t="shared" si="1"/>
        <v>1651.89</v>
      </c>
      <c r="D9" s="386">
        <f ca="1">SUMIF($B$51:$B$93,$A$9,$C$55:$C$96)</f>
        <v>0</v>
      </c>
      <c r="E9" s="387">
        <f t="shared" ca="1" si="2"/>
        <v>1651.89</v>
      </c>
      <c r="F9" s="388">
        <f>B9*LoU_Econ!$E43</f>
        <v>0</v>
      </c>
      <c r="G9" s="388">
        <f>C9*LoU_Econ!$E43</f>
        <v>13694.161233532122</v>
      </c>
      <c r="H9" s="388">
        <f ca="1">D9*LoU_Econ!$E43</f>
        <v>0</v>
      </c>
      <c r="I9" s="388">
        <f t="shared" ca="1" si="3"/>
        <v>13694.161233532122</v>
      </c>
      <c r="J9" s="18"/>
      <c r="K9" s="18"/>
      <c r="L9" s="18"/>
    </row>
    <row r="10" spans="1:12" x14ac:dyDescent="0.2">
      <c r="A10" s="197" t="s">
        <v>83</v>
      </c>
      <c r="B10" s="386">
        <f t="shared" si="0"/>
        <v>57733.296757000004</v>
      </c>
      <c r="C10" s="386">
        <f t="shared" si="1"/>
        <v>328102.136</v>
      </c>
      <c r="D10" s="386">
        <f ca="1">SUMIF($B$51:$B$93,$A$10,$C$55:$C$96)</f>
        <v>0</v>
      </c>
      <c r="E10" s="387">
        <f ca="1">B10+D10+C10</f>
        <v>385835.43275699997</v>
      </c>
      <c r="F10" s="388">
        <f>B10*LoU_Econ!$E44</f>
        <v>36498990.209775403</v>
      </c>
      <c r="G10" s="388">
        <f>C10*LoU_Econ!$E44</f>
        <v>207426170.37920001</v>
      </c>
      <c r="H10" s="388">
        <f ca="1">D10*LoU_Econ!$E44</f>
        <v>0</v>
      </c>
      <c r="I10" s="388">
        <f t="shared" ca="1" si="3"/>
        <v>243925160.58897543</v>
      </c>
      <c r="J10" s="18"/>
      <c r="K10" s="18"/>
      <c r="L10" s="18"/>
    </row>
    <row r="11" spans="1:12" x14ac:dyDescent="0.2">
      <c r="A11" s="198" t="s">
        <v>84</v>
      </c>
      <c r="B11" s="386">
        <f t="shared" si="0"/>
        <v>260359.39415499999</v>
      </c>
      <c r="C11" s="386">
        <f t="shared" si="1"/>
        <v>46507.85</v>
      </c>
      <c r="D11" s="386">
        <f ca="1">SUMIF($B$51:$B$93,$A$11,$C$55:$C$96)</f>
        <v>118588</v>
      </c>
      <c r="E11" s="387">
        <f t="shared" ca="1" si="2"/>
        <v>425455.24415499996</v>
      </c>
      <c r="F11" s="388">
        <f>B11*LoU_Econ!$E45</f>
        <v>214132583.72277975</v>
      </c>
      <c r="G11" s="388">
        <f>C11*LoU_Econ!$E45</f>
        <v>38250381.232500002</v>
      </c>
      <c r="H11" s="388">
        <f ca="1">D11*LoU_Econ!$E45</f>
        <v>97532700.600000009</v>
      </c>
      <c r="I11" s="388">
        <f t="shared" ca="1" si="3"/>
        <v>349915665.55527979</v>
      </c>
      <c r="J11" s="18"/>
      <c r="K11" s="18"/>
      <c r="L11" s="18"/>
    </row>
    <row r="12" spans="1:12" x14ac:dyDescent="0.2">
      <c r="A12" s="208" t="s">
        <v>85</v>
      </c>
      <c r="B12" s="386">
        <f t="shared" si="0"/>
        <v>50557.778687999999</v>
      </c>
      <c r="C12" s="386">
        <f t="shared" si="1"/>
        <v>19486.506000000001</v>
      </c>
      <c r="D12" s="386">
        <f ca="1">SUMIF($B$51:$B$93,$A$12,$C$55:$C$96)</f>
        <v>917543</v>
      </c>
      <c r="E12" s="387">
        <f t="shared" ca="1" si="2"/>
        <v>987587.2846880001</v>
      </c>
      <c r="F12" s="388">
        <f>B12*LoU_Econ!$E46</f>
        <v>10698025.876027541</v>
      </c>
      <c r="G12" s="388">
        <f>C12*LoU_Econ!$E46</f>
        <v>4123344.6332333838</v>
      </c>
      <c r="H12" s="388">
        <f ca="1">D12*LoU_Econ!$E46</f>
        <v>194152097.08763891</v>
      </c>
      <c r="I12" s="388">
        <f t="shared" ca="1" si="3"/>
        <v>208973467.59689984</v>
      </c>
      <c r="J12" s="18"/>
      <c r="K12" s="18"/>
      <c r="L12" s="18"/>
    </row>
    <row r="13" spans="1:12" x14ac:dyDescent="0.2">
      <c r="A13" s="199" t="s">
        <v>86</v>
      </c>
      <c r="B13" s="386">
        <f t="shared" si="0"/>
        <v>0</v>
      </c>
      <c r="C13" s="386">
        <f t="shared" si="1"/>
        <v>0</v>
      </c>
      <c r="D13" s="386">
        <f ca="1">SUMIF($B$51:$B$93,$A$13,$C$55:$C$96)</f>
        <v>0</v>
      </c>
      <c r="E13" s="387">
        <f t="shared" ca="1" si="2"/>
        <v>0</v>
      </c>
      <c r="F13" s="388">
        <f>B13*LoU_Econ!$E47</f>
        <v>0</v>
      </c>
      <c r="G13" s="388">
        <f>C13*LoU_Econ!$E47</f>
        <v>0</v>
      </c>
      <c r="H13" s="388">
        <f ca="1">D13*LoU_Econ!$E47</f>
        <v>0</v>
      </c>
      <c r="I13" s="388">
        <f t="shared" ca="1" si="3"/>
        <v>0</v>
      </c>
      <c r="J13" s="18"/>
      <c r="K13" s="18"/>
      <c r="L13" s="18"/>
    </row>
    <row r="14" spans="1:12" x14ac:dyDescent="0.2">
      <c r="A14" s="200" t="s">
        <v>87</v>
      </c>
      <c r="B14" s="386">
        <f t="shared" si="0"/>
        <v>0</v>
      </c>
      <c r="C14" s="386">
        <f t="shared" si="1"/>
        <v>0</v>
      </c>
      <c r="D14" s="386">
        <f ca="1">SUMIF($B$51:$B$93,$A$14,$C$55:$C$96)</f>
        <v>0</v>
      </c>
      <c r="E14" s="387">
        <f t="shared" ca="1" si="2"/>
        <v>0</v>
      </c>
      <c r="F14" s="388">
        <f>B14*LoU_Econ!$E48</f>
        <v>0</v>
      </c>
      <c r="G14" s="388">
        <f>C14*LoU_Econ!$E48</f>
        <v>0</v>
      </c>
      <c r="H14" s="388">
        <f ca="1">D14*LoU_Econ!$E48</f>
        <v>0</v>
      </c>
      <c r="I14" s="388">
        <f t="shared" ca="1" si="3"/>
        <v>0</v>
      </c>
      <c r="J14" s="18"/>
      <c r="K14" s="18"/>
      <c r="L14" s="18"/>
    </row>
    <row r="15" spans="1:12" x14ac:dyDescent="0.2">
      <c r="A15" s="201" t="s">
        <v>88</v>
      </c>
      <c r="B15" s="386">
        <f t="shared" si="0"/>
        <v>0</v>
      </c>
      <c r="C15" s="386">
        <f t="shared" si="1"/>
        <v>25891.14</v>
      </c>
      <c r="D15" s="386">
        <f ca="1">SUMIF($B$51:$B$93,$A$15,$C$55:$C$96)</f>
        <v>0</v>
      </c>
      <c r="E15" s="387">
        <f t="shared" ca="1" si="2"/>
        <v>25891.14</v>
      </c>
      <c r="F15" s="388">
        <f>B15*LoU_Econ!$E49</f>
        <v>0</v>
      </c>
      <c r="G15" s="388">
        <f>C15*LoU_Econ!$E49</f>
        <v>9122225.3493047748</v>
      </c>
      <c r="H15" s="388">
        <f ca="1">D15*LoU_Econ!$E49</f>
        <v>0</v>
      </c>
      <c r="I15" s="388">
        <f t="shared" ca="1" si="3"/>
        <v>9122225.3493047748</v>
      </c>
      <c r="J15" s="18"/>
      <c r="K15" s="18"/>
      <c r="L15" s="18"/>
    </row>
    <row r="16" spans="1:12" x14ac:dyDescent="0.2">
      <c r="A16" s="389" t="s">
        <v>0</v>
      </c>
      <c r="B16" s="390">
        <f t="shared" ref="B16" si="4">SUM(B5:B15)</f>
        <v>658304.41</v>
      </c>
      <c r="C16" s="390">
        <f t="shared" ref="C16:H16" si="5">SUM(C5:C15)</f>
        <v>1406446.737</v>
      </c>
      <c r="D16" s="390">
        <f t="shared" ca="1" si="5"/>
        <v>2227601</v>
      </c>
      <c r="E16" s="390">
        <f ca="1">SUM(E5:E15)</f>
        <v>4292352.1469999999</v>
      </c>
      <c r="F16" s="391">
        <f>SUM(F5:F15)</f>
        <v>481193382.88228124</v>
      </c>
      <c r="G16" s="391">
        <f t="shared" si="5"/>
        <v>794509465.51995254</v>
      </c>
      <c r="H16" s="391">
        <f t="shared" ca="1" si="5"/>
        <v>978022317.63772011</v>
      </c>
      <c r="I16" s="391">
        <f t="shared" ref="I16" ca="1" si="6">SUM(I5:I15)</f>
        <v>2253725166.0399537</v>
      </c>
      <c r="J16" s="18"/>
      <c r="K16" s="18"/>
      <c r="L16" s="18"/>
    </row>
    <row r="17" spans="1:12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">
      <c r="A18" s="636" t="s">
        <v>230</v>
      </c>
      <c r="B18" s="636"/>
      <c r="C18" s="636"/>
      <c r="D18" s="636"/>
      <c r="E18" s="636"/>
      <c r="F18" s="636"/>
      <c r="G18" s="636"/>
      <c r="H18" s="636"/>
      <c r="I18" s="636"/>
      <c r="J18" s="636"/>
      <c r="K18" s="18"/>
      <c r="L18" s="18"/>
    </row>
    <row r="19" spans="1:12" x14ac:dyDescent="0.2">
      <c r="A19" s="613" t="s">
        <v>77</v>
      </c>
      <c r="B19" s="613" t="s">
        <v>307</v>
      </c>
      <c r="C19" s="636" t="s">
        <v>195</v>
      </c>
      <c r="D19" s="636"/>
      <c r="E19" s="636"/>
      <c r="F19" s="636" t="s">
        <v>196</v>
      </c>
      <c r="G19" s="636"/>
      <c r="H19" s="636"/>
      <c r="I19" s="636" t="s">
        <v>197</v>
      </c>
      <c r="J19" s="636"/>
      <c r="K19" s="18"/>
      <c r="L19" s="18"/>
    </row>
    <row r="20" spans="1:12" x14ac:dyDescent="0.2">
      <c r="A20" s="613"/>
      <c r="B20" s="613"/>
      <c r="C20" s="239" t="s">
        <v>246</v>
      </c>
      <c r="D20" s="239" t="s">
        <v>75</v>
      </c>
      <c r="E20" s="239" t="s">
        <v>73</v>
      </c>
      <c r="F20" s="239" t="s">
        <v>246</v>
      </c>
      <c r="G20" s="239" t="s">
        <v>75</v>
      </c>
      <c r="H20" s="239" t="s">
        <v>73</v>
      </c>
      <c r="I20" s="239" t="s">
        <v>75</v>
      </c>
      <c r="J20" s="239" t="s">
        <v>73</v>
      </c>
      <c r="K20" s="18"/>
      <c r="L20" s="18"/>
    </row>
    <row r="21" spans="1:12" x14ac:dyDescent="0.2">
      <c r="A21" s="210" t="s">
        <v>231</v>
      </c>
      <c r="B21" s="198" t="s">
        <v>84</v>
      </c>
      <c r="C21" s="186">
        <v>1.84E-2</v>
      </c>
      <c r="D21" s="386">
        <f>C21*$D$44</f>
        <v>12112.801144000001</v>
      </c>
      <c r="E21" s="386">
        <f>D21*$B$158</f>
        <v>4760330.8495920002</v>
      </c>
      <c r="F21" s="188" t="s">
        <v>221</v>
      </c>
      <c r="G21" s="189" t="s">
        <v>221</v>
      </c>
      <c r="H21" s="189" t="s">
        <v>221</v>
      </c>
      <c r="I21" s="189" t="s">
        <v>221</v>
      </c>
      <c r="J21" s="189" t="s">
        <v>221</v>
      </c>
      <c r="K21" s="18"/>
      <c r="L21" s="18"/>
    </row>
    <row r="22" spans="1:12" x14ac:dyDescent="0.2">
      <c r="A22" s="207" t="s">
        <v>252</v>
      </c>
      <c r="B22" s="197" t="s">
        <v>83</v>
      </c>
      <c r="C22" s="189" t="s">
        <v>221</v>
      </c>
      <c r="D22" s="650" t="s">
        <v>221</v>
      </c>
      <c r="E22" s="650" t="s">
        <v>221</v>
      </c>
      <c r="F22" s="187"/>
      <c r="G22" s="386"/>
      <c r="H22" s="386">
        <f t="shared" ref="H22:H30" si="7">G22*$B$158</f>
        <v>0</v>
      </c>
      <c r="I22" s="651">
        <v>3125.22</v>
      </c>
      <c r="J22" s="386">
        <f>I22*$B$158</f>
        <v>1228211.46</v>
      </c>
      <c r="K22" s="18"/>
      <c r="L22" s="18"/>
    </row>
    <row r="23" spans="1:12" x14ac:dyDescent="0.2">
      <c r="A23" s="210" t="s">
        <v>232</v>
      </c>
      <c r="B23" s="198" t="s">
        <v>84</v>
      </c>
      <c r="C23" s="186">
        <v>5.0000000000000001E-3</v>
      </c>
      <c r="D23" s="386">
        <f>C23*$D$44</f>
        <v>3291.52205</v>
      </c>
      <c r="E23" s="386">
        <f>D23*$B$158</f>
        <v>1293568.1656500001</v>
      </c>
      <c r="F23" s="190">
        <v>1.11E-2</v>
      </c>
      <c r="G23" s="386">
        <f>F23*$G$44</f>
        <v>3513.674364</v>
      </c>
      <c r="H23" s="386">
        <f t="shared" si="7"/>
        <v>1380874.0250520001</v>
      </c>
      <c r="I23" s="651">
        <v>3149.6</v>
      </c>
      <c r="J23" s="386">
        <f>I23*$B$158</f>
        <v>1237792.8</v>
      </c>
      <c r="K23" s="18"/>
      <c r="L23" s="18"/>
    </row>
    <row r="24" spans="1:12" x14ac:dyDescent="0.2">
      <c r="A24" s="202" t="s">
        <v>244</v>
      </c>
      <c r="B24" s="193" t="s">
        <v>78</v>
      </c>
      <c r="C24" s="188" t="s">
        <v>221</v>
      </c>
      <c r="D24" s="650" t="s">
        <v>221</v>
      </c>
      <c r="E24" s="650" t="s">
        <v>221</v>
      </c>
      <c r="F24" s="190">
        <v>5.1999999999999998E-3</v>
      </c>
      <c r="G24" s="386">
        <f>F24*$G$44</f>
        <v>1646.0456479999998</v>
      </c>
      <c r="H24" s="386">
        <f t="shared" si="7"/>
        <v>646895.93966399995</v>
      </c>
      <c r="I24" s="650" t="s">
        <v>221</v>
      </c>
      <c r="J24" s="650" t="s">
        <v>221</v>
      </c>
      <c r="K24" s="18"/>
      <c r="L24" s="18"/>
    </row>
    <row r="25" spans="1:12" x14ac:dyDescent="0.2">
      <c r="A25" s="207" t="s">
        <v>233</v>
      </c>
      <c r="B25" s="197" t="s">
        <v>83</v>
      </c>
      <c r="C25" s="186">
        <v>8.77E-2</v>
      </c>
      <c r="D25" s="386">
        <f>C25*$D$44</f>
        <v>57733.296757000004</v>
      </c>
      <c r="E25" s="386">
        <f t="shared" ref="E25:E33" si="8">D25*$B$158</f>
        <v>22689185.625501003</v>
      </c>
      <c r="F25" s="190">
        <v>5.4999999999999997E-3</v>
      </c>
      <c r="G25" s="386">
        <f>F25*$G$44</f>
        <v>1741.0098199999998</v>
      </c>
      <c r="H25" s="386">
        <f t="shared" si="7"/>
        <v>684216.85925999994</v>
      </c>
      <c r="I25" s="651">
        <v>6286.79</v>
      </c>
      <c r="J25" s="386">
        <f t="shared" ref="J25:J30" si="9">I25*$B$158</f>
        <v>2470708.4700000002</v>
      </c>
      <c r="K25" s="18"/>
      <c r="L25" s="18"/>
    </row>
    <row r="26" spans="1:12" x14ac:dyDescent="0.2">
      <c r="A26" s="207" t="s">
        <v>248</v>
      </c>
      <c r="B26" s="197" t="s">
        <v>83</v>
      </c>
      <c r="C26" s="187"/>
      <c r="D26" s="386"/>
      <c r="E26" s="386">
        <f t="shared" si="8"/>
        <v>0</v>
      </c>
      <c r="F26" s="187"/>
      <c r="G26" s="386"/>
      <c r="H26" s="386">
        <f t="shared" si="7"/>
        <v>0</v>
      </c>
      <c r="I26" s="653">
        <v>1506.91</v>
      </c>
      <c r="J26" s="386">
        <f t="shared" si="9"/>
        <v>592215.63</v>
      </c>
      <c r="K26" s="18"/>
      <c r="L26" s="18"/>
    </row>
    <row r="27" spans="1:12" x14ac:dyDescent="0.2">
      <c r="A27" s="210" t="s">
        <v>234</v>
      </c>
      <c r="B27" s="198" t="s">
        <v>84</v>
      </c>
      <c r="C27" s="186">
        <v>0.1288</v>
      </c>
      <c r="D27" s="386">
        <f>C27*$D$44</f>
        <v>84789.608007999996</v>
      </c>
      <c r="E27" s="386">
        <f t="shared" si="8"/>
        <v>33322315.947143998</v>
      </c>
      <c r="F27" s="190">
        <v>0.13719999999999999</v>
      </c>
      <c r="G27" s="386">
        <f>F27*$G$44</f>
        <v>43430.281327999997</v>
      </c>
      <c r="H27" s="386">
        <f t="shared" si="7"/>
        <v>17068100.561903998</v>
      </c>
      <c r="I27" s="653">
        <f>56848.32+10676.58+5872+7453.16+12996.3</f>
        <v>93846.36</v>
      </c>
      <c r="J27" s="386">
        <f t="shared" si="9"/>
        <v>36881619.479999997</v>
      </c>
      <c r="K27" s="18"/>
      <c r="L27" s="18"/>
    </row>
    <row r="28" spans="1:12" x14ac:dyDescent="0.2">
      <c r="A28" s="207" t="s">
        <v>200</v>
      </c>
      <c r="B28" s="197" t="s">
        <v>83</v>
      </c>
      <c r="C28" s="187"/>
      <c r="D28" s="386"/>
      <c r="E28" s="386">
        <f t="shared" si="8"/>
        <v>0</v>
      </c>
      <c r="F28" s="187"/>
      <c r="G28" s="386"/>
      <c r="H28" s="386">
        <f t="shared" si="7"/>
        <v>0</v>
      </c>
      <c r="I28" s="653">
        <v>4696.75</v>
      </c>
      <c r="J28" s="386">
        <f t="shared" si="9"/>
        <v>1845822.75</v>
      </c>
      <c r="K28" s="18"/>
      <c r="L28" s="18"/>
    </row>
    <row r="29" spans="1:12" x14ac:dyDescent="0.2">
      <c r="A29" s="210" t="s">
        <v>235</v>
      </c>
      <c r="B29" s="198" t="s">
        <v>84</v>
      </c>
      <c r="C29" s="186">
        <v>7.9200000000000007E-2</v>
      </c>
      <c r="D29" s="386">
        <f>C29*$D$44</f>
        <v>52137.709272000007</v>
      </c>
      <c r="E29" s="386">
        <f t="shared" si="8"/>
        <v>20490119.743896004</v>
      </c>
      <c r="F29" s="190">
        <v>6.4299999999999996E-2</v>
      </c>
      <c r="G29" s="386">
        <f>F29*$G$44</f>
        <v>20353.987531999999</v>
      </c>
      <c r="H29" s="386">
        <f t="shared" si="7"/>
        <v>7999117.1000759993</v>
      </c>
      <c r="I29" s="653">
        <v>36376.58</v>
      </c>
      <c r="J29" s="386">
        <f t="shared" si="9"/>
        <v>14295995.940000001</v>
      </c>
      <c r="K29" s="18"/>
      <c r="L29" s="18"/>
    </row>
    <row r="30" spans="1:12" x14ac:dyDescent="0.2">
      <c r="A30" s="204" t="s">
        <v>79</v>
      </c>
      <c r="B30" s="203" t="s">
        <v>79</v>
      </c>
      <c r="C30" s="186">
        <v>0.10929999999999999</v>
      </c>
      <c r="D30" s="386">
        <f>C30*$D$44</f>
        <v>71952.672013000003</v>
      </c>
      <c r="E30" s="386">
        <f t="shared" si="8"/>
        <v>28277400.101109002</v>
      </c>
      <c r="F30" s="190">
        <v>0.27210000000000001</v>
      </c>
      <c r="G30" s="386">
        <f>F30*$G$44</f>
        <v>86132.504004000002</v>
      </c>
      <c r="H30" s="386">
        <f t="shared" si="7"/>
        <v>33850074.073572002</v>
      </c>
      <c r="I30" s="653">
        <f>36204.72+3101.17+7695.31+4573.01+4456.7</f>
        <v>56030.909999999996</v>
      </c>
      <c r="J30" s="386">
        <f t="shared" si="9"/>
        <v>22020147.629999999</v>
      </c>
      <c r="K30" s="18"/>
      <c r="L30" s="18"/>
    </row>
    <row r="31" spans="1:12" x14ac:dyDescent="0.2">
      <c r="A31" s="210" t="s">
        <v>236</v>
      </c>
      <c r="B31" s="198" t="s">
        <v>84</v>
      </c>
      <c r="C31" s="186">
        <v>1.4E-2</v>
      </c>
      <c r="D31" s="386">
        <f>C31*$D$44</f>
        <v>9216.2617399999999</v>
      </c>
      <c r="E31" s="386">
        <f t="shared" si="8"/>
        <v>3621990.8638200001</v>
      </c>
      <c r="F31" s="188" t="s">
        <v>221</v>
      </c>
      <c r="G31" s="650" t="s">
        <v>221</v>
      </c>
      <c r="H31" s="650" t="s">
        <v>221</v>
      </c>
      <c r="I31" s="650" t="s">
        <v>221</v>
      </c>
      <c r="J31" s="650" t="s">
        <v>221</v>
      </c>
      <c r="K31" s="18"/>
      <c r="L31" s="18"/>
    </row>
    <row r="32" spans="1:12" x14ac:dyDescent="0.2">
      <c r="A32" s="209" t="s">
        <v>237</v>
      </c>
      <c r="B32" s="208" t="s">
        <v>85</v>
      </c>
      <c r="C32" s="186">
        <v>7.6799999999999993E-2</v>
      </c>
      <c r="D32" s="386">
        <f>C32*$D$44</f>
        <v>50557.778687999999</v>
      </c>
      <c r="E32" s="386">
        <f t="shared" si="8"/>
        <v>19869207.024383999</v>
      </c>
      <c r="F32" s="190">
        <v>8.7099999999999997E-2</v>
      </c>
      <c r="G32" s="386">
        <f>F32*$G$44</f>
        <v>27571.264604</v>
      </c>
      <c r="H32" s="386">
        <f t="shared" ref="H32:H43" si="10">G32*$B$158</f>
        <v>10835506.989372</v>
      </c>
      <c r="I32" s="653">
        <f>26778.37+3034.52+4483.6+4418.14+7572.83</f>
        <v>46287.46</v>
      </c>
      <c r="J32" s="386">
        <f t="shared" ref="J32:J38" si="11">I32*$B$158</f>
        <v>18190971.780000001</v>
      </c>
      <c r="K32" s="18"/>
      <c r="L32" s="18"/>
    </row>
    <row r="33" spans="1:12" x14ac:dyDescent="0.2">
      <c r="A33" s="198" t="s">
        <v>238</v>
      </c>
      <c r="B33" s="198" t="s">
        <v>84</v>
      </c>
      <c r="C33" s="186">
        <v>0.1477</v>
      </c>
      <c r="D33" s="386">
        <f>C33*$D$44</f>
        <v>97231.561356999999</v>
      </c>
      <c r="E33" s="386">
        <f t="shared" si="8"/>
        <v>38212003.613301001</v>
      </c>
      <c r="F33" s="190">
        <v>0.1057</v>
      </c>
      <c r="G33" s="386">
        <f>F33*$G$44</f>
        <v>33459.043268000001</v>
      </c>
      <c r="H33" s="386">
        <f t="shared" si="10"/>
        <v>13149404.004324</v>
      </c>
      <c r="I33" s="653">
        <f>45381.56+3018.44+7723.41+7588.04+7809.72</f>
        <v>71521.17</v>
      </c>
      <c r="J33" s="386">
        <f t="shared" si="11"/>
        <v>28107819.809999999</v>
      </c>
      <c r="K33" s="18"/>
      <c r="L33" s="18"/>
    </row>
    <row r="34" spans="1:12" x14ac:dyDescent="0.2">
      <c r="A34" s="202" t="s">
        <v>250</v>
      </c>
      <c r="B34" s="193" t="s">
        <v>78</v>
      </c>
      <c r="C34" s="185" t="s">
        <v>221</v>
      </c>
      <c r="D34" s="651" t="s">
        <v>221</v>
      </c>
      <c r="E34" s="651" t="s">
        <v>221</v>
      </c>
      <c r="F34" s="187"/>
      <c r="G34" s="386"/>
      <c r="H34" s="386">
        <f t="shared" si="10"/>
        <v>0</v>
      </c>
      <c r="I34" s="653">
        <f>1361+3885.36</f>
        <v>5246.3600000000006</v>
      </c>
      <c r="J34" s="386">
        <f t="shared" si="11"/>
        <v>2061819.4800000002</v>
      </c>
      <c r="K34" s="18"/>
      <c r="L34" s="18"/>
    </row>
    <row r="35" spans="1:12" x14ac:dyDescent="0.2">
      <c r="A35" s="210" t="s">
        <v>251</v>
      </c>
      <c r="B35" s="198" t="s">
        <v>84</v>
      </c>
      <c r="C35" s="185" t="s">
        <v>221</v>
      </c>
      <c r="D35" s="651" t="s">
        <v>221</v>
      </c>
      <c r="E35" s="651" t="s">
        <v>221</v>
      </c>
      <c r="F35" s="187"/>
      <c r="G35" s="386"/>
      <c r="H35" s="386">
        <f t="shared" si="10"/>
        <v>0</v>
      </c>
      <c r="I35" s="653">
        <v>1407.19</v>
      </c>
      <c r="J35" s="386">
        <f t="shared" si="11"/>
        <v>553025.67000000004</v>
      </c>
      <c r="K35" s="18"/>
      <c r="L35" s="18"/>
    </row>
    <row r="36" spans="1:12" x14ac:dyDescent="0.2">
      <c r="A36" s="202" t="s">
        <v>239</v>
      </c>
      <c r="B36" s="193" t="s">
        <v>78</v>
      </c>
      <c r="C36" s="186">
        <v>9.7999999999999997E-3</v>
      </c>
      <c r="D36" s="386">
        <f>C36*$D$44</f>
        <v>6451.3832179999999</v>
      </c>
      <c r="E36" s="386">
        <f>D36*$B$158</f>
        <v>2535393.6046739998</v>
      </c>
      <c r="F36" s="190">
        <v>6.9099999999999995E-2</v>
      </c>
      <c r="G36" s="386">
        <f>F36*$G$44</f>
        <v>21873.414283999999</v>
      </c>
      <c r="H36" s="386">
        <f t="shared" si="10"/>
        <v>8596251.8136119992</v>
      </c>
      <c r="I36" s="653">
        <v>8029.92</v>
      </c>
      <c r="J36" s="386">
        <f t="shared" si="11"/>
        <v>3155758.56</v>
      </c>
      <c r="K36" s="18"/>
      <c r="L36" s="18"/>
    </row>
    <row r="37" spans="1:12" x14ac:dyDescent="0.2">
      <c r="A37" s="202" t="s">
        <v>240</v>
      </c>
      <c r="B37" s="193" t="s">
        <v>78</v>
      </c>
      <c r="C37" s="186">
        <v>1.06E-2</v>
      </c>
      <c r="D37" s="386">
        <f>C37*$D$44</f>
        <v>6978.0267460000005</v>
      </c>
      <c r="E37" s="386">
        <f>D37*$B$158</f>
        <v>2742364.5111780004</v>
      </c>
      <c r="F37" s="190">
        <v>1.09E-2</v>
      </c>
      <c r="G37" s="386">
        <f>F37*$G$44</f>
        <v>3450.364916</v>
      </c>
      <c r="H37" s="386">
        <f t="shared" si="10"/>
        <v>1355993.4119879999</v>
      </c>
      <c r="I37" s="653">
        <f>11002.43+1417.01</f>
        <v>12419.44</v>
      </c>
      <c r="J37" s="386">
        <f t="shared" si="11"/>
        <v>4880839.92</v>
      </c>
      <c r="K37" s="18"/>
      <c r="L37" s="18"/>
    </row>
    <row r="38" spans="1:12" x14ac:dyDescent="0.2">
      <c r="A38" s="202" t="s">
        <v>241</v>
      </c>
      <c r="B38" s="193" t="s">
        <v>78</v>
      </c>
      <c r="C38" s="186">
        <v>0.30309999999999998</v>
      </c>
      <c r="D38" s="386">
        <f>C38*$D$44</f>
        <v>199532.06667100001</v>
      </c>
      <c r="E38" s="386">
        <f>D38*$B$158</f>
        <v>78416102.201702997</v>
      </c>
      <c r="F38" s="190">
        <v>0.19950000000000001</v>
      </c>
      <c r="G38" s="386">
        <f>F38*$G$44</f>
        <v>63151.174380000004</v>
      </c>
      <c r="H38" s="386">
        <f t="shared" si="10"/>
        <v>24818411.531340003</v>
      </c>
      <c r="I38" s="653">
        <f>59518.08+6326.51+8823.88+15685.08</f>
        <v>90353.55</v>
      </c>
      <c r="J38" s="386">
        <f t="shared" si="11"/>
        <v>35508945.149999999</v>
      </c>
      <c r="K38" s="18"/>
      <c r="L38" s="18"/>
    </row>
    <row r="39" spans="1:12" x14ac:dyDescent="0.2">
      <c r="A39" s="202" t="s">
        <v>245</v>
      </c>
      <c r="B39" s="193" t="s">
        <v>78</v>
      </c>
      <c r="C39" s="188" t="s">
        <v>221</v>
      </c>
      <c r="D39" s="650" t="s">
        <v>221</v>
      </c>
      <c r="E39" s="650" t="s">
        <v>221</v>
      </c>
      <c r="F39" s="190">
        <v>5.1999999999999998E-3</v>
      </c>
      <c r="G39" s="386">
        <f>F39*$G$44</f>
        <v>1646.0456479999998</v>
      </c>
      <c r="H39" s="386">
        <f t="shared" si="10"/>
        <v>646895.93966399995</v>
      </c>
      <c r="I39" s="650" t="s">
        <v>221</v>
      </c>
      <c r="J39" s="650" t="s">
        <v>221</v>
      </c>
      <c r="K39" s="18"/>
      <c r="L39" s="18"/>
    </row>
    <row r="40" spans="1:12" x14ac:dyDescent="0.2">
      <c r="A40" s="209" t="s">
        <v>249</v>
      </c>
      <c r="B40" s="208" t="s">
        <v>85</v>
      </c>
      <c r="C40" s="187"/>
      <c r="D40" s="386"/>
      <c r="E40" s="386">
        <f>D40*$B$158</f>
        <v>0</v>
      </c>
      <c r="F40" s="187"/>
      <c r="G40" s="386"/>
      <c r="H40" s="386">
        <f t="shared" si="10"/>
        <v>0</v>
      </c>
      <c r="I40" s="653">
        <v>9298.86</v>
      </c>
      <c r="J40" s="386">
        <f>I40*$B$158</f>
        <v>3654451.9800000004</v>
      </c>
      <c r="K40" s="18"/>
      <c r="L40" s="18"/>
    </row>
    <row r="41" spans="1:12" x14ac:dyDescent="0.2">
      <c r="A41" s="209" t="s">
        <v>86</v>
      </c>
      <c r="B41" s="208" t="s">
        <v>85</v>
      </c>
      <c r="C41" s="187"/>
      <c r="D41" s="386"/>
      <c r="E41" s="386">
        <f>D41*$B$158</f>
        <v>0</v>
      </c>
      <c r="F41" s="187"/>
      <c r="G41" s="386"/>
      <c r="H41" s="386">
        <f t="shared" si="10"/>
        <v>0</v>
      </c>
      <c r="I41" s="653">
        <v>1547.72</v>
      </c>
      <c r="J41" s="386">
        <f>I41*$B$158</f>
        <v>608253.96</v>
      </c>
      <c r="K41" s="18"/>
      <c r="L41" s="18"/>
    </row>
    <row r="42" spans="1:12" x14ac:dyDescent="0.2">
      <c r="A42" s="202" t="s">
        <v>242</v>
      </c>
      <c r="B42" s="193" t="s">
        <v>78</v>
      </c>
      <c r="C42" s="186">
        <v>7.1999999999999998E-3</v>
      </c>
      <c r="D42" s="386">
        <f>C42*$D$44</f>
        <v>4739.7917520000001</v>
      </c>
      <c r="E42" s="386">
        <f>D42*$B$158</f>
        <v>1862738.1585359999</v>
      </c>
      <c r="F42" s="190">
        <v>1.7600000000000001E-2</v>
      </c>
      <c r="G42" s="386">
        <f>F42*$G$44</f>
        <v>5571.2314240000005</v>
      </c>
      <c r="H42" s="386">
        <f t="shared" si="10"/>
        <v>2189493.9496320002</v>
      </c>
      <c r="I42" s="653">
        <v>3122.46</v>
      </c>
      <c r="J42" s="386">
        <f>I42*$B$158</f>
        <v>1227126.78</v>
      </c>
      <c r="K42" s="18"/>
      <c r="L42" s="18"/>
    </row>
    <row r="43" spans="1:12" x14ac:dyDescent="0.2">
      <c r="A43" s="210" t="s">
        <v>243</v>
      </c>
      <c r="B43" s="198" t="s">
        <v>84</v>
      </c>
      <c r="C43" s="186">
        <v>2.3999999999999998E-3</v>
      </c>
      <c r="D43" s="386">
        <f>C43*$D$44</f>
        <v>1579.930584</v>
      </c>
      <c r="E43" s="386">
        <f>D43*$B$158</f>
        <v>620912.71951199998</v>
      </c>
      <c r="F43" s="190">
        <v>9.2999999999999992E-3</v>
      </c>
      <c r="G43" s="386">
        <f>F43*$G$44</f>
        <v>2943.8893319999997</v>
      </c>
      <c r="H43" s="386">
        <f t="shared" si="10"/>
        <v>1156948.5074759999</v>
      </c>
      <c r="I43" s="653">
        <v>1540.67</v>
      </c>
      <c r="J43" s="386">
        <f>I43*$B$158</f>
        <v>605483.31000000006</v>
      </c>
      <c r="K43" s="18"/>
      <c r="L43" s="18"/>
    </row>
    <row r="44" spans="1:12" x14ac:dyDescent="0.2">
      <c r="A44" s="640" t="s">
        <v>247</v>
      </c>
      <c r="B44" s="641"/>
      <c r="C44" s="394"/>
      <c r="D44" s="652">
        <v>658304.41</v>
      </c>
      <c r="E44" s="652">
        <f>SUM(E21:E43)</f>
        <v>258713633.12999997</v>
      </c>
      <c r="F44" s="394"/>
      <c r="G44" s="652">
        <v>316547.24</v>
      </c>
      <c r="H44" s="652">
        <f>SUM(H21:H43)</f>
        <v>124378184.70693603</v>
      </c>
      <c r="I44" s="652">
        <f>SUM(I22:I43)</f>
        <v>455793.91999999993</v>
      </c>
      <c r="J44" s="652">
        <f>SUM(J21:J43)</f>
        <v>179127010.56</v>
      </c>
      <c r="K44" s="18"/>
      <c r="L44" s="18"/>
    </row>
    <row r="45" spans="1:12" x14ac:dyDescent="0.2">
      <c r="A45" s="644" t="s">
        <v>440</v>
      </c>
      <c r="B45" s="645"/>
      <c r="C45" s="645"/>
      <c r="D45" s="645"/>
      <c r="E45" s="645"/>
      <c r="F45" s="645"/>
      <c r="G45" s="645"/>
      <c r="H45" s="645"/>
      <c r="I45" s="645"/>
      <c r="J45" s="646"/>
      <c r="K45" s="18"/>
      <c r="L45" s="18"/>
    </row>
    <row r="46" spans="1:12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x14ac:dyDescent="0.2">
      <c r="A47" s="636" t="s">
        <v>253</v>
      </c>
      <c r="B47" s="636"/>
      <c r="C47" s="636"/>
      <c r="D47" s="636"/>
      <c r="E47" s="636"/>
      <c r="F47" s="636"/>
      <c r="G47" s="636"/>
      <c r="H47" s="636"/>
      <c r="I47" s="18"/>
      <c r="J47" s="18"/>
      <c r="K47" s="18"/>
      <c r="L47" s="18"/>
    </row>
    <row r="48" spans="1:12" x14ac:dyDescent="0.2">
      <c r="A48" s="636" t="s">
        <v>77</v>
      </c>
      <c r="B48" s="636"/>
      <c r="C48" s="636" t="s">
        <v>195</v>
      </c>
      <c r="D48" s="636"/>
      <c r="E48" s="636" t="s">
        <v>196</v>
      </c>
      <c r="F48" s="636"/>
      <c r="G48" s="636" t="s">
        <v>197</v>
      </c>
      <c r="H48" s="636"/>
      <c r="I48" s="18"/>
      <c r="J48" s="18"/>
      <c r="K48" s="18"/>
      <c r="L48" s="18"/>
    </row>
    <row r="49" spans="1:12" x14ac:dyDescent="0.2">
      <c r="A49" s="636"/>
      <c r="B49" s="636"/>
      <c r="C49" s="239" t="s">
        <v>75</v>
      </c>
      <c r="D49" s="239" t="s">
        <v>73</v>
      </c>
      <c r="E49" s="239" t="s">
        <v>75</v>
      </c>
      <c r="F49" s="239" t="s">
        <v>73</v>
      </c>
      <c r="G49" s="239" t="s">
        <v>75</v>
      </c>
      <c r="H49" s="239" t="s">
        <v>73</v>
      </c>
      <c r="I49" s="18"/>
      <c r="J49" s="18"/>
      <c r="K49" s="18"/>
      <c r="L49" s="18"/>
    </row>
    <row r="50" spans="1:12" x14ac:dyDescent="0.2">
      <c r="A50" s="639" t="s">
        <v>273</v>
      </c>
      <c r="B50" s="639"/>
      <c r="C50" s="639"/>
      <c r="D50" s="639"/>
      <c r="E50" s="639"/>
      <c r="F50" s="639"/>
      <c r="G50" s="639"/>
      <c r="H50" s="639"/>
      <c r="I50" s="18"/>
      <c r="J50" s="18"/>
      <c r="K50" s="18"/>
      <c r="L50" s="18"/>
    </row>
    <row r="51" spans="1:12" x14ac:dyDescent="0.2">
      <c r="A51" s="202" t="s">
        <v>293</v>
      </c>
      <c r="B51" s="193" t="s">
        <v>78</v>
      </c>
      <c r="C51" s="192" t="s">
        <v>221</v>
      </c>
      <c r="D51" s="192" t="s">
        <v>221</v>
      </c>
      <c r="E51" s="192">
        <v>55768</v>
      </c>
      <c r="F51" s="192">
        <f>E51*$B$160</f>
        <v>24816760</v>
      </c>
      <c r="G51" s="192">
        <v>64750</v>
      </c>
      <c r="H51" s="192">
        <f>G51*$B$160</f>
        <v>28813750</v>
      </c>
      <c r="I51" s="18"/>
      <c r="J51" s="18"/>
      <c r="K51" s="18"/>
      <c r="L51" s="18"/>
    </row>
    <row r="52" spans="1:12" x14ac:dyDescent="0.2">
      <c r="A52" s="202" t="s">
        <v>256</v>
      </c>
      <c r="B52" s="193" t="s">
        <v>78</v>
      </c>
      <c r="C52" s="192">
        <v>134775</v>
      </c>
      <c r="D52" s="192">
        <f>C52*$B$160</f>
        <v>59974875</v>
      </c>
      <c r="E52" s="192" t="s">
        <v>221</v>
      </c>
      <c r="F52" s="192" t="s">
        <v>221</v>
      </c>
      <c r="G52" s="192" t="s">
        <v>221</v>
      </c>
      <c r="H52" s="192" t="s">
        <v>221</v>
      </c>
      <c r="I52" s="18"/>
      <c r="J52" s="18"/>
      <c r="K52" s="18"/>
      <c r="L52" s="18"/>
    </row>
    <row r="53" spans="1:12" x14ac:dyDescent="0.2">
      <c r="A53" s="185" t="s">
        <v>257</v>
      </c>
      <c r="B53" s="194" t="s">
        <v>80</v>
      </c>
      <c r="C53" s="192" t="s">
        <v>221</v>
      </c>
      <c r="D53" s="192" t="s">
        <v>221</v>
      </c>
      <c r="E53" s="192" t="s">
        <v>221</v>
      </c>
      <c r="F53" s="192" t="s">
        <v>221</v>
      </c>
      <c r="G53" s="192">
        <v>6770</v>
      </c>
      <c r="H53" s="192">
        <f>G53*$B$160</f>
        <v>3012650</v>
      </c>
      <c r="I53" s="18"/>
      <c r="J53" s="18"/>
      <c r="K53" s="18"/>
      <c r="L53" s="18"/>
    </row>
    <row r="54" spans="1:12" x14ac:dyDescent="0.2">
      <c r="A54" s="202" t="s">
        <v>258</v>
      </c>
      <c r="B54" s="193" t="s">
        <v>78</v>
      </c>
      <c r="C54" s="192">
        <v>29262</v>
      </c>
      <c r="D54" s="192">
        <f>C54*$B$160</f>
        <v>13021590</v>
      </c>
      <c r="E54" s="192">
        <v>7374</v>
      </c>
      <c r="F54" s="192">
        <f>E54*$B$160</f>
        <v>3281430</v>
      </c>
      <c r="G54" s="192" t="s">
        <v>221</v>
      </c>
      <c r="H54" s="192" t="s">
        <v>221</v>
      </c>
      <c r="I54" s="18"/>
      <c r="J54" s="18"/>
      <c r="K54" s="18"/>
      <c r="L54" s="18"/>
    </row>
    <row r="55" spans="1:12" x14ac:dyDescent="0.2">
      <c r="A55" s="185" t="s">
        <v>292</v>
      </c>
      <c r="B55" s="200" t="s">
        <v>87</v>
      </c>
      <c r="C55" s="192" t="s">
        <v>221</v>
      </c>
      <c r="D55" s="192" t="s">
        <v>221</v>
      </c>
      <c r="E55" s="192">
        <v>6163</v>
      </c>
      <c r="F55" s="192">
        <f>E55*$B$160</f>
        <v>2742535</v>
      </c>
      <c r="G55" s="192">
        <v>1246</v>
      </c>
      <c r="H55" s="192">
        <f>G55*$B$160</f>
        <v>554470</v>
      </c>
      <c r="I55" s="18"/>
      <c r="J55" s="18"/>
      <c r="K55" s="18"/>
      <c r="L55" s="18"/>
    </row>
    <row r="56" spans="1:12" x14ac:dyDescent="0.2">
      <c r="A56" s="185" t="s">
        <v>259</v>
      </c>
      <c r="B56" s="200" t="s">
        <v>87</v>
      </c>
      <c r="C56" s="192">
        <v>382</v>
      </c>
      <c r="D56" s="192">
        <f>C56*$B$160</f>
        <v>169990</v>
      </c>
      <c r="E56" s="192" t="s">
        <v>221</v>
      </c>
      <c r="F56" s="192" t="s">
        <v>221</v>
      </c>
      <c r="G56" s="192" t="s">
        <v>221</v>
      </c>
      <c r="H56" s="192" t="s">
        <v>221</v>
      </c>
      <c r="I56" s="18"/>
      <c r="J56" s="18"/>
      <c r="K56" s="18"/>
      <c r="L56" s="18"/>
    </row>
    <row r="57" spans="1:12" x14ac:dyDescent="0.2">
      <c r="A57" s="204" t="s">
        <v>254</v>
      </c>
      <c r="B57" s="203" t="s">
        <v>79</v>
      </c>
      <c r="C57" s="192">
        <v>426966</v>
      </c>
      <c r="D57" s="192">
        <f>C57*$B$160</f>
        <v>189999870</v>
      </c>
      <c r="E57" s="192">
        <v>303440</v>
      </c>
      <c r="F57" s="192">
        <f>E57*$B$160</f>
        <v>135030800</v>
      </c>
      <c r="G57" s="192">
        <v>441754</v>
      </c>
      <c r="H57" s="192">
        <f>G57*$B$160</f>
        <v>196580530</v>
      </c>
      <c r="I57" s="18"/>
      <c r="J57" s="18"/>
      <c r="K57" s="18"/>
      <c r="L57" s="18"/>
    </row>
    <row r="58" spans="1:12" x14ac:dyDescent="0.2">
      <c r="A58" s="209" t="s">
        <v>255</v>
      </c>
      <c r="B58" s="208" t="s">
        <v>85</v>
      </c>
      <c r="C58" s="192">
        <v>64408</v>
      </c>
      <c r="D58" s="192">
        <f>C58*$B$160</f>
        <v>28661560</v>
      </c>
      <c r="E58" s="192">
        <v>54789</v>
      </c>
      <c r="F58" s="192">
        <f>E58*$B$160</f>
        <v>24381105</v>
      </c>
      <c r="G58" s="192">
        <v>105671</v>
      </c>
      <c r="H58" s="192">
        <f>G58*$B$160</f>
        <v>47023595</v>
      </c>
      <c r="I58" s="18"/>
      <c r="J58" s="18"/>
      <c r="K58" s="18"/>
      <c r="L58" s="18"/>
    </row>
    <row r="59" spans="1:12" x14ac:dyDescent="0.2">
      <c r="A59" s="209" t="s">
        <v>260</v>
      </c>
      <c r="B59" s="208" t="s">
        <v>85</v>
      </c>
      <c r="C59" s="192" t="s">
        <v>221</v>
      </c>
      <c r="D59" s="192" t="s">
        <v>221</v>
      </c>
      <c r="E59" s="192" t="s">
        <v>221</v>
      </c>
      <c r="F59" s="192" t="s">
        <v>221</v>
      </c>
      <c r="G59" s="192" t="s">
        <v>221</v>
      </c>
      <c r="H59" s="192" t="s">
        <v>221</v>
      </c>
      <c r="I59" s="18"/>
      <c r="J59" s="18"/>
      <c r="K59" s="18"/>
      <c r="L59" s="18"/>
    </row>
    <row r="60" spans="1:12" x14ac:dyDescent="0.2">
      <c r="A60" s="209" t="s">
        <v>261</v>
      </c>
      <c r="B60" s="208" t="s">
        <v>85</v>
      </c>
      <c r="C60" s="192" t="s">
        <v>221</v>
      </c>
      <c r="D60" s="192" t="s">
        <v>221</v>
      </c>
      <c r="E60" s="192" t="s">
        <v>221</v>
      </c>
      <c r="F60" s="192" t="s">
        <v>221</v>
      </c>
      <c r="G60" s="192" t="s">
        <v>221</v>
      </c>
      <c r="H60" s="192" t="s">
        <v>221</v>
      </c>
      <c r="I60" s="18"/>
      <c r="J60" s="18"/>
      <c r="K60" s="18"/>
      <c r="L60" s="18"/>
    </row>
    <row r="61" spans="1:12" x14ac:dyDescent="0.2">
      <c r="A61" s="204" t="s">
        <v>262</v>
      </c>
      <c r="B61" s="203" t="s">
        <v>79</v>
      </c>
      <c r="C61" s="192">
        <v>74604</v>
      </c>
      <c r="D61" s="192">
        <f>C61*$B$160</f>
        <v>33198780</v>
      </c>
      <c r="E61" s="192">
        <v>41806</v>
      </c>
      <c r="F61" s="192">
        <f>E61*$B$160</f>
        <v>18603670</v>
      </c>
      <c r="G61" s="192">
        <v>91123</v>
      </c>
      <c r="H61" s="192">
        <f>G61*$B$160</f>
        <v>40549735</v>
      </c>
      <c r="I61" s="18"/>
      <c r="J61" s="18"/>
      <c r="K61" s="18"/>
      <c r="L61" s="18"/>
    </row>
    <row r="62" spans="1:12" x14ac:dyDescent="0.2">
      <c r="A62" s="209" t="s">
        <v>263</v>
      </c>
      <c r="B62" s="208" t="s">
        <v>85</v>
      </c>
      <c r="C62" s="192" t="s">
        <v>221</v>
      </c>
      <c r="D62" s="192" t="s">
        <v>221</v>
      </c>
      <c r="E62" s="192" t="s">
        <v>221</v>
      </c>
      <c r="F62" s="192" t="s">
        <v>221</v>
      </c>
      <c r="G62" s="192" t="s">
        <v>221</v>
      </c>
      <c r="H62" s="192" t="s">
        <v>221</v>
      </c>
      <c r="I62" s="18"/>
      <c r="J62" s="18"/>
      <c r="K62" s="18"/>
      <c r="L62" s="18"/>
    </row>
    <row r="63" spans="1:12" x14ac:dyDescent="0.2">
      <c r="A63" s="209" t="s">
        <v>264</v>
      </c>
      <c r="B63" s="208" t="s">
        <v>85</v>
      </c>
      <c r="C63" s="192" t="s">
        <v>221</v>
      </c>
      <c r="D63" s="192" t="s">
        <v>221</v>
      </c>
      <c r="E63" s="192" t="s">
        <v>221</v>
      </c>
      <c r="F63" s="192" t="s">
        <v>221</v>
      </c>
      <c r="G63" s="192" t="s">
        <v>221</v>
      </c>
      <c r="H63" s="192" t="s">
        <v>221</v>
      </c>
      <c r="I63" s="18"/>
      <c r="J63" s="18"/>
      <c r="K63" s="18"/>
      <c r="L63" s="18"/>
    </row>
    <row r="64" spans="1:12" x14ac:dyDescent="0.2">
      <c r="A64" s="205" t="s">
        <v>265</v>
      </c>
      <c r="B64" s="194" t="s">
        <v>80</v>
      </c>
      <c r="C64" s="192">
        <v>1440</v>
      </c>
      <c r="D64" s="192">
        <f>C64*$B$160</f>
        <v>640800</v>
      </c>
      <c r="E64" s="192">
        <v>2825</v>
      </c>
      <c r="F64" s="192">
        <f>E64*$B$160</f>
        <v>1257125</v>
      </c>
      <c r="G64" s="192">
        <v>1362</v>
      </c>
      <c r="H64" s="192">
        <f>G64*$B$160</f>
        <v>606090</v>
      </c>
      <c r="I64" s="18"/>
      <c r="J64" s="18"/>
      <c r="K64" s="18"/>
      <c r="L64" s="18"/>
    </row>
    <row r="65" spans="1:12" x14ac:dyDescent="0.2">
      <c r="A65" s="210" t="s">
        <v>266</v>
      </c>
      <c r="B65" s="198" t="s">
        <v>84</v>
      </c>
      <c r="C65" s="192">
        <v>2934</v>
      </c>
      <c r="D65" s="192">
        <f>C65*$B$160</f>
        <v>1305630</v>
      </c>
      <c r="E65" s="192" t="s">
        <v>221</v>
      </c>
      <c r="F65" s="192" t="s">
        <v>221</v>
      </c>
      <c r="G65" s="192">
        <v>14551</v>
      </c>
      <c r="H65" s="192">
        <f>G65*$B$160</f>
        <v>6475195</v>
      </c>
      <c r="I65" s="18"/>
      <c r="J65" s="18"/>
      <c r="K65" s="18"/>
      <c r="L65" s="18"/>
    </row>
    <row r="66" spans="1:12" x14ac:dyDescent="0.2">
      <c r="A66" s="204" t="s">
        <v>267</v>
      </c>
      <c r="B66" s="203" t="s">
        <v>79</v>
      </c>
      <c r="C66" s="192" t="s">
        <v>221</v>
      </c>
      <c r="D66" s="192" t="s">
        <v>221</v>
      </c>
      <c r="E66" s="192" t="s">
        <v>221</v>
      </c>
      <c r="F66" s="192" t="s">
        <v>221</v>
      </c>
      <c r="G66" s="192" t="s">
        <v>221</v>
      </c>
      <c r="H66" s="192" t="s">
        <v>221</v>
      </c>
      <c r="I66" s="18"/>
      <c r="J66" s="18"/>
      <c r="K66" s="18"/>
      <c r="L66" s="18"/>
    </row>
    <row r="67" spans="1:12" x14ac:dyDescent="0.2">
      <c r="A67" s="209" t="s">
        <v>268</v>
      </c>
      <c r="B67" s="208" t="s">
        <v>85</v>
      </c>
      <c r="C67" s="192">
        <v>9791</v>
      </c>
      <c r="D67" s="192">
        <f>C67*$B$160</f>
        <v>4356995</v>
      </c>
      <c r="E67" s="192">
        <v>13754</v>
      </c>
      <c r="F67" s="192">
        <f>E67*$B$160</f>
        <v>6120530</v>
      </c>
      <c r="G67" s="192">
        <v>12450</v>
      </c>
      <c r="H67" s="192">
        <f>G67*$B$160</f>
        <v>5540250</v>
      </c>
      <c r="I67" s="18"/>
      <c r="J67" s="18"/>
      <c r="K67" s="18"/>
      <c r="L67" s="18"/>
    </row>
    <row r="68" spans="1:12" x14ac:dyDescent="0.2">
      <c r="A68" s="206" t="s">
        <v>269</v>
      </c>
      <c r="B68" s="195" t="s">
        <v>81</v>
      </c>
      <c r="C68" s="192" t="s">
        <v>221</v>
      </c>
      <c r="D68" s="192" t="s">
        <v>221</v>
      </c>
      <c r="E68" s="192" t="s">
        <v>221</v>
      </c>
      <c r="F68" s="192" t="s">
        <v>221</v>
      </c>
      <c r="G68" s="192" t="s">
        <v>221</v>
      </c>
      <c r="H68" s="192" t="s">
        <v>221</v>
      </c>
      <c r="I68" s="18"/>
      <c r="J68" s="18"/>
      <c r="K68" s="18"/>
      <c r="L68" s="18"/>
    </row>
    <row r="69" spans="1:12" x14ac:dyDescent="0.2">
      <c r="A69" s="205" t="s">
        <v>270</v>
      </c>
      <c r="B69" s="194" t="s">
        <v>80</v>
      </c>
      <c r="C69" s="192" t="s">
        <v>221</v>
      </c>
      <c r="D69" s="192" t="s">
        <v>221</v>
      </c>
      <c r="E69" s="192" t="s">
        <v>221</v>
      </c>
      <c r="F69" s="192" t="s">
        <v>221</v>
      </c>
      <c r="G69" s="192" t="s">
        <v>221</v>
      </c>
      <c r="H69" s="192" t="s">
        <v>221</v>
      </c>
      <c r="I69" s="18"/>
      <c r="J69" s="18"/>
      <c r="K69" s="18"/>
      <c r="L69" s="18"/>
    </row>
    <row r="70" spans="1:12" x14ac:dyDescent="0.2">
      <c r="A70" s="185" t="s">
        <v>271</v>
      </c>
      <c r="B70" s="194" t="s">
        <v>80</v>
      </c>
      <c r="C70" s="192">
        <v>3115</v>
      </c>
      <c r="D70" s="192">
        <f>C70*$B$160</f>
        <v>1386175</v>
      </c>
      <c r="E70" s="192" t="s">
        <v>221</v>
      </c>
      <c r="F70" s="192" t="s">
        <v>221</v>
      </c>
      <c r="G70" s="192" t="s">
        <v>221</v>
      </c>
      <c r="H70" s="192" t="s">
        <v>221</v>
      </c>
      <c r="I70" s="18"/>
      <c r="J70" s="18"/>
      <c r="K70" s="18"/>
      <c r="L70" s="18"/>
    </row>
    <row r="71" spans="1:12" x14ac:dyDescent="0.2">
      <c r="A71" s="205" t="s">
        <v>272</v>
      </c>
      <c r="B71" s="194" t="s">
        <v>80</v>
      </c>
      <c r="C71" s="192" t="s">
        <v>221</v>
      </c>
      <c r="D71" s="192" t="s">
        <v>221</v>
      </c>
      <c r="E71" s="192" t="s">
        <v>221</v>
      </c>
      <c r="F71" s="192" t="s">
        <v>221</v>
      </c>
      <c r="G71" s="192" t="s">
        <v>221</v>
      </c>
      <c r="H71" s="192" t="s">
        <v>221</v>
      </c>
      <c r="I71" s="18"/>
      <c r="J71" s="18"/>
      <c r="K71" s="18"/>
      <c r="L71" s="18"/>
    </row>
    <row r="72" spans="1:12" x14ac:dyDescent="0.2">
      <c r="A72" s="639" t="s">
        <v>274</v>
      </c>
      <c r="B72" s="639"/>
      <c r="C72" s="639"/>
      <c r="D72" s="639"/>
      <c r="E72" s="639"/>
      <c r="F72" s="639"/>
      <c r="G72" s="639"/>
      <c r="H72" s="639"/>
      <c r="I72" s="18"/>
      <c r="J72" s="18"/>
      <c r="K72" s="18"/>
      <c r="L72" s="18"/>
    </row>
    <row r="73" spans="1:12" x14ac:dyDescent="0.2">
      <c r="A73" s="202" t="s">
        <v>294</v>
      </c>
      <c r="B73" s="193" t="s">
        <v>78</v>
      </c>
      <c r="C73" s="192" t="s">
        <v>221</v>
      </c>
      <c r="D73" s="192" t="s">
        <v>221</v>
      </c>
      <c r="E73" s="192" t="s">
        <v>221</v>
      </c>
      <c r="F73" s="192" t="s">
        <v>221</v>
      </c>
      <c r="G73" s="192" t="s">
        <v>221</v>
      </c>
      <c r="H73" s="192" t="s">
        <v>221</v>
      </c>
      <c r="I73" s="18"/>
      <c r="J73" s="18"/>
      <c r="K73" s="18"/>
      <c r="L73" s="18"/>
    </row>
    <row r="74" spans="1:12" x14ac:dyDescent="0.2">
      <c r="A74" s="185" t="s">
        <v>292</v>
      </c>
      <c r="B74" s="200" t="s">
        <v>87</v>
      </c>
      <c r="C74" s="192" t="s">
        <v>221</v>
      </c>
      <c r="D74" s="192" t="s">
        <v>221</v>
      </c>
      <c r="E74" s="192" t="s">
        <v>221</v>
      </c>
      <c r="F74" s="192" t="s">
        <v>221</v>
      </c>
      <c r="G74" s="192">
        <v>2333</v>
      </c>
      <c r="H74" s="192">
        <f>G74*$B$160</f>
        <v>1038185</v>
      </c>
      <c r="I74" s="18"/>
      <c r="J74" s="18"/>
      <c r="K74" s="18"/>
      <c r="L74" s="18"/>
    </row>
    <row r="75" spans="1:12" x14ac:dyDescent="0.2">
      <c r="A75" s="202" t="s">
        <v>275</v>
      </c>
      <c r="B75" s="193" t="s">
        <v>78</v>
      </c>
      <c r="C75" s="192" t="s">
        <v>221</v>
      </c>
      <c r="D75" s="192" t="s">
        <v>221</v>
      </c>
      <c r="E75" s="192" t="s">
        <v>221</v>
      </c>
      <c r="F75" s="192" t="s">
        <v>221</v>
      </c>
      <c r="G75" s="192" t="s">
        <v>221</v>
      </c>
      <c r="H75" s="192" t="s">
        <v>221</v>
      </c>
      <c r="I75" s="18"/>
      <c r="J75" s="18"/>
      <c r="K75" s="18"/>
      <c r="L75" s="18"/>
    </row>
    <row r="76" spans="1:12" x14ac:dyDescent="0.2">
      <c r="A76" s="185" t="s">
        <v>259</v>
      </c>
      <c r="B76" s="200" t="s">
        <v>87</v>
      </c>
      <c r="C76" s="192">
        <v>2308</v>
      </c>
      <c r="D76" s="192">
        <f>C76*$B$160</f>
        <v>1027060</v>
      </c>
      <c r="E76" s="192">
        <v>162</v>
      </c>
      <c r="F76" s="192">
        <f>E76*$B$160</f>
        <v>72090</v>
      </c>
      <c r="G76" s="192" t="s">
        <v>221</v>
      </c>
      <c r="H76" s="192" t="s">
        <v>221</v>
      </c>
      <c r="I76" s="18"/>
      <c r="J76" s="18"/>
      <c r="K76" s="18"/>
      <c r="L76" s="18"/>
    </row>
    <row r="77" spans="1:12" x14ac:dyDescent="0.2">
      <c r="A77" s="185" t="s">
        <v>257</v>
      </c>
      <c r="B77" s="194" t="s">
        <v>80</v>
      </c>
      <c r="C77" s="192" t="s">
        <v>221</v>
      </c>
      <c r="D77" s="192" t="s">
        <v>221</v>
      </c>
      <c r="E77" s="192">
        <v>315</v>
      </c>
      <c r="F77" s="192">
        <f>E77*$B$160</f>
        <v>140175</v>
      </c>
      <c r="G77" s="192">
        <v>3536</v>
      </c>
      <c r="H77" s="192">
        <f>G77*$B$160</f>
        <v>1573520</v>
      </c>
      <c r="I77" s="18"/>
      <c r="J77" s="18"/>
      <c r="K77" s="18"/>
      <c r="L77" s="18"/>
    </row>
    <row r="78" spans="1:12" x14ac:dyDescent="0.2">
      <c r="A78" s="210" t="s">
        <v>276</v>
      </c>
      <c r="B78" s="198" t="s">
        <v>84</v>
      </c>
      <c r="C78" s="192" t="s">
        <v>221</v>
      </c>
      <c r="D78" s="192" t="s">
        <v>221</v>
      </c>
      <c r="E78" s="192" t="s">
        <v>221</v>
      </c>
      <c r="F78" s="192" t="s">
        <v>221</v>
      </c>
      <c r="G78" s="192" t="s">
        <v>221</v>
      </c>
      <c r="H78" s="192" t="s">
        <v>221</v>
      </c>
      <c r="I78" s="18"/>
      <c r="J78" s="18"/>
      <c r="K78" s="18"/>
      <c r="L78" s="18"/>
    </row>
    <row r="79" spans="1:12" x14ac:dyDescent="0.2">
      <c r="A79" s="210" t="s">
        <v>277</v>
      </c>
      <c r="B79" s="198" t="s">
        <v>84</v>
      </c>
      <c r="C79" s="192">
        <v>26139</v>
      </c>
      <c r="D79" s="192">
        <f>C79*$B$160</f>
        <v>11631855</v>
      </c>
      <c r="E79" s="192">
        <v>17393</v>
      </c>
      <c r="F79" s="192">
        <f>E79*$B$160</f>
        <v>7739885</v>
      </c>
      <c r="G79" s="192">
        <v>7771</v>
      </c>
      <c r="H79" s="192">
        <f>G79*$B$160</f>
        <v>3458095</v>
      </c>
      <c r="I79" s="18"/>
      <c r="J79" s="18"/>
      <c r="K79" s="18"/>
      <c r="L79" s="18"/>
    </row>
    <row r="80" spans="1:12" x14ac:dyDescent="0.2">
      <c r="A80" s="209" t="s">
        <v>278</v>
      </c>
      <c r="B80" s="208" t="s">
        <v>85</v>
      </c>
      <c r="C80" s="192" t="s">
        <v>221</v>
      </c>
      <c r="D80" s="192" t="s">
        <v>221</v>
      </c>
      <c r="E80" s="192" t="s">
        <v>221</v>
      </c>
      <c r="F80" s="192" t="s">
        <v>221</v>
      </c>
      <c r="G80" s="192" t="s">
        <v>221</v>
      </c>
      <c r="H80" s="192" t="s">
        <v>221</v>
      </c>
      <c r="I80" s="18"/>
      <c r="J80" s="18"/>
      <c r="K80" s="18"/>
      <c r="L80" s="18"/>
    </row>
    <row r="81" spans="1:12" x14ac:dyDescent="0.2">
      <c r="A81" s="209" t="s">
        <v>279</v>
      </c>
      <c r="B81" s="208" t="s">
        <v>85</v>
      </c>
      <c r="C81" s="192">
        <v>249184</v>
      </c>
      <c r="D81" s="192">
        <f>C81*$B$160</f>
        <v>110886880</v>
      </c>
      <c r="E81" s="192">
        <v>204536</v>
      </c>
      <c r="F81" s="192">
        <f>E81*$B$160</f>
        <v>91018520</v>
      </c>
      <c r="G81" s="192">
        <v>349471</v>
      </c>
      <c r="H81" s="192">
        <f>G81*$B$160</f>
        <v>155514595</v>
      </c>
      <c r="I81" s="18"/>
      <c r="J81" s="18"/>
      <c r="K81" s="18"/>
      <c r="L81" s="18"/>
    </row>
    <row r="82" spans="1:12" x14ac:dyDescent="0.2">
      <c r="A82" s="209" t="s">
        <v>280</v>
      </c>
      <c r="B82" s="208" t="s">
        <v>85</v>
      </c>
      <c r="C82" s="192">
        <v>118588</v>
      </c>
      <c r="D82" s="192">
        <f>C82*$B$160</f>
        <v>52771660</v>
      </c>
      <c r="E82" s="192">
        <v>12072</v>
      </c>
      <c r="F82" s="192">
        <f>E82*$B$160</f>
        <v>5372040</v>
      </c>
      <c r="G82" s="192" t="s">
        <v>221</v>
      </c>
      <c r="H82" s="192" t="s">
        <v>221</v>
      </c>
      <c r="I82" s="18"/>
      <c r="J82" s="18"/>
      <c r="K82" s="18"/>
      <c r="L82" s="18"/>
    </row>
    <row r="83" spans="1:12" x14ac:dyDescent="0.2">
      <c r="A83" s="209" t="s">
        <v>281</v>
      </c>
      <c r="B83" s="208" t="s">
        <v>85</v>
      </c>
      <c r="C83" s="192" t="s">
        <v>221</v>
      </c>
      <c r="D83" s="192" t="s">
        <v>221</v>
      </c>
      <c r="E83" s="192">
        <v>21884</v>
      </c>
      <c r="F83" s="192">
        <f>E83*$B$160</f>
        <v>9738380</v>
      </c>
      <c r="G83" s="192" t="s">
        <v>221</v>
      </c>
      <c r="H83" s="192" t="s">
        <v>221</v>
      </c>
      <c r="I83" s="18"/>
      <c r="J83" s="18"/>
      <c r="K83" s="18"/>
      <c r="L83" s="18"/>
    </row>
    <row r="84" spans="1:12" x14ac:dyDescent="0.2">
      <c r="A84" s="209" t="s">
        <v>282</v>
      </c>
      <c r="B84" s="208" t="s">
        <v>85</v>
      </c>
      <c r="C84" s="192">
        <v>385004</v>
      </c>
      <c r="D84" s="192">
        <f>C84*$B$160</f>
        <v>171326780</v>
      </c>
      <c r="E84" s="192">
        <v>333850</v>
      </c>
      <c r="F84" s="192">
        <f>E84*$B$160</f>
        <v>148563250</v>
      </c>
      <c r="G84" s="192">
        <v>469337</v>
      </c>
      <c r="H84" s="192">
        <f>G84*$B$160</f>
        <v>208854965</v>
      </c>
      <c r="I84" s="18"/>
      <c r="J84" s="18"/>
      <c r="K84" s="18"/>
      <c r="L84" s="18"/>
    </row>
    <row r="85" spans="1:12" x14ac:dyDescent="0.2">
      <c r="A85" s="209" t="s">
        <v>283</v>
      </c>
      <c r="B85" s="208" t="s">
        <v>85</v>
      </c>
      <c r="C85" s="192" t="s">
        <v>221</v>
      </c>
      <c r="D85" s="192" t="s">
        <v>221</v>
      </c>
      <c r="E85" s="192" t="s">
        <v>221</v>
      </c>
      <c r="F85" s="192" t="s">
        <v>221</v>
      </c>
      <c r="G85" s="192" t="s">
        <v>221</v>
      </c>
      <c r="H85" s="192" t="s">
        <v>221</v>
      </c>
      <c r="I85" s="18"/>
      <c r="J85" s="18"/>
      <c r="K85" s="18"/>
      <c r="L85" s="18"/>
    </row>
    <row r="86" spans="1:12" x14ac:dyDescent="0.2">
      <c r="A86" s="209" t="s">
        <v>284</v>
      </c>
      <c r="B86" s="208" t="s">
        <v>85</v>
      </c>
      <c r="C86" s="192" t="s">
        <v>221</v>
      </c>
      <c r="D86" s="192" t="s">
        <v>221</v>
      </c>
      <c r="E86" s="192" t="s">
        <v>221</v>
      </c>
      <c r="F86" s="192" t="s">
        <v>221</v>
      </c>
      <c r="G86" s="192" t="s">
        <v>221</v>
      </c>
      <c r="H86" s="192" t="s">
        <v>221</v>
      </c>
      <c r="I86" s="18"/>
      <c r="J86" s="18"/>
      <c r="K86" s="18"/>
      <c r="L86" s="18"/>
    </row>
    <row r="87" spans="1:12" x14ac:dyDescent="0.2">
      <c r="A87" s="204" t="s">
        <v>285</v>
      </c>
      <c r="B87" s="203" t="s">
        <v>79</v>
      </c>
      <c r="C87" s="192">
        <v>227478</v>
      </c>
      <c r="D87" s="192">
        <f>C87*$B$160</f>
        <v>101227710</v>
      </c>
      <c r="E87" s="192">
        <v>162659</v>
      </c>
      <c r="F87" s="192">
        <f>E87*$B$160</f>
        <v>72383255</v>
      </c>
      <c r="G87" s="192">
        <v>359220</v>
      </c>
      <c r="H87" s="192">
        <f>G87*$B$160</f>
        <v>159852900</v>
      </c>
      <c r="I87" s="18"/>
      <c r="J87" s="18"/>
      <c r="K87" s="18"/>
      <c r="L87" s="18"/>
    </row>
    <row r="88" spans="1:12" x14ac:dyDescent="0.2">
      <c r="A88" s="204" t="s">
        <v>286</v>
      </c>
      <c r="B88" s="203" t="s">
        <v>79</v>
      </c>
      <c r="C88" s="192">
        <v>293830</v>
      </c>
      <c r="D88" s="192">
        <f>C88*$B$160</f>
        <v>130754350</v>
      </c>
      <c r="E88" s="192">
        <v>93503</v>
      </c>
      <c r="F88" s="192">
        <f>E88*$B$160</f>
        <v>41608835</v>
      </c>
      <c r="G88" s="192">
        <v>106114</v>
      </c>
      <c r="H88" s="192">
        <f>G88*$B$160</f>
        <v>47220730</v>
      </c>
      <c r="I88" s="18"/>
      <c r="J88" s="18"/>
      <c r="K88" s="18"/>
      <c r="L88" s="18"/>
    </row>
    <row r="89" spans="1:12" x14ac:dyDescent="0.2">
      <c r="A89" s="185" t="s">
        <v>287</v>
      </c>
      <c r="B89" s="194" t="s">
        <v>80</v>
      </c>
      <c r="C89" s="192" t="s">
        <v>221</v>
      </c>
      <c r="D89" s="192" t="s">
        <v>221</v>
      </c>
      <c r="E89" s="192" t="s">
        <v>221</v>
      </c>
      <c r="F89" s="192" t="s">
        <v>221</v>
      </c>
      <c r="G89" s="192" t="s">
        <v>221</v>
      </c>
      <c r="H89" s="192" t="s">
        <v>221</v>
      </c>
      <c r="I89" s="18"/>
      <c r="J89" s="18"/>
      <c r="K89" s="18"/>
      <c r="L89" s="18"/>
    </row>
    <row r="90" spans="1:12" x14ac:dyDescent="0.2">
      <c r="A90" s="206" t="s">
        <v>289</v>
      </c>
      <c r="B90" s="195" t="s">
        <v>81</v>
      </c>
      <c r="C90" s="192" t="s">
        <v>221</v>
      </c>
      <c r="D90" s="192" t="s">
        <v>221</v>
      </c>
      <c r="E90" s="192" t="s">
        <v>221</v>
      </c>
      <c r="F90" s="192" t="s">
        <v>221</v>
      </c>
      <c r="G90" s="192">
        <v>8803</v>
      </c>
      <c r="H90" s="192">
        <f>G90*$B$160</f>
        <v>3917335</v>
      </c>
      <c r="I90" s="18"/>
      <c r="J90" s="18"/>
      <c r="K90" s="18"/>
      <c r="L90" s="18"/>
    </row>
    <row r="91" spans="1:12" x14ac:dyDescent="0.2">
      <c r="A91" s="210" t="s">
        <v>288</v>
      </c>
      <c r="B91" s="198" t="s">
        <v>84</v>
      </c>
      <c r="C91" s="192">
        <v>29331</v>
      </c>
      <c r="D91" s="192">
        <f>C91*$B$160</f>
        <v>13052295</v>
      </c>
      <c r="E91" s="192">
        <v>26298</v>
      </c>
      <c r="F91" s="192">
        <f>E91*$B$160</f>
        <v>11702610</v>
      </c>
      <c r="G91" s="192" t="s">
        <v>221</v>
      </c>
      <c r="H91" s="192" t="s">
        <v>221</v>
      </c>
      <c r="I91" s="18"/>
      <c r="J91" s="18"/>
      <c r="K91" s="18"/>
      <c r="L91" s="18"/>
    </row>
    <row r="92" spans="1:12" x14ac:dyDescent="0.2">
      <c r="A92" s="206" t="s">
        <v>290</v>
      </c>
      <c r="B92" s="195" t="s">
        <v>81</v>
      </c>
      <c r="C92" s="192" t="s">
        <v>221</v>
      </c>
      <c r="D92" s="192" t="s">
        <v>221</v>
      </c>
      <c r="E92" s="192" t="s">
        <v>221</v>
      </c>
      <c r="F92" s="192" t="s">
        <v>221</v>
      </c>
      <c r="G92" s="192" t="s">
        <v>221</v>
      </c>
      <c r="H92" s="192" t="s">
        <v>221</v>
      </c>
      <c r="I92" s="18"/>
      <c r="J92" s="18"/>
      <c r="K92" s="18"/>
      <c r="L92" s="18"/>
    </row>
    <row r="93" spans="1:12" x14ac:dyDescent="0.2">
      <c r="A93" s="210" t="s">
        <v>291</v>
      </c>
      <c r="B93" s="198" t="s">
        <v>84</v>
      </c>
      <c r="C93" s="192">
        <v>5574</v>
      </c>
      <c r="D93" s="192">
        <f>C93*$B$160</f>
        <v>2480430</v>
      </c>
      <c r="E93" s="192" t="s">
        <v>221</v>
      </c>
      <c r="F93" s="192" t="s">
        <v>221</v>
      </c>
      <c r="G93" s="192" t="s">
        <v>221</v>
      </c>
      <c r="H93" s="185" t="s">
        <v>221</v>
      </c>
      <c r="I93" s="18"/>
      <c r="J93" s="18"/>
      <c r="K93" s="18"/>
      <c r="L93" s="18"/>
    </row>
    <row r="94" spans="1:12" x14ac:dyDescent="0.2">
      <c r="A94" s="640" t="s">
        <v>0</v>
      </c>
      <c r="B94" s="641"/>
      <c r="C94" s="395">
        <f>SUM(C51:C93)</f>
        <v>2085113</v>
      </c>
      <c r="D94" s="395">
        <f t="shared" ref="D94:H94" si="12">SUM(D51:D93)</f>
        <v>927875285</v>
      </c>
      <c r="E94" s="395">
        <f t="shared" si="12"/>
        <v>1358591</v>
      </c>
      <c r="F94" s="395">
        <f t="shared" si="12"/>
        <v>604572995</v>
      </c>
      <c r="G94" s="395">
        <f t="shared" si="12"/>
        <v>2046262</v>
      </c>
      <c r="H94" s="395">
        <f t="shared" si="12"/>
        <v>910586590</v>
      </c>
      <c r="I94" s="18"/>
      <c r="J94" s="18"/>
      <c r="K94" s="18"/>
      <c r="L94" s="18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x14ac:dyDescent="0.2">
      <c r="A96" s="636" t="s">
        <v>194</v>
      </c>
      <c r="B96" s="636"/>
      <c r="C96" s="636"/>
      <c r="D96" s="636"/>
      <c r="E96" s="636"/>
      <c r="F96" s="636"/>
      <c r="G96" s="636"/>
      <c r="H96" s="636"/>
      <c r="I96" s="18"/>
      <c r="J96" s="18"/>
      <c r="K96" s="18"/>
      <c r="L96" s="18"/>
    </row>
    <row r="97" spans="1:12" x14ac:dyDescent="0.2">
      <c r="A97" s="636" t="s">
        <v>77</v>
      </c>
      <c r="B97" s="636"/>
      <c r="C97" s="636" t="s">
        <v>195</v>
      </c>
      <c r="D97" s="636"/>
      <c r="E97" s="636" t="s">
        <v>196</v>
      </c>
      <c r="F97" s="636"/>
      <c r="G97" s="636" t="s">
        <v>197</v>
      </c>
      <c r="H97" s="636"/>
      <c r="I97" s="18"/>
      <c r="J97" s="18"/>
      <c r="K97" s="18"/>
      <c r="L97" s="18"/>
    </row>
    <row r="98" spans="1:12" x14ac:dyDescent="0.2">
      <c r="A98" s="636"/>
      <c r="B98" s="636"/>
      <c r="C98" s="239" t="s">
        <v>75</v>
      </c>
      <c r="D98" s="239" t="s">
        <v>73</v>
      </c>
      <c r="E98" s="239" t="s">
        <v>75</v>
      </c>
      <c r="F98" s="239" t="s">
        <v>73</v>
      </c>
      <c r="G98" s="239" t="s">
        <v>75</v>
      </c>
      <c r="H98" s="239" t="s">
        <v>73</v>
      </c>
      <c r="I98" s="18"/>
      <c r="J98" s="18"/>
      <c r="K98" s="18"/>
      <c r="L98" s="18"/>
    </row>
    <row r="99" spans="1:12" ht="16.5" x14ac:dyDescent="0.3">
      <c r="A99" s="396" t="s">
        <v>229</v>
      </c>
      <c r="B99" s="396"/>
      <c r="C99" s="396"/>
      <c r="D99" s="396"/>
      <c r="E99" s="396"/>
      <c r="F99" s="396"/>
      <c r="G99" s="396"/>
      <c r="H99" s="396"/>
      <c r="I99" s="18"/>
      <c r="J99" s="18"/>
      <c r="K99" s="18"/>
      <c r="L99" s="18"/>
    </row>
    <row r="100" spans="1:12" x14ac:dyDescent="0.2">
      <c r="A100" s="213" t="s">
        <v>198</v>
      </c>
      <c r="B100" s="198" t="s">
        <v>84</v>
      </c>
      <c r="C100" s="79">
        <v>26388.12</v>
      </c>
      <c r="D100" s="79">
        <f>C100*$B$159</f>
        <v>11399667.84</v>
      </c>
      <c r="E100" s="79">
        <v>6129.79</v>
      </c>
      <c r="F100" s="79">
        <f>E100*$B$159</f>
        <v>2648069.2799999998</v>
      </c>
      <c r="G100" s="79">
        <v>41452.11</v>
      </c>
      <c r="H100" s="79">
        <f>G100*$B$159</f>
        <v>17907311.52</v>
      </c>
      <c r="I100" s="18"/>
      <c r="J100" s="18"/>
      <c r="K100" s="18"/>
      <c r="L100" s="18"/>
    </row>
    <row r="101" spans="1:12" x14ac:dyDescent="0.2">
      <c r="A101" s="214" t="s">
        <v>199</v>
      </c>
      <c r="B101" s="197" t="s">
        <v>83</v>
      </c>
      <c r="C101" s="79">
        <f>55511.952</f>
        <v>55511.951999999997</v>
      </c>
      <c r="D101" s="79">
        <f t="shared" ref="D101:F119" si="13">C101*$B$159</f>
        <v>23981163.263999999</v>
      </c>
      <c r="E101" s="79">
        <v>35401.182000000001</v>
      </c>
      <c r="F101" s="79">
        <f t="shared" si="13"/>
        <v>15293310.624</v>
      </c>
      <c r="G101" s="79">
        <v>37399.894</v>
      </c>
      <c r="H101" s="79">
        <f t="shared" ref="H101" si="14">G101*$B$159</f>
        <v>16156754.208000001</v>
      </c>
      <c r="I101" s="18"/>
      <c r="J101" s="18"/>
      <c r="K101" s="18"/>
      <c r="L101" s="18"/>
    </row>
    <row r="102" spans="1:12" x14ac:dyDescent="0.2">
      <c r="A102" s="214" t="s">
        <v>200</v>
      </c>
      <c r="B102" s="197" t="s">
        <v>83</v>
      </c>
      <c r="C102" s="79">
        <f>25190.57+9905.09</f>
        <v>35095.660000000003</v>
      </c>
      <c r="D102" s="79">
        <f t="shared" si="13"/>
        <v>15161325.120000001</v>
      </c>
      <c r="E102" s="79">
        <f>16012.02+9892.06</f>
        <v>25904.080000000002</v>
      </c>
      <c r="F102" s="79">
        <f t="shared" si="13"/>
        <v>11190562.560000001</v>
      </c>
      <c r="G102" s="79">
        <f>21321.22+13873.11</f>
        <v>35194.33</v>
      </c>
      <c r="H102" s="79">
        <f t="shared" ref="H102" si="15">G102*$B$159</f>
        <v>15203950.560000001</v>
      </c>
      <c r="I102" s="18"/>
      <c r="J102" s="18"/>
      <c r="K102" s="18"/>
      <c r="L102" s="18"/>
    </row>
    <row r="103" spans="1:12" x14ac:dyDescent="0.2">
      <c r="A103" s="214" t="s">
        <v>220</v>
      </c>
      <c r="B103" s="197" t="s">
        <v>83</v>
      </c>
      <c r="C103" s="79">
        <f>184941.915+34112.25</f>
        <v>219054.16500000001</v>
      </c>
      <c r="D103" s="79">
        <f t="shared" si="13"/>
        <v>94631399.280000001</v>
      </c>
      <c r="E103" s="79">
        <f>120276.917+19306.13</f>
        <v>139583.04699999999</v>
      </c>
      <c r="F103" s="79">
        <f t="shared" si="13"/>
        <v>60299876.303999998</v>
      </c>
      <c r="G103" s="79">
        <f>170545.682+30505.68</f>
        <v>201051.36199999999</v>
      </c>
      <c r="H103" s="79">
        <f t="shared" ref="H103" si="16">G103*$B$159</f>
        <v>86854188.384000003</v>
      </c>
      <c r="I103" s="18"/>
      <c r="J103" s="18"/>
      <c r="K103" s="18"/>
      <c r="L103" s="18"/>
    </row>
    <row r="104" spans="1:12" x14ac:dyDescent="0.2">
      <c r="A104" s="215" t="s">
        <v>201</v>
      </c>
      <c r="B104" s="208" t="s">
        <v>85</v>
      </c>
      <c r="C104" s="79">
        <f>4478.91</f>
        <v>4478.91</v>
      </c>
      <c r="D104" s="79">
        <f t="shared" si="13"/>
        <v>1934889.1199999999</v>
      </c>
      <c r="E104" s="218">
        <v>0</v>
      </c>
      <c r="F104" s="79">
        <f t="shared" si="13"/>
        <v>0</v>
      </c>
      <c r="G104" s="84">
        <v>0</v>
      </c>
      <c r="H104" s="79">
        <f t="shared" ref="H104" si="17">G104*$B$159</f>
        <v>0</v>
      </c>
      <c r="I104" s="18"/>
      <c r="J104" s="18"/>
      <c r="K104" s="18"/>
      <c r="L104" s="18"/>
    </row>
    <row r="105" spans="1:12" x14ac:dyDescent="0.2">
      <c r="A105" s="213" t="s">
        <v>227</v>
      </c>
      <c r="B105" s="198" t="s">
        <v>84</v>
      </c>
      <c r="C105" s="84">
        <v>0</v>
      </c>
      <c r="D105" s="79">
        <f t="shared" si="13"/>
        <v>0</v>
      </c>
      <c r="E105" s="218">
        <v>0</v>
      </c>
      <c r="F105" s="79">
        <f t="shared" si="13"/>
        <v>0</v>
      </c>
      <c r="G105" s="84">
        <v>40641.910000000003</v>
      </c>
      <c r="H105" s="79">
        <f t="shared" ref="H105" si="18">G105*$B$159</f>
        <v>17557305.120000001</v>
      </c>
      <c r="I105" s="18"/>
      <c r="J105" s="18"/>
      <c r="K105" s="18"/>
      <c r="L105" s="18"/>
    </row>
    <row r="106" spans="1:12" x14ac:dyDescent="0.2">
      <c r="A106" s="216" t="s">
        <v>202</v>
      </c>
      <c r="B106" s="193" t="s">
        <v>78</v>
      </c>
      <c r="C106" s="79">
        <f>2903.9</f>
        <v>2903.9</v>
      </c>
      <c r="D106" s="79">
        <f t="shared" si="13"/>
        <v>1254484.8</v>
      </c>
      <c r="E106" s="79">
        <v>2875.68</v>
      </c>
      <c r="F106" s="79">
        <f t="shared" si="13"/>
        <v>1242293.76</v>
      </c>
      <c r="G106" s="79">
        <v>1398.33</v>
      </c>
      <c r="H106" s="79">
        <f t="shared" ref="H106" si="19">G106*$B$159</f>
        <v>604078.55999999994</v>
      </c>
      <c r="I106" s="18"/>
      <c r="J106" s="18"/>
      <c r="K106" s="18"/>
      <c r="L106" s="18"/>
    </row>
    <row r="107" spans="1:12" x14ac:dyDescent="0.2">
      <c r="A107" s="215" t="s">
        <v>203</v>
      </c>
      <c r="B107" s="208" t="s">
        <v>85</v>
      </c>
      <c r="C107" s="79">
        <f>2563.299</f>
        <v>2563.299</v>
      </c>
      <c r="D107" s="79">
        <f t="shared" si="13"/>
        <v>1107345.1680000001</v>
      </c>
      <c r="E107" s="218">
        <v>0</v>
      </c>
      <c r="F107" s="79">
        <f t="shared" si="13"/>
        <v>0</v>
      </c>
      <c r="G107" s="84">
        <v>0</v>
      </c>
      <c r="H107" s="79">
        <f t="shared" ref="H107" si="20">G107*$B$159</f>
        <v>0</v>
      </c>
      <c r="I107" s="18"/>
      <c r="J107" s="18"/>
      <c r="K107" s="18"/>
      <c r="L107" s="18"/>
    </row>
    <row r="108" spans="1:12" x14ac:dyDescent="0.2">
      <c r="A108" s="217" t="s">
        <v>204</v>
      </c>
      <c r="B108" s="196" t="s">
        <v>82</v>
      </c>
      <c r="C108" s="79">
        <f>1651.89</f>
        <v>1651.89</v>
      </c>
      <c r="D108" s="79">
        <f t="shared" si="13"/>
        <v>713616.4800000001</v>
      </c>
      <c r="E108" s="218">
        <v>0</v>
      </c>
      <c r="F108" s="79">
        <f t="shared" si="13"/>
        <v>0</v>
      </c>
      <c r="G108" s="79">
        <v>3112.1</v>
      </c>
      <c r="H108" s="79">
        <f t="shared" ref="H108" si="21">G108*$B$159</f>
        <v>1344427.2</v>
      </c>
      <c r="I108" s="18"/>
      <c r="J108" s="18"/>
      <c r="K108" s="18"/>
      <c r="L108" s="18"/>
    </row>
    <row r="109" spans="1:12" x14ac:dyDescent="0.2">
      <c r="A109" s="215" t="s">
        <v>205</v>
      </c>
      <c r="B109" s="208" t="s">
        <v>85</v>
      </c>
      <c r="C109" s="79">
        <f>1610</f>
        <v>1610</v>
      </c>
      <c r="D109" s="79">
        <f t="shared" si="13"/>
        <v>695520</v>
      </c>
      <c r="E109" s="218">
        <v>0</v>
      </c>
      <c r="F109" s="79">
        <f t="shared" si="13"/>
        <v>0</v>
      </c>
      <c r="G109" s="84">
        <v>0</v>
      </c>
      <c r="H109" s="79">
        <f t="shared" ref="H109" si="22">G109*$B$159</f>
        <v>0</v>
      </c>
      <c r="I109" s="18"/>
      <c r="J109" s="18"/>
      <c r="K109" s="18"/>
      <c r="L109" s="18"/>
    </row>
    <row r="110" spans="1:12" x14ac:dyDescent="0.2">
      <c r="A110" s="216" t="s">
        <v>206</v>
      </c>
      <c r="B110" s="193" t="s">
        <v>78</v>
      </c>
      <c r="C110" s="79">
        <f>2974.23</f>
        <v>2974.23</v>
      </c>
      <c r="D110" s="79">
        <f t="shared" si="13"/>
        <v>1284867.3600000001</v>
      </c>
      <c r="E110" s="79">
        <v>4335.2</v>
      </c>
      <c r="F110" s="79">
        <f t="shared" si="13"/>
        <v>1872806.4</v>
      </c>
      <c r="G110" s="79">
        <v>1605.71</v>
      </c>
      <c r="H110" s="79">
        <f t="shared" ref="H110" si="23">G110*$B$159</f>
        <v>693666.72</v>
      </c>
      <c r="I110" s="18"/>
      <c r="J110" s="18"/>
      <c r="K110" s="18"/>
      <c r="L110" s="18"/>
    </row>
    <row r="111" spans="1:12" x14ac:dyDescent="0.2">
      <c r="A111" s="216" t="s">
        <v>207</v>
      </c>
      <c r="B111" s="193" t="s">
        <v>78</v>
      </c>
      <c r="C111" s="79">
        <f>1660.48</f>
        <v>1660.48</v>
      </c>
      <c r="D111" s="79">
        <f t="shared" si="13"/>
        <v>717327.35999999999</v>
      </c>
      <c r="E111" s="218">
        <v>0</v>
      </c>
      <c r="F111" s="79">
        <f t="shared" si="13"/>
        <v>0</v>
      </c>
      <c r="G111" s="84">
        <v>0</v>
      </c>
      <c r="H111" s="79">
        <f t="shared" ref="H111" si="24">G111*$B$159</f>
        <v>0</v>
      </c>
      <c r="I111" s="18"/>
      <c r="J111" s="18"/>
      <c r="K111" s="18"/>
      <c r="L111" s="18"/>
    </row>
    <row r="112" spans="1:12" x14ac:dyDescent="0.2">
      <c r="A112" s="216" t="s">
        <v>208</v>
      </c>
      <c r="B112" s="193" t="s">
        <v>78</v>
      </c>
      <c r="C112" s="79">
        <f>21651.252</f>
        <v>21651.252</v>
      </c>
      <c r="D112" s="79">
        <f t="shared" si="13"/>
        <v>9353340.8640000001</v>
      </c>
      <c r="E112" s="79">
        <v>22590.399000000001</v>
      </c>
      <c r="F112" s="79">
        <f t="shared" si="13"/>
        <v>9759052.3680000007</v>
      </c>
      <c r="G112" s="79">
        <v>19852.397000000001</v>
      </c>
      <c r="H112" s="79">
        <f t="shared" ref="H112" si="25">G112*$B$159</f>
        <v>8576235.5040000007</v>
      </c>
      <c r="I112" s="18"/>
      <c r="J112" s="18"/>
      <c r="K112" s="18"/>
      <c r="L112" s="18"/>
    </row>
    <row r="113" spans="1:12" x14ac:dyDescent="0.2">
      <c r="A113" s="214" t="s">
        <v>209</v>
      </c>
      <c r="B113" s="197" t="s">
        <v>83</v>
      </c>
      <c r="C113" s="79">
        <f>18440.359</f>
        <v>18440.359</v>
      </c>
      <c r="D113" s="79">
        <f t="shared" si="13"/>
        <v>7966235.0880000005</v>
      </c>
      <c r="E113" s="79">
        <f>29973.76+3781.53</f>
        <v>33755.29</v>
      </c>
      <c r="F113" s="79">
        <f t="shared" si="13"/>
        <v>14582285.280000001</v>
      </c>
      <c r="G113" s="79">
        <v>31742.645</v>
      </c>
      <c r="H113" s="79">
        <f t="shared" ref="H113" si="26">G113*$B$159</f>
        <v>13712822.640000001</v>
      </c>
      <c r="I113" s="18"/>
      <c r="J113" s="18"/>
      <c r="K113" s="18"/>
      <c r="L113" s="18"/>
    </row>
    <row r="114" spans="1:12" x14ac:dyDescent="0.2">
      <c r="A114" s="215" t="s">
        <v>228</v>
      </c>
      <c r="B114" s="208" t="s">
        <v>85</v>
      </c>
      <c r="C114" s="84">
        <v>0</v>
      </c>
      <c r="D114" s="79">
        <f t="shared" si="13"/>
        <v>0</v>
      </c>
      <c r="E114" s="84">
        <v>0</v>
      </c>
      <c r="F114" s="79">
        <f t="shared" si="13"/>
        <v>0</v>
      </c>
      <c r="G114" s="397">
        <v>7911.1109999999999</v>
      </c>
      <c r="H114" s="79">
        <f t="shared" ref="H114" si="27">G114*$B$159</f>
        <v>3417599.952</v>
      </c>
      <c r="I114" s="18"/>
      <c r="J114" s="18"/>
      <c r="K114" s="18"/>
      <c r="L114" s="18"/>
    </row>
    <row r="115" spans="1:12" x14ac:dyDescent="0.2">
      <c r="A115" s="213" t="s">
        <v>222</v>
      </c>
      <c r="B115" s="198" t="s">
        <v>84</v>
      </c>
      <c r="C115" s="84">
        <v>0</v>
      </c>
      <c r="D115" s="79">
        <f t="shared" si="13"/>
        <v>0</v>
      </c>
      <c r="E115" s="79">
        <v>4823.1899999999996</v>
      </c>
      <c r="F115" s="79">
        <f t="shared" si="13"/>
        <v>2083618.0799999998</v>
      </c>
      <c r="G115" s="79">
        <v>17299.82</v>
      </c>
      <c r="H115" s="79">
        <f t="shared" ref="H115" si="28">G115*$B$159</f>
        <v>7473522.2400000002</v>
      </c>
      <c r="I115" s="18"/>
      <c r="J115" s="18"/>
      <c r="K115" s="18"/>
      <c r="L115" s="18"/>
    </row>
    <row r="116" spans="1:12" x14ac:dyDescent="0.2">
      <c r="A116" s="213" t="s">
        <v>210</v>
      </c>
      <c r="B116" s="198" t="s">
        <v>84</v>
      </c>
      <c r="C116" s="79">
        <f>20119.73</f>
        <v>20119.73</v>
      </c>
      <c r="D116" s="79">
        <f t="shared" si="13"/>
        <v>8691723.3599999994</v>
      </c>
      <c r="E116" s="79">
        <v>37966.311999999998</v>
      </c>
      <c r="F116" s="79">
        <f t="shared" si="13"/>
        <v>16401446.784</v>
      </c>
      <c r="G116" s="79">
        <v>1695.5</v>
      </c>
      <c r="H116" s="79">
        <f t="shared" ref="H116" si="29">G116*$B$159</f>
        <v>732456</v>
      </c>
      <c r="I116" s="18"/>
      <c r="J116" s="18"/>
      <c r="K116" s="18"/>
      <c r="L116" s="18"/>
    </row>
    <row r="117" spans="1:12" x14ac:dyDescent="0.2">
      <c r="A117" s="398" t="s">
        <v>88</v>
      </c>
      <c r="B117" s="201" t="s">
        <v>88</v>
      </c>
      <c r="C117" s="79">
        <f>25891.14</f>
        <v>25891.14</v>
      </c>
      <c r="D117" s="79">
        <f t="shared" si="13"/>
        <v>11184972.48</v>
      </c>
      <c r="E117" s="79">
        <v>1268</v>
      </c>
      <c r="F117" s="79">
        <f t="shared" si="13"/>
        <v>547776</v>
      </c>
      <c r="G117" s="84">
        <v>0</v>
      </c>
      <c r="H117" s="79">
        <f t="shared" ref="H117" si="30">G117*$B$159</f>
        <v>0</v>
      </c>
      <c r="I117" s="18"/>
      <c r="J117" s="18"/>
      <c r="K117" s="18"/>
      <c r="L117" s="18"/>
    </row>
    <row r="118" spans="1:12" x14ac:dyDescent="0.2">
      <c r="A118" s="399" t="s">
        <v>211</v>
      </c>
      <c r="B118" s="203" t="s">
        <v>79</v>
      </c>
      <c r="C118" s="79">
        <f>5912.103</f>
        <v>5912.1030000000001</v>
      </c>
      <c r="D118" s="79">
        <f t="shared" si="13"/>
        <v>2554028.4959999998</v>
      </c>
      <c r="E118" s="79">
        <v>33144.75</v>
      </c>
      <c r="F118" s="79">
        <f t="shared" si="13"/>
        <v>14318532</v>
      </c>
      <c r="G118" s="79">
        <v>23811.450998</v>
      </c>
      <c r="H118" s="79">
        <f t="shared" ref="H118" si="31">G118*$B$159</f>
        <v>10286546.831135999</v>
      </c>
      <c r="I118" s="18"/>
      <c r="J118" s="18"/>
      <c r="K118" s="18"/>
      <c r="L118" s="18"/>
    </row>
    <row r="119" spans="1:12" x14ac:dyDescent="0.2">
      <c r="A119" s="215" t="s">
        <v>86</v>
      </c>
      <c r="B119" s="208" t="s">
        <v>85</v>
      </c>
      <c r="C119" s="79">
        <f>10834.297</f>
        <v>10834.297</v>
      </c>
      <c r="D119" s="79">
        <f t="shared" si="13"/>
        <v>4680416.3040000005</v>
      </c>
      <c r="E119" s="84">
        <v>0</v>
      </c>
      <c r="F119" s="79">
        <f t="shared" si="13"/>
        <v>0</v>
      </c>
      <c r="G119" s="84">
        <v>0</v>
      </c>
      <c r="H119" s="79">
        <f t="shared" ref="H119" si="32">G119*$B$159</f>
        <v>0</v>
      </c>
      <c r="I119" s="18"/>
      <c r="J119" s="18"/>
      <c r="K119" s="18"/>
      <c r="L119" s="18"/>
    </row>
    <row r="120" spans="1:12" ht="16.5" x14ac:dyDescent="0.3">
      <c r="A120" s="396" t="s">
        <v>79</v>
      </c>
      <c r="B120" s="396"/>
      <c r="C120" s="400"/>
      <c r="D120" s="400"/>
      <c r="E120" s="400"/>
      <c r="F120" s="400"/>
      <c r="G120" s="400"/>
      <c r="H120" s="400"/>
      <c r="I120" s="18"/>
      <c r="J120" s="18"/>
      <c r="K120" s="18"/>
      <c r="L120" s="18"/>
    </row>
    <row r="121" spans="1:12" x14ac:dyDescent="0.2">
      <c r="A121" s="399" t="s">
        <v>213</v>
      </c>
      <c r="B121" s="203" t="s">
        <v>79</v>
      </c>
      <c r="C121" s="79">
        <v>15709.128000000001</v>
      </c>
      <c r="D121" s="79">
        <f t="shared" ref="D121:F132" si="33">C121*$B$159</f>
        <v>6786343.2960000001</v>
      </c>
      <c r="E121" s="79">
        <v>12938.374</v>
      </c>
      <c r="F121" s="79">
        <f t="shared" si="33"/>
        <v>5589377.568</v>
      </c>
      <c r="G121" s="79">
        <v>9137.0030000000006</v>
      </c>
      <c r="H121" s="79">
        <f t="shared" ref="H121" si="34">G121*$B$159</f>
        <v>3947185.2960000001</v>
      </c>
      <c r="I121" s="18"/>
      <c r="J121" s="18"/>
      <c r="K121" s="18"/>
      <c r="L121" s="18"/>
    </row>
    <row r="122" spans="1:12" x14ac:dyDescent="0.2">
      <c r="A122" s="399" t="s">
        <v>223</v>
      </c>
      <c r="B122" s="203" t="s">
        <v>79</v>
      </c>
      <c r="C122" s="84">
        <v>0</v>
      </c>
      <c r="D122" s="79">
        <f t="shared" si="33"/>
        <v>0</v>
      </c>
      <c r="E122" s="79">
        <v>3286.92</v>
      </c>
      <c r="F122" s="79">
        <f t="shared" si="33"/>
        <v>1419949.44</v>
      </c>
      <c r="G122" s="79">
        <v>18170.349999999999</v>
      </c>
      <c r="H122" s="79">
        <f t="shared" ref="H122" si="35">G122*$B$159</f>
        <v>7849591.1999999993</v>
      </c>
      <c r="I122" s="18"/>
      <c r="J122" s="18"/>
      <c r="K122" s="18"/>
      <c r="L122" s="18"/>
    </row>
    <row r="123" spans="1:12" x14ac:dyDescent="0.2">
      <c r="A123" s="399" t="s">
        <v>214</v>
      </c>
      <c r="B123" s="203" t="s">
        <v>79</v>
      </c>
      <c r="C123" s="79">
        <v>200106.61</v>
      </c>
      <c r="D123" s="79">
        <f t="shared" si="33"/>
        <v>86446055.519999996</v>
      </c>
      <c r="E123" s="79">
        <v>164171.50899999999</v>
      </c>
      <c r="F123" s="79">
        <f t="shared" si="33"/>
        <v>70922091.887999997</v>
      </c>
      <c r="G123" s="79">
        <v>169863.18</v>
      </c>
      <c r="H123" s="79">
        <f t="shared" ref="H123" si="36">G123*$B$159</f>
        <v>73380893.75999999</v>
      </c>
      <c r="I123" s="18"/>
      <c r="J123" s="18"/>
      <c r="K123" s="18"/>
      <c r="L123" s="18"/>
    </row>
    <row r="124" spans="1:12" x14ac:dyDescent="0.2">
      <c r="A124" s="399" t="s">
        <v>215</v>
      </c>
      <c r="B124" s="203" t="s">
        <v>79</v>
      </c>
      <c r="C124" s="79">
        <v>162807.391</v>
      </c>
      <c r="D124" s="79">
        <f t="shared" si="33"/>
        <v>70332792.912</v>
      </c>
      <c r="E124" s="79">
        <v>168333.52799999999</v>
      </c>
      <c r="F124" s="79">
        <f t="shared" si="33"/>
        <v>72720084.096000001</v>
      </c>
      <c r="G124" s="79">
        <v>220252.82199999999</v>
      </c>
      <c r="H124" s="79">
        <f t="shared" ref="H124" si="37">G124*$B$159</f>
        <v>95149219.103999987</v>
      </c>
      <c r="I124" s="18"/>
      <c r="J124" s="18"/>
      <c r="K124" s="18"/>
      <c r="L124" s="18"/>
    </row>
    <row r="125" spans="1:12" x14ac:dyDescent="0.2">
      <c r="A125" s="399" t="s">
        <v>212</v>
      </c>
      <c r="B125" s="203" t="s">
        <v>79</v>
      </c>
      <c r="C125" s="79">
        <v>24828.843000000001</v>
      </c>
      <c r="D125" s="79">
        <f t="shared" si="33"/>
        <v>10726060.176000001</v>
      </c>
      <c r="E125" s="79">
        <v>12063.174999999999</v>
      </c>
      <c r="F125" s="79">
        <f t="shared" si="33"/>
        <v>5211291.5999999996</v>
      </c>
      <c r="G125" s="79">
        <v>30445.741000000002</v>
      </c>
      <c r="H125" s="79">
        <f t="shared" ref="H125" si="38">G125*$B$159</f>
        <v>13152560.112000002</v>
      </c>
      <c r="I125" s="18"/>
      <c r="J125" s="18"/>
      <c r="K125" s="18"/>
      <c r="L125" s="18"/>
    </row>
    <row r="126" spans="1:12" x14ac:dyDescent="0.2">
      <c r="A126" s="399" t="s">
        <v>224</v>
      </c>
      <c r="B126" s="203" t="s">
        <v>79</v>
      </c>
      <c r="C126" s="84">
        <v>0</v>
      </c>
      <c r="D126" s="79">
        <f t="shared" si="33"/>
        <v>0</v>
      </c>
      <c r="E126" s="79">
        <v>3073.7860000000001</v>
      </c>
      <c r="F126" s="79">
        <f t="shared" si="33"/>
        <v>1327875.5520000001</v>
      </c>
      <c r="G126" s="84">
        <v>0</v>
      </c>
      <c r="H126" s="79">
        <f t="shared" ref="H126" si="39">G126*$B$159</f>
        <v>0</v>
      </c>
      <c r="I126" s="18"/>
      <c r="J126" s="18"/>
      <c r="K126" s="18"/>
      <c r="L126" s="18"/>
    </row>
    <row r="127" spans="1:12" x14ac:dyDescent="0.2">
      <c r="A127" s="399" t="s">
        <v>216</v>
      </c>
      <c r="B127" s="203" t="s">
        <v>79</v>
      </c>
      <c r="C127" s="79">
        <v>128160.796</v>
      </c>
      <c r="D127" s="79">
        <f t="shared" si="33"/>
        <v>55365463.872000001</v>
      </c>
      <c r="E127" s="79">
        <v>110304.977</v>
      </c>
      <c r="F127" s="79">
        <f t="shared" si="33"/>
        <v>47651750.064000003</v>
      </c>
      <c r="G127" s="79">
        <v>167112.11300000001</v>
      </c>
      <c r="H127" s="79">
        <f t="shared" ref="H127" si="40">G127*$B$159</f>
        <v>72192432.816</v>
      </c>
      <c r="I127" s="18"/>
      <c r="J127" s="18"/>
      <c r="K127" s="18"/>
      <c r="L127" s="18"/>
    </row>
    <row r="128" spans="1:12" x14ac:dyDescent="0.2">
      <c r="A128" s="399" t="s">
        <v>218</v>
      </c>
      <c r="B128" s="203" t="s">
        <v>79</v>
      </c>
      <c r="C128" s="79">
        <v>17205.423999999999</v>
      </c>
      <c r="D128" s="79">
        <f t="shared" si="33"/>
        <v>7432743.1679999996</v>
      </c>
      <c r="E128" s="84">
        <v>0</v>
      </c>
      <c r="F128" s="79">
        <f t="shared" si="33"/>
        <v>0</v>
      </c>
      <c r="G128" s="84">
        <v>0</v>
      </c>
      <c r="H128" s="79">
        <f t="shared" ref="H128" si="41">G128*$B$159</f>
        <v>0</v>
      </c>
      <c r="I128" s="18"/>
      <c r="J128" s="18"/>
      <c r="K128" s="18"/>
      <c r="L128" s="18"/>
    </row>
    <row r="129" spans="1:12" x14ac:dyDescent="0.2">
      <c r="A129" s="399" t="s">
        <v>217</v>
      </c>
      <c r="B129" s="203" t="s">
        <v>79</v>
      </c>
      <c r="C129" s="79">
        <v>28488.734</v>
      </c>
      <c r="D129" s="79">
        <f t="shared" si="33"/>
        <v>12307133.088</v>
      </c>
      <c r="E129" s="79">
        <v>20964.168000000001</v>
      </c>
      <c r="F129" s="79">
        <f t="shared" si="33"/>
        <v>9056520.5760000013</v>
      </c>
      <c r="G129" s="79">
        <v>1397.5609999999999</v>
      </c>
      <c r="H129" s="79">
        <f t="shared" ref="H129" si="42">G129*$B$159</f>
        <v>603746.35199999996</v>
      </c>
      <c r="I129" s="18"/>
      <c r="J129" s="18"/>
      <c r="K129" s="18"/>
      <c r="L129" s="18"/>
    </row>
    <row r="130" spans="1:12" x14ac:dyDescent="0.2">
      <c r="A130" s="399" t="s">
        <v>225</v>
      </c>
      <c r="B130" s="203" t="s">
        <v>79</v>
      </c>
      <c r="C130" s="84">
        <v>0</v>
      </c>
      <c r="D130" s="79">
        <f t="shared" si="33"/>
        <v>0</v>
      </c>
      <c r="E130" s="79">
        <v>3705.5949999999998</v>
      </c>
      <c r="F130" s="79">
        <f t="shared" si="33"/>
        <v>1600817.0399999998</v>
      </c>
      <c r="G130" s="79">
        <v>2655.942</v>
      </c>
      <c r="H130" s="79">
        <f t="shared" ref="H130" si="43">G130*$B$159</f>
        <v>1147366.9439999999</v>
      </c>
      <c r="I130" s="18"/>
      <c r="J130" s="18"/>
      <c r="K130" s="18"/>
      <c r="L130" s="18"/>
    </row>
    <row r="131" spans="1:12" x14ac:dyDescent="0.2">
      <c r="A131" s="399" t="s">
        <v>226</v>
      </c>
      <c r="B131" s="203" t="s">
        <v>79</v>
      </c>
      <c r="C131" s="84">
        <v>0</v>
      </c>
      <c r="D131" s="79">
        <f t="shared" si="33"/>
        <v>0</v>
      </c>
      <c r="E131" s="79">
        <v>7462.5280000000002</v>
      </c>
      <c r="F131" s="79">
        <f t="shared" si="33"/>
        <v>3223812.0959999999</v>
      </c>
      <c r="G131" s="79">
        <v>4813.1239999999998</v>
      </c>
      <c r="H131" s="79">
        <f t="shared" ref="H131" si="44">G131*$B$159</f>
        <v>2079269.568</v>
      </c>
      <c r="I131" s="18"/>
      <c r="J131" s="18"/>
      <c r="K131" s="18"/>
      <c r="L131" s="18"/>
    </row>
    <row r="132" spans="1:12" x14ac:dyDescent="0.2">
      <c r="A132" s="399" t="s">
        <v>219</v>
      </c>
      <c r="B132" s="203" t="s">
        <v>79</v>
      </c>
      <c r="C132" s="79">
        <f>367932.418+4465.906</f>
        <v>372398.32400000002</v>
      </c>
      <c r="D132" s="79">
        <f t="shared" si="33"/>
        <v>160876075.96799999</v>
      </c>
      <c r="E132" s="79">
        <v>351707.14600000001</v>
      </c>
      <c r="F132" s="79">
        <f t="shared" si="33"/>
        <v>151937487.072</v>
      </c>
      <c r="G132" s="79">
        <v>284572.05300000001</v>
      </c>
      <c r="H132" s="79">
        <f t="shared" ref="H132" si="45">G132*$B$159</f>
        <v>122935126.89600001</v>
      </c>
      <c r="I132" s="18"/>
      <c r="J132" s="18"/>
      <c r="K132" s="18"/>
      <c r="L132" s="18"/>
    </row>
    <row r="133" spans="1:12" ht="16.5" x14ac:dyDescent="0.3">
      <c r="A133" s="642" t="s">
        <v>0</v>
      </c>
      <c r="B133" s="643"/>
      <c r="C133" s="401">
        <f t="shared" ref="C133:H133" si="46">SUM(C100:C132)</f>
        <v>1406446.737</v>
      </c>
      <c r="D133" s="401">
        <f t="shared" si="46"/>
        <v>607584990.38399994</v>
      </c>
      <c r="E133" s="401">
        <f t="shared" si="46"/>
        <v>1205788.6259999999</v>
      </c>
      <c r="F133" s="401">
        <f t="shared" si="46"/>
        <v>520900686.43200004</v>
      </c>
      <c r="G133" s="401">
        <f t="shared" si="46"/>
        <v>1372588.5589980001</v>
      </c>
      <c r="H133" s="401">
        <f t="shared" si="46"/>
        <v>592958257.48713589</v>
      </c>
      <c r="I133" s="18"/>
      <c r="J133" s="18"/>
      <c r="K133" s="18"/>
      <c r="L133" s="18"/>
    </row>
    <row r="134" spans="1:12" x14ac:dyDescent="0.2">
      <c r="A134" s="638" t="s">
        <v>429</v>
      </c>
      <c r="B134" s="638"/>
      <c r="C134" s="638"/>
      <c r="D134" s="638"/>
      <c r="E134" s="638"/>
      <c r="F134" s="638"/>
      <c r="G134" s="638"/>
      <c r="H134" s="638"/>
      <c r="I134" s="18"/>
      <c r="J134" s="18"/>
      <c r="K134" s="18"/>
      <c r="L134" s="18"/>
    </row>
    <row r="135" spans="1:12" x14ac:dyDescent="0.2">
      <c r="A135" s="25"/>
      <c r="B135" s="25"/>
      <c r="C135" s="25"/>
      <c r="D135" s="25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">
      <c r="A136" s="362" t="s">
        <v>90</v>
      </c>
      <c r="B136" s="74" t="s">
        <v>75</v>
      </c>
      <c r="C136" s="81"/>
      <c r="D136" s="81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">
      <c r="A137" s="363">
        <v>2015</v>
      </c>
      <c r="B137" s="84">
        <v>705340</v>
      </c>
      <c r="C137" s="20"/>
      <c r="D137" s="20"/>
      <c r="E137" s="18"/>
      <c r="F137" s="18"/>
      <c r="G137" s="18"/>
      <c r="H137" s="18"/>
      <c r="I137" s="18"/>
      <c r="J137" s="18"/>
      <c r="K137" s="18"/>
      <c r="L137" s="18"/>
    </row>
    <row r="138" spans="1:12" x14ac:dyDescent="0.2">
      <c r="A138" s="363">
        <v>2016</v>
      </c>
      <c r="B138" s="84">
        <v>578614</v>
      </c>
      <c r="C138" s="20"/>
      <c r="D138" s="20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A139" s="363">
        <v>2017</v>
      </c>
      <c r="B139" s="84">
        <v>696719</v>
      </c>
      <c r="C139" s="20"/>
      <c r="D139" s="20"/>
      <c r="E139" s="18"/>
      <c r="F139" s="18"/>
      <c r="G139" s="18"/>
      <c r="H139" s="18"/>
      <c r="I139" s="18"/>
      <c r="J139" s="18"/>
      <c r="K139" s="18"/>
      <c r="L139" s="18"/>
    </row>
    <row r="140" spans="1:12" x14ac:dyDescent="0.2">
      <c r="A140" s="363">
        <v>2018</v>
      </c>
      <c r="B140" s="84">
        <v>658304</v>
      </c>
      <c r="C140" s="20"/>
      <c r="D140" s="20"/>
      <c r="E140" s="18"/>
      <c r="F140" s="18"/>
      <c r="G140" s="18"/>
      <c r="H140" s="18"/>
      <c r="I140" s="18"/>
      <c r="J140" s="18"/>
      <c r="K140" s="18"/>
      <c r="L140" s="18"/>
    </row>
    <row r="141" spans="1:12" x14ac:dyDescent="0.2">
      <c r="A141" s="363">
        <v>2019</v>
      </c>
      <c r="B141" s="84">
        <v>316547</v>
      </c>
      <c r="C141" s="20"/>
      <c r="D141" s="20"/>
      <c r="E141" s="18"/>
      <c r="F141" s="18"/>
      <c r="G141" s="18"/>
      <c r="H141" s="18"/>
      <c r="I141" s="18"/>
      <c r="J141" s="18"/>
      <c r="K141" s="18"/>
      <c r="L141" s="18"/>
    </row>
    <row r="142" spans="1:12" x14ac:dyDescent="0.2">
      <c r="A142" s="363">
        <v>2020</v>
      </c>
      <c r="B142" s="84">
        <v>455794</v>
      </c>
      <c r="C142" s="20"/>
      <c r="D142" s="20"/>
      <c r="E142" s="18"/>
      <c r="F142" s="18"/>
      <c r="G142" s="18"/>
      <c r="H142" s="18"/>
      <c r="I142" s="18"/>
      <c r="J142" s="18"/>
      <c r="K142" s="18"/>
      <c r="L142" s="18"/>
    </row>
    <row r="143" spans="1:12" x14ac:dyDescent="0.2">
      <c r="A143" s="392" t="s">
        <v>89</v>
      </c>
      <c r="B143" s="219">
        <f>AVERAGE(B137:B140)</f>
        <v>659744.25</v>
      </c>
      <c r="C143" s="20"/>
      <c r="D143" s="20"/>
      <c r="E143" s="18"/>
      <c r="F143" s="18"/>
      <c r="G143" s="18"/>
      <c r="H143" s="18"/>
      <c r="I143" s="18"/>
      <c r="J143" s="18"/>
      <c r="K143" s="18"/>
      <c r="L143" s="18"/>
    </row>
    <row r="144" spans="1:12" x14ac:dyDescent="0.2">
      <c r="A144" s="580" t="s">
        <v>430</v>
      </c>
      <c r="B144" s="582"/>
      <c r="C144" s="82"/>
      <c r="D144" s="82"/>
      <c r="E144" s="18"/>
      <c r="F144" s="18"/>
      <c r="G144" s="18"/>
      <c r="H144" s="18"/>
      <c r="I144" s="18"/>
      <c r="J144" s="18"/>
      <c r="K144" s="18"/>
      <c r="L144" s="18"/>
    </row>
    <row r="145" spans="1:12" x14ac:dyDescent="0.2">
      <c r="A145" s="556" t="s">
        <v>177</v>
      </c>
      <c r="B145" s="558"/>
      <c r="C145" s="82"/>
      <c r="D145" s="82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">
      <c r="A146" s="25"/>
      <c r="B146" s="72"/>
      <c r="C146" s="72"/>
      <c r="D146" s="72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362" t="s">
        <v>91</v>
      </c>
      <c r="B147" s="74" t="s">
        <v>94</v>
      </c>
      <c r="C147" s="74" t="s">
        <v>95</v>
      </c>
      <c r="D147" s="74" t="s">
        <v>96</v>
      </c>
      <c r="E147" s="18"/>
      <c r="F147" s="18"/>
      <c r="G147" s="18"/>
      <c r="H147" s="18"/>
      <c r="I147" s="18"/>
      <c r="J147" s="18"/>
      <c r="K147" s="18"/>
      <c r="L147" s="18"/>
    </row>
    <row r="148" spans="1:12" x14ac:dyDescent="0.2">
      <c r="A148" s="363">
        <v>2015</v>
      </c>
      <c r="B148" s="84"/>
      <c r="C148" s="84"/>
      <c r="D148" s="84"/>
      <c r="E148" s="18"/>
      <c r="F148" s="18"/>
      <c r="G148" s="18"/>
      <c r="H148" s="18"/>
      <c r="I148" s="18"/>
      <c r="J148" s="18"/>
      <c r="K148" s="18"/>
      <c r="L148" s="18"/>
    </row>
    <row r="149" spans="1:12" x14ac:dyDescent="0.2">
      <c r="A149" s="363">
        <v>2016</v>
      </c>
      <c r="B149" s="84"/>
      <c r="C149" s="84"/>
      <c r="D149" s="84"/>
      <c r="E149" s="18"/>
      <c r="F149" s="18"/>
      <c r="G149" s="18"/>
      <c r="H149" s="18"/>
      <c r="I149" s="18"/>
      <c r="J149" s="18"/>
      <c r="K149" s="18"/>
      <c r="L149" s="18"/>
    </row>
    <row r="150" spans="1:12" x14ac:dyDescent="0.2">
      <c r="A150" s="363">
        <v>2017</v>
      </c>
      <c r="B150" s="84">
        <v>11918919</v>
      </c>
      <c r="C150" s="89">
        <v>0.21</v>
      </c>
      <c r="D150" s="84">
        <f>C150*B150</f>
        <v>2502972.9899999998</v>
      </c>
      <c r="E150" s="18"/>
      <c r="F150" s="18"/>
      <c r="G150" s="18"/>
      <c r="H150" s="18"/>
      <c r="I150" s="18"/>
      <c r="J150" s="18"/>
      <c r="K150" s="18"/>
      <c r="L150" s="18"/>
    </row>
    <row r="151" spans="1:12" x14ac:dyDescent="0.2">
      <c r="A151" s="363">
        <v>2018</v>
      </c>
      <c r="B151" s="84">
        <v>10932172</v>
      </c>
      <c r="C151" s="89">
        <v>0.19</v>
      </c>
      <c r="D151" s="84">
        <f>C151*B151</f>
        <v>2077112.68</v>
      </c>
      <c r="E151" s="18"/>
      <c r="F151" s="18"/>
      <c r="G151" s="18"/>
      <c r="H151" s="18"/>
      <c r="I151" s="18"/>
      <c r="J151" s="18"/>
      <c r="K151" s="18"/>
      <c r="L151" s="18"/>
    </row>
    <row r="152" spans="1:12" x14ac:dyDescent="0.2">
      <c r="A152" s="392">
        <v>2019</v>
      </c>
      <c r="B152" s="219">
        <v>8480645</v>
      </c>
      <c r="C152" s="393">
        <v>0.16</v>
      </c>
      <c r="D152" s="219">
        <f>C152*B152</f>
        <v>1356903.2</v>
      </c>
      <c r="E152" s="18"/>
      <c r="F152" s="18"/>
      <c r="G152" s="18"/>
      <c r="H152" s="18"/>
      <c r="I152" s="18"/>
      <c r="J152" s="18"/>
      <c r="K152" s="18"/>
      <c r="L152" s="18"/>
    </row>
    <row r="153" spans="1:12" x14ac:dyDescent="0.2">
      <c r="A153" s="580" t="s">
        <v>433</v>
      </c>
      <c r="B153" s="581"/>
      <c r="C153" s="581"/>
      <c r="D153" s="582"/>
      <c r="E153" s="18"/>
      <c r="F153" s="18"/>
      <c r="G153" s="18"/>
      <c r="H153" s="18"/>
      <c r="I153" s="18"/>
      <c r="J153" s="18"/>
      <c r="K153" s="18"/>
      <c r="L153" s="18"/>
    </row>
    <row r="154" spans="1:12" x14ac:dyDescent="0.2">
      <c r="A154" s="556" t="s">
        <v>176</v>
      </c>
      <c r="B154" s="557"/>
      <c r="C154" s="557"/>
      <c r="D154" s="558"/>
      <c r="E154" s="18"/>
      <c r="F154" s="18"/>
      <c r="G154" s="18"/>
      <c r="H154" s="18"/>
      <c r="I154" s="18"/>
      <c r="J154" s="18"/>
      <c r="K154" s="18"/>
      <c r="L154" s="18"/>
    </row>
    <row r="155" spans="1:1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x14ac:dyDescent="0.2">
      <c r="A156" s="362" t="s">
        <v>92</v>
      </c>
      <c r="B156" s="239" t="s">
        <v>93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x14ac:dyDescent="0.2">
      <c r="A157" s="15" t="s">
        <v>150</v>
      </c>
      <c r="B157" s="83">
        <v>308.7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x14ac:dyDescent="0.2">
      <c r="A158" s="15" t="s">
        <v>90</v>
      </c>
      <c r="B158" s="83">
        <v>393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x14ac:dyDescent="0.2">
      <c r="A159" s="15" t="s">
        <v>151</v>
      </c>
      <c r="B159" s="83">
        <v>432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3.5" thickBot="1" x14ac:dyDescent="0.25">
      <c r="A160" s="86" t="s">
        <v>91</v>
      </c>
      <c r="B160" s="88">
        <v>445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3.5" thickTop="1" x14ac:dyDescent="0.2">
      <c r="A161" s="405" t="s">
        <v>97</v>
      </c>
      <c r="B161" s="104">
        <f>B160-B157</f>
        <v>136.30000000000001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x14ac:dyDescent="0.2">
      <c r="A162" s="420" t="s">
        <v>98</v>
      </c>
      <c r="B162" s="105">
        <f>AVERAGE(B158:B160)</f>
        <v>423.33333333333331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s="18" customFormat="1" x14ac:dyDescent="0.2">
      <c r="A163" s="403" t="s">
        <v>175</v>
      </c>
      <c r="B163" s="403"/>
      <c r="C163" s="403"/>
      <c r="D163" s="403"/>
      <c r="E163" s="403"/>
    </row>
    <row r="164" spans="1:12" s="18" customFormat="1" x14ac:dyDescent="0.2"/>
    <row r="165" spans="1:12" s="18" customFormat="1" x14ac:dyDescent="0.2">
      <c r="A165" s="402"/>
    </row>
    <row r="166" spans="1:12" s="18" customFormat="1" x14ac:dyDescent="0.2"/>
    <row r="167" spans="1:12" s="18" customFormat="1" x14ac:dyDescent="0.2"/>
    <row r="168" spans="1:12" s="18" customFormat="1" x14ac:dyDescent="0.2"/>
    <row r="169" spans="1:12" s="18" customFormat="1" x14ac:dyDescent="0.2"/>
    <row r="170" spans="1:12" s="18" customFormat="1" x14ac:dyDescent="0.2"/>
    <row r="171" spans="1:12" s="18" customFormat="1" x14ac:dyDescent="0.2"/>
    <row r="172" spans="1:12" s="18" customFormat="1" x14ac:dyDescent="0.2"/>
    <row r="173" spans="1:12" s="18" customFormat="1" x14ac:dyDescent="0.2"/>
    <row r="174" spans="1:12" s="18" customFormat="1" x14ac:dyDescent="0.2"/>
    <row r="175" spans="1:12" s="18" customFormat="1" x14ac:dyDescent="0.2"/>
    <row r="176" spans="1:12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pans="1:10" s="18" customFormat="1" x14ac:dyDescent="0.2"/>
    <row r="402" spans="1:10" s="18" customFormat="1" x14ac:dyDescent="0.2"/>
    <row r="403" spans="1:10" s="18" customFormat="1" x14ac:dyDescent="0.2"/>
    <row r="404" spans="1:10" s="18" customFormat="1" x14ac:dyDescent="0.2"/>
    <row r="405" spans="1:10" s="18" customFormat="1" x14ac:dyDescent="0.2"/>
    <row r="406" spans="1:10" s="18" customFormat="1" x14ac:dyDescent="0.2"/>
    <row r="407" spans="1:10" s="18" customFormat="1" x14ac:dyDescent="0.2"/>
    <row r="408" spans="1:10" s="18" customFormat="1" x14ac:dyDescent="0.2"/>
    <row r="409" spans="1:10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</sheetData>
  <mergeCells count="30">
    <mergeCell ref="A144:B144"/>
    <mergeCell ref="A145:B145"/>
    <mergeCell ref="A153:D153"/>
    <mergeCell ref="A154:D154"/>
    <mergeCell ref="A44:B44"/>
    <mergeCell ref="A94:B94"/>
    <mergeCell ref="A133:B133"/>
    <mergeCell ref="A18:J18"/>
    <mergeCell ref="C19:E19"/>
    <mergeCell ref="F19:H19"/>
    <mergeCell ref="I19:J19"/>
    <mergeCell ref="B19:B20"/>
    <mergeCell ref="A19:A20"/>
    <mergeCell ref="A45:J45"/>
    <mergeCell ref="B3:E3"/>
    <mergeCell ref="F3:I3"/>
    <mergeCell ref="A3:A4"/>
    <mergeCell ref="A134:H134"/>
    <mergeCell ref="A47:H47"/>
    <mergeCell ref="C48:D48"/>
    <mergeCell ref="E48:F48"/>
    <mergeCell ref="G48:H48"/>
    <mergeCell ref="A48:B49"/>
    <mergeCell ref="A96:H96"/>
    <mergeCell ref="A97:B98"/>
    <mergeCell ref="C97:D97"/>
    <mergeCell ref="E97:F97"/>
    <mergeCell ref="G97:H97"/>
    <mergeCell ref="A72:H72"/>
    <mergeCell ref="A50:H50"/>
  </mergeCells>
  <hyperlinks>
    <hyperlink ref="A163" r:id="rId1" xr:uid="{2C6313C5-AA5E-4D1D-B065-4CE6780E885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1"/>
  <sheetViews>
    <sheetView zoomScaleNormal="100" workbookViewId="0">
      <selection activeCell="C4" sqref="C4"/>
    </sheetView>
  </sheetViews>
  <sheetFormatPr defaultRowHeight="12.75" x14ac:dyDescent="0.2"/>
  <cols>
    <col min="1" max="1" width="11.7109375" customWidth="1"/>
    <col min="2" max="2" width="14.42578125" customWidth="1"/>
    <col min="3" max="3" width="14.28515625" customWidth="1"/>
    <col min="4" max="4" width="13.28515625" customWidth="1"/>
    <col min="5" max="5" width="13.7109375" customWidth="1"/>
    <col min="7" max="8" width="12.7109375" customWidth="1"/>
    <col min="9" max="9" width="14.28515625" customWidth="1"/>
    <col min="10" max="12" width="12.7109375" customWidth="1"/>
    <col min="13" max="13" width="14" customWidth="1"/>
    <col min="14" max="17" width="12.7109375" customWidth="1"/>
    <col min="18" max="18" width="13.7109375" customWidth="1"/>
  </cols>
  <sheetData>
    <row r="1" spans="1:52" ht="23.25" x14ac:dyDescent="0.35">
      <c r="A1" s="43" t="s">
        <v>414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18.75" x14ac:dyDescent="0.3">
      <c r="A2" s="44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15.75" x14ac:dyDescent="0.2">
      <c r="A3" s="500" t="s">
        <v>23</v>
      </c>
      <c r="B3" s="501"/>
      <c r="C3" s="50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20.25" x14ac:dyDescent="0.3">
      <c r="A4" s="225" t="s">
        <v>26</v>
      </c>
      <c r="B4" s="225"/>
      <c r="C4" s="17">
        <f ca="1">L36/P36</f>
        <v>5.3835938717931819</v>
      </c>
      <c r="D4" s="3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5.75" x14ac:dyDescent="0.25">
      <c r="A5" s="226" t="s">
        <v>25</v>
      </c>
      <c r="B5" s="226"/>
      <c r="C5" s="16">
        <f ca="1">IRR(D14:D35)</f>
        <v>0.19391150734031815</v>
      </c>
      <c r="D5" s="3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5.75" x14ac:dyDescent="0.25">
      <c r="A6" s="226" t="s">
        <v>24</v>
      </c>
      <c r="B6" s="226"/>
      <c r="C6" s="160">
        <f ca="1">L36-P36</f>
        <v>61583172.93627581</v>
      </c>
      <c r="D6" s="3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5.75" x14ac:dyDescent="0.25">
      <c r="A7" s="226" t="s">
        <v>6</v>
      </c>
      <c r="B7" s="226"/>
      <c r="C7" s="16">
        <v>7.0000000000000007E-2</v>
      </c>
      <c r="D7" s="3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x14ac:dyDescent="0.2">
      <c r="A8" s="18"/>
      <c r="B8" s="18"/>
      <c r="C8" s="18"/>
      <c r="D8" s="3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x14ac:dyDescent="0.2">
      <c r="A10" s="494" t="s">
        <v>33</v>
      </c>
      <c r="B10" s="495"/>
      <c r="C10" s="495"/>
      <c r="D10" s="495"/>
      <c r="E10" s="496"/>
      <c r="F10" s="18"/>
      <c r="G10" s="490" t="s">
        <v>37</v>
      </c>
      <c r="H10" s="491"/>
      <c r="I10" s="491"/>
      <c r="J10" s="491"/>
      <c r="K10" s="491"/>
      <c r="L10" s="492"/>
      <c r="M10" s="18"/>
      <c r="N10" s="494" t="s">
        <v>38</v>
      </c>
      <c r="O10" s="495"/>
      <c r="P10" s="496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52" ht="27.6" customHeight="1" x14ac:dyDescent="0.2">
      <c r="A11" s="497"/>
      <c r="B11" s="498"/>
      <c r="C11" s="498"/>
      <c r="D11" s="498"/>
      <c r="E11" s="499"/>
      <c r="F11" s="18"/>
      <c r="G11" s="488" t="s">
        <v>27</v>
      </c>
      <c r="H11" s="488" t="s">
        <v>28</v>
      </c>
      <c r="I11" s="488" t="s">
        <v>435</v>
      </c>
      <c r="J11" s="488" t="s">
        <v>436</v>
      </c>
      <c r="K11" s="503" t="s">
        <v>0</v>
      </c>
      <c r="L11" s="503" t="s">
        <v>29</v>
      </c>
      <c r="M11" s="18"/>
      <c r="N11" s="497"/>
      <c r="O11" s="498"/>
      <c r="P11" s="49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52" ht="26.25" thickBot="1" x14ac:dyDescent="0.25">
      <c r="A12" s="263" t="s">
        <v>27</v>
      </c>
      <c r="B12" s="263" t="s">
        <v>30</v>
      </c>
      <c r="C12" s="263" t="s">
        <v>21</v>
      </c>
      <c r="D12" s="263" t="s">
        <v>31</v>
      </c>
      <c r="E12" s="263" t="s">
        <v>41</v>
      </c>
      <c r="F12" s="18"/>
      <c r="G12" s="489"/>
      <c r="H12" s="489"/>
      <c r="I12" s="489"/>
      <c r="J12" s="489"/>
      <c r="K12" s="504"/>
      <c r="L12" s="504"/>
      <c r="M12" s="18"/>
      <c r="N12" s="263" t="s">
        <v>27</v>
      </c>
      <c r="O12" s="263" t="s">
        <v>2</v>
      </c>
      <c r="P12" s="263" t="s">
        <v>29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52" ht="13.5" thickTop="1" x14ac:dyDescent="0.2">
      <c r="A13" s="48">
        <v>2021</v>
      </c>
      <c r="B13" s="108">
        <f>P13</f>
        <v>1216787.4923574107</v>
      </c>
      <c r="C13" s="109">
        <f>L13</f>
        <v>0</v>
      </c>
      <c r="D13" s="108">
        <f>C13-B13</f>
        <v>-1216787.4923574107</v>
      </c>
      <c r="E13" s="109">
        <f>D13</f>
        <v>-1216787.4923574107</v>
      </c>
      <c r="F13" s="18"/>
      <c r="G13" s="48">
        <v>2021</v>
      </c>
      <c r="H13" s="108"/>
      <c r="I13" s="109"/>
      <c r="J13" s="365"/>
      <c r="K13" s="109">
        <f>SUM(I13:J13)</f>
        <v>0</v>
      </c>
      <c r="L13" s="365">
        <f>K13*NPV!C7</f>
        <v>0</v>
      </c>
      <c r="M13" s="18"/>
      <c r="N13" s="48">
        <v>2021</v>
      </c>
      <c r="O13" s="108">
        <f>Costs!F5</f>
        <v>1393099.9999999998</v>
      </c>
      <c r="P13" s="109">
        <f>O13*NPV!C7</f>
        <v>1216787.4923574107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52" x14ac:dyDescent="0.2">
      <c r="A14" s="48">
        <v>2022</v>
      </c>
      <c r="B14" s="108">
        <f>P14</f>
        <v>5364032.1196888592</v>
      </c>
      <c r="C14" s="109">
        <f>L14</f>
        <v>0</v>
      </c>
      <c r="D14" s="108">
        <f>C14-B14</f>
        <v>-5364032.1196888592</v>
      </c>
      <c r="E14" s="109">
        <f>D14+E13</f>
        <v>-6580819.6120462697</v>
      </c>
      <c r="F14" s="18"/>
      <c r="G14" s="48">
        <v>2022</v>
      </c>
      <c r="H14" s="108"/>
      <c r="I14" s="109"/>
      <c r="J14" s="365"/>
      <c r="K14" s="109">
        <f>SUM(I14:J14)</f>
        <v>0</v>
      </c>
      <c r="L14" s="365">
        <f>K14*NPV!C8</f>
        <v>0</v>
      </c>
      <c r="M14" s="18"/>
      <c r="N14" s="48">
        <v>2022</v>
      </c>
      <c r="O14" s="108">
        <f>Costs!F6</f>
        <v>6571170</v>
      </c>
      <c r="P14" s="109">
        <f>O14*NPV!C8</f>
        <v>5364032.1196888592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52" x14ac:dyDescent="0.2">
      <c r="A15" s="48">
        <f t="shared" ref="A15:A35" si="0">A14+1</f>
        <v>2023</v>
      </c>
      <c r="B15" s="108">
        <f t="shared" ref="B15:B33" si="1">P15</f>
        <v>10634476.984714042</v>
      </c>
      <c r="C15" s="109">
        <f t="shared" ref="C15:C33" si="2">L15</f>
        <v>0</v>
      </c>
      <c r="D15" s="108">
        <f>C15-B15</f>
        <v>-10634476.984714042</v>
      </c>
      <c r="E15" s="109">
        <f>D15+E14</f>
        <v>-17215296.59676031</v>
      </c>
      <c r="F15" s="18"/>
      <c r="G15" s="48">
        <f t="shared" ref="G15:G35" si="3">G14+1</f>
        <v>2023</v>
      </c>
      <c r="H15" s="108"/>
      <c r="I15" s="109"/>
      <c r="J15" s="365"/>
      <c r="K15" s="109">
        <f t="shared" ref="K15:K35" si="4">SUM(H15:J15)</f>
        <v>0</v>
      </c>
      <c r="L15" s="365">
        <f>K15*NPV!C9</f>
        <v>0</v>
      </c>
      <c r="M15" s="18"/>
      <c r="N15" s="48">
        <f t="shared" ref="N15:N35" si="5">N14+1</f>
        <v>2023</v>
      </c>
      <c r="O15" s="108">
        <f>Costs!F7</f>
        <v>13939629.999999998</v>
      </c>
      <c r="P15" s="109">
        <f>O15*NPV!C9</f>
        <v>10634476.984714042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52" x14ac:dyDescent="0.2">
      <c r="A16" s="48">
        <f t="shared" si="0"/>
        <v>2024</v>
      </c>
      <c r="B16" s="108">
        <f t="shared" si="1"/>
        <v>0</v>
      </c>
      <c r="C16" s="109">
        <f t="shared" ca="1" si="2"/>
        <v>9172.0830751334142</v>
      </c>
      <c r="D16" s="108">
        <f t="shared" ref="D16:D33" ca="1" si="6">C16-B16</f>
        <v>9172.0830751334142</v>
      </c>
      <c r="E16" s="109">
        <f ca="1">D16+E15</f>
        <v>-17206124.513685178</v>
      </c>
      <c r="F16" s="18"/>
      <c r="G16" s="48">
        <f t="shared" si="3"/>
        <v>2024</v>
      </c>
      <c r="H16" s="108">
        <f>'O&amp;M'!F9</f>
        <v>6500</v>
      </c>
      <c r="I16" s="109">
        <f ca="1">'Flood Damage'!D8</f>
        <v>6364.3209911525473</v>
      </c>
      <c r="J16" s="365">
        <f>'Loss of Use'!E8</f>
        <v>0</v>
      </c>
      <c r="K16" s="109">
        <f t="shared" ca="1" si="4"/>
        <v>12864.320991152548</v>
      </c>
      <c r="L16" s="365">
        <f ca="1">K16*NPV!C10</f>
        <v>9172.0830751334142</v>
      </c>
      <c r="M16" s="18"/>
      <c r="N16" s="48">
        <f t="shared" si="5"/>
        <v>2024</v>
      </c>
      <c r="O16" s="108">
        <f>Costs!F8</f>
        <v>0</v>
      </c>
      <c r="P16" s="109">
        <f>O16*NPV!C10</f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x14ac:dyDescent="0.2">
      <c r="A17" s="48">
        <f t="shared" si="0"/>
        <v>2025</v>
      </c>
      <c r="B17" s="108">
        <f t="shared" si="1"/>
        <v>0</v>
      </c>
      <c r="C17" s="109">
        <f t="shared" ca="1" si="2"/>
        <v>4607842.2008381328</v>
      </c>
      <c r="D17" s="108">
        <f t="shared" ca="1" si="6"/>
        <v>4607842.2008381328</v>
      </c>
      <c r="E17" s="109">
        <f ca="1">D17+E16</f>
        <v>-12598282.312847044</v>
      </c>
      <c r="F17" s="18"/>
      <c r="G17" s="48">
        <f t="shared" si="3"/>
        <v>2025</v>
      </c>
      <c r="H17" s="108">
        <f>'O&amp;M'!F10</f>
        <v>236500</v>
      </c>
      <c r="I17" s="109">
        <f ca="1">'Flood Damage'!D9</f>
        <v>6498.3066450037913</v>
      </c>
      <c r="J17" s="365">
        <f>'Loss of Use'!E9</f>
        <v>6672130.3406834779</v>
      </c>
      <c r="K17" s="109">
        <f t="shared" ca="1" si="4"/>
        <v>6915128.647328482</v>
      </c>
      <c r="L17" s="365">
        <f ca="1">K17*NPV!C11</f>
        <v>4607842.2008381328</v>
      </c>
      <c r="M17" s="18"/>
      <c r="N17" s="48">
        <f t="shared" si="5"/>
        <v>2025</v>
      </c>
      <c r="O17" s="108">
        <f>Costs!F9</f>
        <v>0</v>
      </c>
      <c r="P17" s="109">
        <f>O17*NPV!C11</f>
        <v>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x14ac:dyDescent="0.2">
      <c r="A18" s="48">
        <f t="shared" si="0"/>
        <v>2026</v>
      </c>
      <c r="B18" s="108">
        <f t="shared" si="1"/>
        <v>0</v>
      </c>
      <c r="C18" s="109">
        <f ca="1">L18</f>
        <v>4271643.6178456824</v>
      </c>
      <c r="D18" s="108">
        <f t="shared" ca="1" si="6"/>
        <v>4271643.6178456824</v>
      </c>
      <c r="E18" s="109">
        <f t="shared" ref="E18:E33" ca="1" si="7">D18+E17</f>
        <v>-8326638.6950013619</v>
      </c>
      <c r="F18" s="18"/>
      <c r="G18" s="48">
        <f t="shared" si="3"/>
        <v>2026</v>
      </c>
      <c r="H18" s="108">
        <f>'O&amp;M'!F11</f>
        <v>6500</v>
      </c>
      <c r="I18" s="109">
        <f ca="1">'Flood Damage'!D10</f>
        <v>6637.7788811405317</v>
      </c>
      <c r="J18" s="365">
        <f>'Loss of Use'!E10</f>
        <v>6846188.4167727623</v>
      </c>
      <c r="K18" s="109">
        <f t="shared" ca="1" si="4"/>
        <v>6859326.1956539033</v>
      </c>
      <c r="L18" s="365">
        <f ca="1">K18*NPV!C12</f>
        <v>4271643.6178456824</v>
      </c>
      <c r="M18" s="18"/>
      <c r="N18" s="48">
        <f t="shared" si="5"/>
        <v>2026</v>
      </c>
      <c r="O18" s="108">
        <f>Costs!F10</f>
        <v>0</v>
      </c>
      <c r="P18" s="109">
        <f>O18*NPV!C12</f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x14ac:dyDescent="0.2">
      <c r="A19" s="48">
        <f t="shared" si="0"/>
        <v>2027</v>
      </c>
      <c r="B19" s="108">
        <f t="shared" si="1"/>
        <v>0</v>
      </c>
      <c r="C19" s="109">
        <f t="shared" ca="1" si="2"/>
        <v>4123750.5306825573</v>
      </c>
      <c r="D19" s="108">
        <f t="shared" ca="1" si="6"/>
        <v>4123750.5306825573</v>
      </c>
      <c r="E19" s="109">
        <f t="shared" ca="1" si="7"/>
        <v>-4202888.1643188046</v>
      </c>
      <c r="F19" s="18"/>
      <c r="G19" s="48">
        <f t="shared" si="3"/>
        <v>2027</v>
      </c>
      <c r="H19" s="108">
        <f>'O&amp;M'!F12</f>
        <v>6500</v>
      </c>
      <c r="I19" s="109">
        <f ca="1">'Flood Damage'!D11</f>
        <v>6784.6890523539223</v>
      </c>
      <c r="J19" s="365">
        <f>'Loss of Use'!E11</f>
        <v>7072086.4818409635</v>
      </c>
      <c r="K19" s="109">
        <f t="shared" ca="1" si="4"/>
        <v>7085371.1708933171</v>
      </c>
      <c r="L19" s="365">
        <f ca="1">K19*NPV!C13</f>
        <v>4123750.5306825573</v>
      </c>
      <c r="M19" s="18"/>
      <c r="N19" s="48">
        <f t="shared" si="5"/>
        <v>2027</v>
      </c>
      <c r="O19" s="108">
        <f>Costs!F11</f>
        <v>0</v>
      </c>
      <c r="P19" s="109">
        <f>O19*NPV!C13</f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x14ac:dyDescent="0.2">
      <c r="A20" s="48">
        <f t="shared" si="0"/>
        <v>2028</v>
      </c>
      <c r="B20" s="108">
        <f t="shared" si="1"/>
        <v>0</v>
      </c>
      <c r="C20" s="109">
        <f t="shared" ca="1" si="2"/>
        <v>3994135.4068495785</v>
      </c>
      <c r="D20" s="108">
        <f t="shared" ca="1" si="6"/>
        <v>3994135.4068495785</v>
      </c>
      <c r="E20" s="109">
        <f t="shared" ca="1" si="7"/>
        <v>-208752.75746922614</v>
      </c>
      <c r="F20" s="18"/>
      <c r="G20" s="48">
        <f t="shared" si="3"/>
        <v>2028</v>
      </c>
      <c r="H20" s="108">
        <f>'O&amp;M'!F13</f>
        <v>6500</v>
      </c>
      <c r="I20" s="109">
        <f ca="1">'Flood Damage'!D12</f>
        <v>6936.3791895957911</v>
      </c>
      <c r="J20" s="365">
        <f>'Loss of Use'!E12</f>
        <v>7329618.6551865349</v>
      </c>
      <c r="K20" s="109">
        <f t="shared" ca="1" si="4"/>
        <v>7343055.0343761304</v>
      </c>
      <c r="L20" s="365">
        <f ca="1">K20*NPV!C14</f>
        <v>3994135.4068495785</v>
      </c>
      <c r="M20" s="18"/>
      <c r="N20" s="48">
        <f t="shared" si="5"/>
        <v>2028</v>
      </c>
      <c r="O20" s="108">
        <f>Costs!F12</f>
        <v>0</v>
      </c>
      <c r="P20" s="109">
        <f>O20*NPV!C14</f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x14ac:dyDescent="0.2">
      <c r="A21" s="48">
        <f t="shared" si="0"/>
        <v>2029</v>
      </c>
      <c r="B21" s="108">
        <f t="shared" si="1"/>
        <v>0</v>
      </c>
      <c r="C21" s="109">
        <f t="shared" ca="1" si="2"/>
        <v>3887990.8702115193</v>
      </c>
      <c r="D21" s="108">
        <f ca="1">C21-B21</f>
        <v>3887990.8702115193</v>
      </c>
      <c r="E21" s="109">
        <f t="shared" ca="1" si="7"/>
        <v>3679238.1127422932</v>
      </c>
      <c r="F21" s="18"/>
      <c r="G21" s="48">
        <f t="shared" si="3"/>
        <v>2029</v>
      </c>
      <c r="H21" s="108">
        <f>'O&amp;M'!F14</f>
        <v>6500</v>
      </c>
      <c r="I21" s="109">
        <f ca="1">'Flood Damage'!D13</f>
        <v>7094.8016948620871</v>
      </c>
      <c r="J21" s="365">
        <f>'Loss of Use'!E13</f>
        <v>7634671.7157711666</v>
      </c>
      <c r="K21" s="109">
        <f t="shared" ca="1" si="4"/>
        <v>7648266.5174660292</v>
      </c>
      <c r="L21" s="365">
        <f ca="1">K21*NPV!C15</f>
        <v>3887990.8702115193</v>
      </c>
      <c r="M21" s="18"/>
      <c r="N21" s="48">
        <f t="shared" si="5"/>
        <v>2029</v>
      </c>
      <c r="O21" s="108">
        <f>Costs!F13</f>
        <v>0</v>
      </c>
      <c r="P21" s="109">
        <f>O21*NPV!C15</f>
        <v>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x14ac:dyDescent="0.2">
      <c r="A22" s="48">
        <f t="shared" si="0"/>
        <v>2030</v>
      </c>
      <c r="B22" s="108">
        <f t="shared" si="1"/>
        <v>0</v>
      </c>
      <c r="C22" s="109">
        <f t="shared" ca="1" si="2"/>
        <v>3808329.1993738366</v>
      </c>
      <c r="D22" s="108">
        <f t="shared" ca="1" si="6"/>
        <v>3808329.1993738366</v>
      </c>
      <c r="E22" s="109">
        <f t="shared" ca="1" si="7"/>
        <v>7487567.3121161293</v>
      </c>
      <c r="F22" s="18"/>
      <c r="G22" s="48">
        <f t="shared" si="3"/>
        <v>2030</v>
      </c>
      <c r="H22" s="108">
        <f>'O&amp;M'!F15</f>
        <v>6500</v>
      </c>
      <c r="I22" s="109">
        <f ca="1">'Flood Damage'!D14</f>
        <v>7262.1428160826254</v>
      </c>
      <c r="J22" s="365">
        <f>'Loss of Use'!E14</f>
        <v>8002207.0074864067</v>
      </c>
      <c r="K22" s="109">
        <f t="shared" ca="1" si="4"/>
        <v>8015969.1503024893</v>
      </c>
      <c r="L22" s="365">
        <f ca="1">K22*NPV!C16</f>
        <v>3808329.1993738366</v>
      </c>
      <c r="M22" s="18"/>
      <c r="N22" s="48">
        <f t="shared" si="5"/>
        <v>2030</v>
      </c>
      <c r="O22" s="108">
        <f>Costs!F14</f>
        <v>0</v>
      </c>
      <c r="P22" s="109">
        <f>O22*NPV!C16</f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x14ac:dyDescent="0.2">
      <c r="A23" s="48">
        <f t="shared" si="0"/>
        <v>2031</v>
      </c>
      <c r="B23" s="108">
        <f t="shared" si="1"/>
        <v>0</v>
      </c>
      <c r="C23" s="109">
        <f t="shared" ca="1" si="2"/>
        <v>3739833.0317682899</v>
      </c>
      <c r="D23" s="108">
        <f t="shared" ca="1" si="6"/>
        <v>3739833.0317682899</v>
      </c>
      <c r="E23" s="109">
        <f t="shared" ca="1" si="7"/>
        <v>11227400.34388442</v>
      </c>
      <c r="F23" s="18"/>
      <c r="G23" s="48">
        <f t="shared" si="3"/>
        <v>2031</v>
      </c>
      <c r="H23" s="108">
        <f>'O&amp;M'!F16</f>
        <v>6500</v>
      </c>
      <c r="I23" s="109">
        <f ca="1">'Flood Damage'!D15</f>
        <v>7434.747357625256</v>
      </c>
      <c r="J23" s="365">
        <f>'Loss of Use'!E15</f>
        <v>8408885.7509087734</v>
      </c>
      <c r="K23" s="109">
        <f t="shared" ca="1" si="4"/>
        <v>8422820.4982663989</v>
      </c>
      <c r="L23" s="365">
        <f ca="1">K23*NPV!C17</f>
        <v>3739833.0317682899</v>
      </c>
      <c r="M23" s="18"/>
      <c r="N23" s="48">
        <f t="shared" si="5"/>
        <v>2031</v>
      </c>
      <c r="O23" s="108">
        <f>Costs!F15</f>
        <v>0</v>
      </c>
      <c r="P23" s="109">
        <f>O23*NPV!C17</f>
        <v>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x14ac:dyDescent="0.2">
      <c r="A24" s="48">
        <f t="shared" si="0"/>
        <v>2032</v>
      </c>
      <c r="B24" s="108">
        <f t="shared" si="1"/>
        <v>0</v>
      </c>
      <c r="C24" s="109">
        <f t="shared" ca="1" si="2"/>
        <v>3692294.3817965342</v>
      </c>
      <c r="D24" s="108">
        <f t="shared" ca="1" si="6"/>
        <v>3692294.3817965342</v>
      </c>
      <c r="E24" s="109">
        <f t="shared" ca="1" si="7"/>
        <v>14919694.725680955</v>
      </c>
      <c r="F24" s="18"/>
      <c r="G24" s="48">
        <f t="shared" si="3"/>
        <v>2032</v>
      </c>
      <c r="H24" s="108">
        <f>'O&amp;M'!F17</f>
        <v>6500</v>
      </c>
      <c r="I24" s="109">
        <f ca="1">'Flood Damage'!D16</f>
        <v>7616.1876864735614</v>
      </c>
      <c r="J24" s="365">
        <f>'Loss of Use'!E16</f>
        <v>8883740.9675084483</v>
      </c>
      <c r="K24" s="109">
        <f t="shared" ca="1" si="4"/>
        <v>8897857.1551949214</v>
      </c>
      <c r="L24" s="365">
        <f ca="1">K24*NPV!C18</f>
        <v>3692294.3817965342</v>
      </c>
      <c r="M24" s="18"/>
      <c r="N24" s="48">
        <f t="shared" si="5"/>
        <v>2032</v>
      </c>
      <c r="O24" s="108">
        <f>Costs!F16</f>
        <v>0</v>
      </c>
      <c r="P24" s="109">
        <f>O24*NPV!C18</f>
        <v>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x14ac:dyDescent="0.2">
      <c r="A25" s="48">
        <f t="shared" si="0"/>
        <v>2033</v>
      </c>
      <c r="B25" s="108">
        <f t="shared" si="1"/>
        <v>0</v>
      </c>
      <c r="C25" s="109">
        <f t="shared" ca="1" si="2"/>
        <v>3665078.4047002955</v>
      </c>
      <c r="D25" s="108">
        <f t="shared" ca="1" si="6"/>
        <v>3665078.4047002955</v>
      </c>
      <c r="E25" s="109">
        <f t="shared" ca="1" si="7"/>
        <v>18584773.130381249</v>
      </c>
      <c r="F25" s="18"/>
      <c r="G25" s="48">
        <f t="shared" si="3"/>
        <v>2033</v>
      </c>
      <c r="H25" s="108">
        <f>'O&amp;M'!F18</f>
        <v>6500</v>
      </c>
      <c r="I25" s="109">
        <f ca="1">'Flood Damage'!D17</f>
        <v>7807.448706294258</v>
      </c>
      <c r="J25" s="365">
        <f>'Loss of Use'!E17</f>
        <v>9436222.3809785247</v>
      </c>
      <c r="K25" s="109">
        <f t="shared" ca="1" si="4"/>
        <v>9450529.8296848182</v>
      </c>
      <c r="L25" s="365">
        <f ca="1">K25*NPV!C19</f>
        <v>3665078.4047002955</v>
      </c>
      <c r="M25" s="18"/>
      <c r="N25" s="48">
        <f t="shared" si="5"/>
        <v>2033</v>
      </c>
      <c r="O25" s="108">
        <f>Costs!F17</f>
        <v>0</v>
      </c>
      <c r="P25" s="109">
        <f>O25*NPV!C19</f>
        <v>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x14ac:dyDescent="0.2">
      <c r="A26" s="48">
        <f t="shared" si="0"/>
        <v>2034</v>
      </c>
      <c r="B26" s="108">
        <f t="shared" si="1"/>
        <v>0</v>
      </c>
      <c r="C26" s="109">
        <f t="shared" ca="1" si="2"/>
        <v>3657877.3840269689</v>
      </c>
      <c r="D26" s="108">
        <f t="shared" ca="1" si="6"/>
        <v>3657877.3840269689</v>
      </c>
      <c r="E26" s="109">
        <f t="shared" ca="1" si="7"/>
        <v>22242650.514408216</v>
      </c>
      <c r="F26" s="18"/>
      <c r="G26" s="48">
        <f t="shared" si="3"/>
        <v>2034</v>
      </c>
      <c r="H26" s="108">
        <f>'O&amp;M'!F19</f>
        <v>6500</v>
      </c>
      <c r="I26" s="109">
        <f ca="1">'Flood Damage'!D18</f>
        <v>8009.217021011521</v>
      </c>
      <c r="J26" s="365">
        <f>'Loss of Use'!E18</f>
        <v>10077689.857578695</v>
      </c>
      <c r="K26" s="109">
        <f t="shared" ca="1" si="4"/>
        <v>10092199.074599706</v>
      </c>
      <c r="L26" s="365">
        <f ca="1">K26*NPV!C20</f>
        <v>3657877.3840269689</v>
      </c>
      <c r="M26" s="18"/>
      <c r="N26" s="48">
        <f t="shared" si="5"/>
        <v>2034</v>
      </c>
      <c r="O26" s="108">
        <f>Costs!F18</f>
        <v>0</v>
      </c>
      <c r="P26" s="109">
        <f>O26*NPV!C20</f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x14ac:dyDescent="0.2">
      <c r="A27" s="48">
        <f t="shared" si="0"/>
        <v>2035</v>
      </c>
      <c r="B27" s="108">
        <f t="shared" si="1"/>
        <v>0</v>
      </c>
      <c r="C27" s="109">
        <f t="shared" ca="1" si="2"/>
        <v>3670703.070757607</v>
      </c>
      <c r="D27" s="108">
        <f t="shared" ca="1" si="6"/>
        <v>3670703.070757607</v>
      </c>
      <c r="E27" s="109">
        <f t="shared" ca="1" si="7"/>
        <v>25913353.585165821</v>
      </c>
      <c r="F27" s="18"/>
      <c r="G27" s="48">
        <f t="shared" si="3"/>
        <v>2035</v>
      </c>
      <c r="H27" s="108">
        <f>'O&amp;M'!F20</f>
        <v>6500</v>
      </c>
      <c r="I27" s="109">
        <f ca="1">'Flood Damage'!D19</f>
        <v>8223.7981070309597</v>
      </c>
      <c r="J27" s="365">
        <f>'Loss of Use'!E19</f>
        <v>10821792.739131298</v>
      </c>
      <c r="K27" s="109">
        <f t="shared" ca="1" si="4"/>
        <v>10836516.53723833</v>
      </c>
      <c r="L27" s="365">
        <f ca="1">K27*NPV!C21</f>
        <v>3670703.070757607</v>
      </c>
      <c r="M27" s="18"/>
      <c r="N27" s="48">
        <f t="shared" si="5"/>
        <v>2035</v>
      </c>
      <c r="O27" s="108">
        <f>Costs!F19</f>
        <v>0</v>
      </c>
      <c r="P27" s="109">
        <f>O27*NPV!C21</f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x14ac:dyDescent="0.2">
      <c r="A28" s="48">
        <f t="shared" si="0"/>
        <v>2036</v>
      </c>
      <c r="B28" s="108">
        <f t="shared" si="1"/>
        <v>0</v>
      </c>
      <c r="C28" s="109">
        <f t="shared" ca="1" si="2"/>
        <v>3703886.0089136777</v>
      </c>
      <c r="D28" s="108">
        <f t="shared" ca="1" si="6"/>
        <v>3703886.0089136777</v>
      </c>
      <c r="E28" s="109">
        <f t="shared" ca="1" si="7"/>
        <v>29617239.594079498</v>
      </c>
      <c r="F28" s="18"/>
      <c r="G28" s="48">
        <f t="shared" si="3"/>
        <v>2036</v>
      </c>
      <c r="H28" s="108">
        <f>'O&amp;M'!F21</f>
        <v>6500</v>
      </c>
      <c r="I28" s="109">
        <f ca="1">'Flood Damage'!D20</f>
        <v>8452.3943010828425</v>
      </c>
      <c r="J28" s="365">
        <f>'Loss of Use'!E20</f>
        <v>11684939.070335835</v>
      </c>
      <c r="K28" s="109">
        <f t="shared" ca="1" si="4"/>
        <v>11699891.464636918</v>
      </c>
      <c r="L28" s="365">
        <f ca="1">K28*NPV!C22</f>
        <v>3703886.0089136777</v>
      </c>
      <c r="M28" s="18"/>
      <c r="N28" s="48">
        <f t="shared" si="5"/>
        <v>2036</v>
      </c>
      <c r="O28" s="108">
        <f>Costs!F20</f>
        <v>0</v>
      </c>
      <c r="P28" s="109">
        <f>O28*NPV!C22</f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x14ac:dyDescent="0.2">
      <c r="A29" s="48">
        <f t="shared" si="0"/>
        <v>2037</v>
      </c>
      <c r="B29" s="108">
        <f t="shared" si="1"/>
        <v>0</v>
      </c>
      <c r="C29" s="109">
        <f t="shared" ca="1" si="2"/>
        <v>3758085.2780311839</v>
      </c>
      <c r="D29" s="108">
        <f t="shared" ca="1" si="6"/>
        <v>3758085.2780311839</v>
      </c>
      <c r="E29" s="109">
        <f t="shared" ca="1" si="7"/>
        <v>33375324.872110683</v>
      </c>
      <c r="F29" s="18"/>
      <c r="G29" s="48">
        <f t="shared" si="3"/>
        <v>2037</v>
      </c>
      <c r="H29" s="108">
        <f>'O&amp;M'!F22</f>
        <v>6500</v>
      </c>
      <c r="I29" s="109">
        <f ca="1">'Flood Damage'!D21</f>
        <v>8696.9752068083471</v>
      </c>
      <c r="J29" s="365">
        <f>'Loss of Use'!E21</f>
        <v>12686876.750966068</v>
      </c>
      <c r="K29" s="109">
        <f t="shared" ca="1" si="4"/>
        <v>12702073.726172877</v>
      </c>
      <c r="L29" s="365">
        <f ca="1">K29*NPV!C23</f>
        <v>3758085.2780311839</v>
      </c>
      <c r="M29" s="18"/>
      <c r="N29" s="48">
        <f t="shared" si="5"/>
        <v>2037</v>
      </c>
      <c r="O29" s="108">
        <f>Costs!F21</f>
        <v>0</v>
      </c>
      <c r="P29" s="109">
        <f>O29*NPV!C23</f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x14ac:dyDescent="0.2">
      <c r="A30" s="48">
        <f t="shared" si="0"/>
        <v>2038</v>
      </c>
      <c r="B30" s="108">
        <f t="shared" si="1"/>
        <v>0</v>
      </c>
      <c r="C30" s="109">
        <f t="shared" ca="1" si="2"/>
        <v>3834306.3585187411</v>
      </c>
      <c r="D30" s="108">
        <f t="shared" ca="1" si="6"/>
        <v>3834306.3585187411</v>
      </c>
      <c r="E30" s="109">
        <f t="shared" ca="1" si="7"/>
        <v>37209631.230629422</v>
      </c>
      <c r="F30" s="18"/>
      <c r="G30" s="48">
        <f t="shared" si="3"/>
        <v>2038</v>
      </c>
      <c r="H30" s="108">
        <f>'O&amp;M'!F23</f>
        <v>6500</v>
      </c>
      <c r="I30" s="109">
        <f ca="1">'Flood Damage'!D22</f>
        <v>8959.9010897992284</v>
      </c>
      <c r="J30" s="365">
        <f>'Loss of Use'!E22</f>
        <v>13851414.62224846</v>
      </c>
      <c r="K30" s="109">
        <f t="shared" ca="1" si="4"/>
        <v>13866874.523338258</v>
      </c>
      <c r="L30" s="365">
        <f ca="1">K30*NPV!C24</f>
        <v>3834306.3585187411</v>
      </c>
      <c r="M30" s="18"/>
      <c r="N30" s="48">
        <f t="shared" si="5"/>
        <v>2038</v>
      </c>
      <c r="O30" s="108">
        <f>Costs!F22</f>
        <v>0</v>
      </c>
      <c r="P30" s="109">
        <f>O30*NPV!C24</f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x14ac:dyDescent="0.2">
      <c r="A31" s="48">
        <f t="shared" si="0"/>
        <v>2039</v>
      </c>
      <c r="B31" s="108">
        <f t="shared" si="1"/>
        <v>0</v>
      </c>
      <c r="C31" s="109">
        <f t="shared" ca="1" si="2"/>
        <v>3933928.8077853173</v>
      </c>
      <c r="D31" s="108">
        <f t="shared" ca="1" si="6"/>
        <v>3933928.8077853173</v>
      </c>
      <c r="E31" s="109">
        <f t="shared" ca="1" si="7"/>
        <v>41143560.038414739</v>
      </c>
      <c r="F31" s="18"/>
      <c r="G31" s="48">
        <f t="shared" si="3"/>
        <v>2039</v>
      </c>
      <c r="H31" s="108">
        <f>'O&amp;M'!F24</f>
        <v>6500</v>
      </c>
      <c r="I31" s="109">
        <f ca="1">'Flood Damage'!D23</f>
        <v>9244.0092658916092</v>
      </c>
      <c r="J31" s="365">
        <f>'Loss of Use'!E23</f>
        <v>15207319.17474773</v>
      </c>
      <c r="K31" s="109">
        <f t="shared" ca="1" si="4"/>
        <v>15223063.184013622</v>
      </c>
      <c r="L31" s="365">
        <f ca="1">K31*NPV!C25</f>
        <v>3933928.8077853173</v>
      </c>
      <c r="M31" s="18"/>
      <c r="N31" s="48">
        <f t="shared" si="5"/>
        <v>2039</v>
      </c>
      <c r="O31" s="108">
        <f>Costs!F23</f>
        <v>0</v>
      </c>
      <c r="P31" s="109">
        <f>O31*NPV!C25</f>
        <v>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x14ac:dyDescent="0.2">
      <c r="A32" s="48">
        <f t="shared" si="0"/>
        <v>2040</v>
      </c>
      <c r="B32" s="108">
        <f t="shared" si="1"/>
        <v>0</v>
      </c>
      <c r="C32" s="109">
        <f t="shared" ca="1" si="2"/>
        <v>4058744.6008238606</v>
      </c>
      <c r="D32" s="108">
        <f t="shared" ca="1" si="6"/>
        <v>4058744.6008238606</v>
      </c>
      <c r="E32" s="109">
        <f t="shared" ca="1" si="7"/>
        <v>45202304.639238596</v>
      </c>
      <c r="F32" s="18"/>
      <c r="G32" s="48">
        <f t="shared" si="3"/>
        <v>2040</v>
      </c>
      <c r="H32" s="108">
        <f>'O&amp;M'!F25</f>
        <v>6500</v>
      </c>
      <c r="I32" s="109">
        <f ca="1">'Flood Damage'!D24</f>
        <v>9552.7233010837244</v>
      </c>
      <c r="J32" s="365">
        <f>'Loss of Use'!E24</f>
        <v>16789432.460037224</v>
      </c>
      <c r="K32" s="109">
        <f t="shared" ca="1" si="4"/>
        <v>16805485.183338307</v>
      </c>
      <c r="L32" s="365">
        <f ca="1">K32*NPV!C26</f>
        <v>4058744.6008238606</v>
      </c>
      <c r="M32" s="18"/>
      <c r="N32" s="48">
        <f t="shared" si="5"/>
        <v>2040</v>
      </c>
      <c r="O32" s="108">
        <f>Costs!F24</f>
        <v>0</v>
      </c>
      <c r="P32" s="109">
        <f>O32*NPV!C26</f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52" x14ac:dyDescent="0.2">
      <c r="A33" s="48">
        <f t="shared" si="0"/>
        <v>2041</v>
      </c>
      <c r="B33" s="108">
        <f t="shared" si="1"/>
        <v>0</v>
      </c>
      <c r="C33" s="109">
        <f t="shared" ca="1" si="2"/>
        <v>4211008.5858952841</v>
      </c>
      <c r="D33" s="108">
        <f t="shared" ca="1" si="6"/>
        <v>4211008.5858952841</v>
      </c>
      <c r="E33" s="109">
        <f t="shared" ca="1" si="7"/>
        <v>49413313.225133881</v>
      </c>
      <c r="F33" s="18"/>
      <c r="G33" s="48">
        <f t="shared" si="3"/>
        <v>2041</v>
      </c>
      <c r="H33" s="108">
        <f>'O&amp;M'!F26</f>
        <v>6500</v>
      </c>
      <c r="I33" s="109">
        <f ca="1">'Flood Damage'!D25</f>
        <v>9890.1876055715875</v>
      </c>
      <c r="J33" s="365">
        <f>'Loss of Use'!E25</f>
        <v>18640069.583133742</v>
      </c>
      <c r="K33" s="109">
        <f t="shared" ca="1" si="4"/>
        <v>18656459.770739313</v>
      </c>
      <c r="L33" s="365">
        <f ca="1">K33*NPV!C27</f>
        <v>4211008.5858952841</v>
      </c>
      <c r="M33" s="18"/>
      <c r="N33" s="48">
        <f t="shared" si="5"/>
        <v>2041</v>
      </c>
      <c r="O33" s="108">
        <f>Costs!F25</f>
        <v>0</v>
      </c>
      <c r="P33" s="109">
        <f>O33*NPV!C27</f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52" x14ac:dyDescent="0.2">
      <c r="A34" s="48">
        <f t="shared" si="0"/>
        <v>2042</v>
      </c>
      <c r="B34" s="177">
        <f>P34</f>
        <v>0</v>
      </c>
      <c r="C34" s="178">
        <f ca="1">L34</f>
        <v>4393502.7840129724</v>
      </c>
      <c r="D34" s="177">
        <f ca="1">C34-B34</f>
        <v>4393502.7840129724</v>
      </c>
      <c r="E34" s="178">
        <f ca="1">D34+E33</f>
        <v>53806816.009146854</v>
      </c>
      <c r="F34" s="18"/>
      <c r="G34" s="48">
        <f t="shared" si="3"/>
        <v>2042</v>
      </c>
      <c r="H34" s="108">
        <f>'O&amp;M'!F27</f>
        <v>6500</v>
      </c>
      <c r="I34" s="109">
        <f ca="1">'Flood Damage'!D26</f>
        <v>10260.399944061472</v>
      </c>
      <c r="J34" s="365">
        <f>'Loss of Use'!E26</f>
        <v>20810770.75074403</v>
      </c>
      <c r="K34" s="109">
        <f t="shared" ca="1" si="4"/>
        <v>20827531.150688093</v>
      </c>
      <c r="L34" s="365">
        <f ca="1">K34*NPV!C28</f>
        <v>4393502.7840129724</v>
      </c>
      <c r="M34" s="18"/>
      <c r="N34" s="48">
        <f t="shared" si="5"/>
        <v>2042</v>
      </c>
      <c r="O34" s="108">
        <f>Costs!F26</f>
        <v>0</v>
      </c>
      <c r="P34" s="109">
        <f>O34*NPV!C28</f>
        <v>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52" ht="13.5" thickBot="1" x14ac:dyDescent="0.25">
      <c r="A35" s="49">
        <f t="shared" si="0"/>
        <v>2043</v>
      </c>
      <c r="B35" s="176">
        <f>P35</f>
        <v>-3166738.5557107227</v>
      </c>
      <c r="C35" s="115">
        <f ca="1">L35</f>
        <v>4609618.3714182228</v>
      </c>
      <c r="D35" s="176">
        <f ca="1">C35-B35</f>
        <v>7776356.9271289455</v>
      </c>
      <c r="E35" s="115">
        <f ca="1">D35+E34</f>
        <v>61583172.936275803</v>
      </c>
      <c r="F35" s="18"/>
      <c r="G35" s="51">
        <f t="shared" si="3"/>
        <v>2043</v>
      </c>
      <c r="H35" s="110">
        <f>'O&amp;M'!F28</f>
        <v>6500</v>
      </c>
      <c r="I35" s="109">
        <f ca="1">'Flood Damage'!D27</f>
        <v>10671.443560967466</v>
      </c>
      <c r="J35" s="365">
        <f>'Loss of Use'!E27</f>
        <v>23364504.45134126</v>
      </c>
      <c r="K35" s="111">
        <f t="shared" ca="1" si="4"/>
        <v>23381675.894902229</v>
      </c>
      <c r="L35" s="366">
        <f ca="1">K35*NPV!C29</f>
        <v>4609618.3714182228</v>
      </c>
      <c r="M35" s="18"/>
      <c r="N35" s="51">
        <f t="shared" si="5"/>
        <v>2043</v>
      </c>
      <c r="O35" s="110">
        <f>Costs!F27</f>
        <v>-16062859.999999998</v>
      </c>
      <c r="P35" s="111">
        <f>O35*NPV!C29</f>
        <v>-3166738.5557107227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52" ht="17.25" thickTop="1" x14ac:dyDescent="0.3">
      <c r="A36" s="50" t="s">
        <v>0</v>
      </c>
      <c r="B36" s="112">
        <f>SUM(B13:B35)</f>
        <v>14048558.041049588</v>
      </c>
      <c r="C36" s="113">
        <f ca="1">SUM(C13:C35)</f>
        <v>75631730.977325395</v>
      </c>
      <c r="D36" s="112">
        <f ca="1">SUM(D13:D35)</f>
        <v>61583172.936275803</v>
      </c>
      <c r="E36" s="114"/>
      <c r="F36" s="18"/>
      <c r="G36" s="486" t="s">
        <v>40</v>
      </c>
      <c r="H36" s="493"/>
      <c r="I36" s="493"/>
      <c r="J36" s="487"/>
      <c r="K36" s="113">
        <f ca="1">SUM(K14:K35)</f>
        <v>224742959.0298253</v>
      </c>
      <c r="L36" s="367">
        <f ca="1">SUM(L14:L35)</f>
        <v>75631730.977325395</v>
      </c>
      <c r="M36" s="18"/>
      <c r="N36" s="486" t="s">
        <v>9</v>
      </c>
      <c r="O36" s="487"/>
      <c r="P36" s="113">
        <f>SUM(P13:P35)</f>
        <v>14048558.041049588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52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1:5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</row>
    <row r="63" spans="1:5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</row>
    <row r="64" spans="1:5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1:5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</row>
    <row r="66" spans="1:5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5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5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</row>
    <row r="71" spans="1:5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:5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5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</row>
    <row r="78" spans="1:5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</row>
    <row r="79" spans="1:5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  <row r="91" spans="1:5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  <row r="92" spans="1:5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</row>
    <row r="95" spans="1:5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</row>
    <row r="97" spans="1:5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</row>
    <row r="98" spans="1:5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</row>
    <row r="99" spans="1:5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</row>
    <row r="100" spans="1:5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</row>
    <row r="101" spans="1:5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</row>
  </sheetData>
  <mergeCells count="12">
    <mergeCell ref="A3:C3"/>
    <mergeCell ref="H11:H12"/>
    <mergeCell ref="K11:K12"/>
    <mergeCell ref="L11:L12"/>
    <mergeCell ref="A10:E11"/>
    <mergeCell ref="G11:G12"/>
    <mergeCell ref="N36:O36"/>
    <mergeCell ref="I11:I12"/>
    <mergeCell ref="J11:J12"/>
    <mergeCell ref="G10:L10"/>
    <mergeCell ref="G36:J36"/>
    <mergeCell ref="N10:P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05"/>
  <sheetViews>
    <sheetView workbookViewId="0">
      <selection activeCell="A2" sqref="A2:D2"/>
    </sheetView>
  </sheetViews>
  <sheetFormatPr defaultRowHeight="12.75" x14ac:dyDescent="0.2"/>
  <cols>
    <col min="6" max="6" width="13.7109375" customWidth="1"/>
    <col min="7" max="7" width="11" customWidth="1"/>
    <col min="10" max="74" width="8.85546875" style="18"/>
  </cols>
  <sheetData>
    <row r="1" spans="1:9" x14ac:dyDescent="0.2">
      <c r="A1" s="18"/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505" t="s">
        <v>5</v>
      </c>
      <c r="B2" s="505"/>
      <c r="C2" s="505"/>
      <c r="D2" s="505"/>
      <c r="E2" s="18"/>
      <c r="F2" s="490" t="s">
        <v>46</v>
      </c>
      <c r="G2" s="492"/>
      <c r="H2" s="18"/>
      <c r="I2" s="18"/>
    </row>
    <row r="3" spans="1:9" x14ac:dyDescent="0.2">
      <c r="A3" s="372"/>
      <c r="B3" s="372" t="s">
        <v>1</v>
      </c>
      <c r="C3" s="377">
        <v>7.0000000000000007E-2</v>
      </c>
      <c r="D3" s="377">
        <v>0.03</v>
      </c>
      <c r="E3" s="18"/>
      <c r="F3" s="107" t="s">
        <v>47</v>
      </c>
      <c r="G3" s="103" t="s">
        <v>48</v>
      </c>
      <c r="H3" s="18"/>
      <c r="I3" s="18"/>
    </row>
    <row r="4" spans="1:9" x14ac:dyDescent="0.2">
      <c r="A4" s="48">
        <v>-1</v>
      </c>
      <c r="B4" s="48">
        <v>2018</v>
      </c>
      <c r="C4" s="331">
        <f t="shared" ref="C4:C5" si="0">1/(1+$C$45)^A4</f>
        <v>1.07</v>
      </c>
      <c r="D4" s="421">
        <f t="shared" ref="D4:D5" si="1">1/(1+$D$45)^A4</f>
        <v>1.03</v>
      </c>
      <c r="E4" s="18"/>
      <c r="F4" s="48">
        <v>2002</v>
      </c>
      <c r="G4" s="333">
        <v>1.3851</v>
      </c>
      <c r="H4" s="18"/>
      <c r="I4" s="18"/>
    </row>
    <row r="5" spans="1:9" x14ac:dyDescent="0.2">
      <c r="A5" s="48">
        <f>A4+1</f>
        <v>0</v>
      </c>
      <c r="B5" s="48">
        <f>B4+1</f>
        <v>2019</v>
      </c>
      <c r="C5" s="332">
        <f t="shared" si="0"/>
        <v>1</v>
      </c>
      <c r="D5" s="421">
        <f t="shared" si="1"/>
        <v>1</v>
      </c>
      <c r="E5" s="18"/>
      <c r="F5" s="48">
        <f t="shared" ref="F5:F21" si="2">F4+1</f>
        <v>2003</v>
      </c>
      <c r="G5" s="333">
        <v>1.3597999999999999</v>
      </c>
      <c r="H5" s="18"/>
      <c r="I5" s="18"/>
    </row>
    <row r="6" spans="1:9" x14ac:dyDescent="0.2">
      <c r="A6" s="48">
        <f t="shared" ref="A6:A44" si="3">A5+1</f>
        <v>1</v>
      </c>
      <c r="B6" s="48">
        <f t="shared" ref="B6:B44" si="4">B5+1</f>
        <v>2020</v>
      </c>
      <c r="C6" s="332">
        <f>1/(1+$C$45)^A6</f>
        <v>0.93457943925233644</v>
      </c>
      <c r="D6" s="421">
        <f>1/(1+$D$45)^A6</f>
        <v>0.970873786407767</v>
      </c>
      <c r="E6" s="18"/>
      <c r="F6" s="48">
        <f t="shared" si="2"/>
        <v>2004</v>
      </c>
      <c r="G6" s="333">
        <v>1.3242</v>
      </c>
      <c r="H6" s="18"/>
      <c r="I6" s="18"/>
    </row>
    <row r="7" spans="1:9" x14ac:dyDescent="0.2">
      <c r="A7" s="48">
        <f t="shared" si="3"/>
        <v>2</v>
      </c>
      <c r="B7" s="48">
        <f t="shared" si="4"/>
        <v>2021</v>
      </c>
      <c r="C7" s="332">
        <f t="shared" ref="C7:C44" si="5">1/(1+$C$45)^A7</f>
        <v>0.87343872827321156</v>
      </c>
      <c r="D7" s="421">
        <f t="shared" ref="D7:D44" si="6">1/(1+$D$45)^A7</f>
        <v>0.94259590913375435</v>
      </c>
      <c r="E7" s="18"/>
      <c r="F7" s="48">
        <f t="shared" si="2"/>
        <v>2005</v>
      </c>
      <c r="G7" s="333">
        <v>1.2842</v>
      </c>
      <c r="H7" s="18"/>
      <c r="I7" s="18"/>
    </row>
    <row r="8" spans="1:9" x14ac:dyDescent="0.2">
      <c r="A8" s="48">
        <f t="shared" si="3"/>
        <v>3</v>
      </c>
      <c r="B8" s="48">
        <f t="shared" si="4"/>
        <v>2022</v>
      </c>
      <c r="C8" s="332">
        <f t="shared" si="5"/>
        <v>0.81629787689085187</v>
      </c>
      <c r="D8" s="421">
        <f t="shared" si="6"/>
        <v>0.91514165935315961</v>
      </c>
      <c r="E8" s="18"/>
      <c r="F8" s="48">
        <f t="shared" si="2"/>
        <v>2006</v>
      </c>
      <c r="G8" s="333">
        <v>1.2464999999999999</v>
      </c>
      <c r="H8" s="18"/>
      <c r="I8" s="18"/>
    </row>
    <row r="9" spans="1:9" x14ac:dyDescent="0.2">
      <c r="A9" s="48">
        <f t="shared" si="3"/>
        <v>4</v>
      </c>
      <c r="B9" s="48">
        <f t="shared" si="4"/>
        <v>2023</v>
      </c>
      <c r="C9" s="332">
        <f t="shared" si="5"/>
        <v>0.7628952120475252</v>
      </c>
      <c r="D9" s="421">
        <f t="shared" si="6"/>
        <v>0.888487047915689</v>
      </c>
      <c r="E9" s="18"/>
      <c r="F9" s="48">
        <f t="shared" si="2"/>
        <v>2007</v>
      </c>
      <c r="G9" s="334">
        <v>1.2139</v>
      </c>
      <c r="H9" s="18"/>
      <c r="I9" s="18"/>
    </row>
    <row r="10" spans="1:9" x14ac:dyDescent="0.2">
      <c r="A10" s="48">
        <f t="shared" si="3"/>
        <v>5</v>
      </c>
      <c r="B10" s="48">
        <f t="shared" si="4"/>
        <v>2024</v>
      </c>
      <c r="C10" s="332">
        <f t="shared" si="5"/>
        <v>0.71298617948366838</v>
      </c>
      <c r="D10" s="421">
        <f t="shared" si="6"/>
        <v>0.86260878438416411</v>
      </c>
      <c r="E10" s="18"/>
      <c r="F10" s="48">
        <f t="shared" si="2"/>
        <v>2008</v>
      </c>
      <c r="G10" s="333">
        <v>1.1907000000000001</v>
      </c>
      <c r="H10" s="18"/>
      <c r="I10" s="18"/>
    </row>
    <row r="11" spans="1:9" x14ac:dyDescent="0.2">
      <c r="A11" s="48">
        <f t="shared" si="3"/>
        <v>6</v>
      </c>
      <c r="B11" s="48">
        <f t="shared" si="4"/>
        <v>2025</v>
      </c>
      <c r="C11" s="332">
        <f t="shared" si="5"/>
        <v>0.66634222381651254</v>
      </c>
      <c r="D11" s="421">
        <f t="shared" si="6"/>
        <v>0.83748425668365445</v>
      </c>
      <c r="E11" s="18"/>
      <c r="F11" s="48">
        <f t="shared" si="2"/>
        <v>2009</v>
      </c>
      <c r="G11" s="333">
        <v>1.1817</v>
      </c>
      <c r="H11" s="18"/>
      <c r="I11" s="18"/>
    </row>
    <row r="12" spans="1:9" x14ac:dyDescent="0.2">
      <c r="A12" s="48">
        <f t="shared" si="3"/>
        <v>7</v>
      </c>
      <c r="B12" s="48">
        <f t="shared" si="4"/>
        <v>2026</v>
      </c>
      <c r="C12" s="332">
        <f t="shared" si="5"/>
        <v>0.62274974188459109</v>
      </c>
      <c r="D12" s="421">
        <f t="shared" si="6"/>
        <v>0.81309151134335378</v>
      </c>
      <c r="E12" s="18"/>
      <c r="F12" s="48">
        <f t="shared" si="2"/>
        <v>2010</v>
      </c>
      <c r="G12" s="333">
        <v>1.1680999999999999</v>
      </c>
      <c r="H12" s="18"/>
      <c r="I12" s="18"/>
    </row>
    <row r="13" spans="1:9" x14ac:dyDescent="0.2">
      <c r="A13" s="48">
        <f t="shared" si="3"/>
        <v>8</v>
      </c>
      <c r="B13" s="48">
        <f t="shared" si="4"/>
        <v>2027</v>
      </c>
      <c r="C13" s="332">
        <f t="shared" si="5"/>
        <v>0.5820091045650384</v>
      </c>
      <c r="D13" s="421">
        <f t="shared" si="6"/>
        <v>0.78940923431393573</v>
      </c>
      <c r="E13" s="18"/>
      <c r="F13" s="48">
        <f t="shared" si="2"/>
        <v>2011</v>
      </c>
      <c r="G13" s="333">
        <v>1.1442000000000001</v>
      </c>
      <c r="H13" s="18"/>
      <c r="I13" s="18"/>
    </row>
    <row r="14" spans="1:9" x14ac:dyDescent="0.2">
      <c r="A14" s="48">
        <f t="shared" si="3"/>
        <v>9</v>
      </c>
      <c r="B14" s="48">
        <f t="shared" si="4"/>
        <v>2028</v>
      </c>
      <c r="C14" s="332">
        <f t="shared" si="5"/>
        <v>0.54393374258414806</v>
      </c>
      <c r="D14" s="421">
        <f t="shared" si="6"/>
        <v>0.76641673234362695</v>
      </c>
      <c r="E14" s="18"/>
      <c r="F14" s="48">
        <f t="shared" si="2"/>
        <v>2012</v>
      </c>
      <c r="G14" s="333">
        <v>1.1227</v>
      </c>
      <c r="H14" s="18"/>
      <c r="I14" s="18"/>
    </row>
    <row r="15" spans="1:9" x14ac:dyDescent="0.2">
      <c r="A15" s="48">
        <f t="shared" si="3"/>
        <v>10</v>
      </c>
      <c r="B15" s="48">
        <f t="shared" si="4"/>
        <v>2029</v>
      </c>
      <c r="C15" s="332">
        <f t="shared" si="5"/>
        <v>0.5083492921347178</v>
      </c>
      <c r="D15" s="421">
        <f t="shared" si="6"/>
        <v>0.74409391489672516</v>
      </c>
      <c r="E15" s="18"/>
      <c r="F15" s="48">
        <f t="shared" si="2"/>
        <v>2013</v>
      </c>
      <c r="G15" s="333">
        <v>1.1032999999999999</v>
      </c>
      <c r="H15" s="18"/>
      <c r="I15" s="18"/>
    </row>
    <row r="16" spans="1:9" x14ac:dyDescent="0.2">
      <c r="A16" s="48">
        <f t="shared" si="3"/>
        <v>11</v>
      </c>
      <c r="B16" s="48">
        <f t="shared" si="4"/>
        <v>2030</v>
      </c>
      <c r="C16" s="332">
        <f t="shared" si="5"/>
        <v>0.47509279638758667</v>
      </c>
      <c r="D16" s="421">
        <f t="shared" si="6"/>
        <v>0.72242127659876232</v>
      </c>
      <c r="E16" s="18"/>
      <c r="F16" s="48">
        <f t="shared" si="2"/>
        <v>2014</v>
      </c>
      <c r="G16" s="333">
        <v>1.0831999999999999</v>
      </c>
      <c r="H16" s="18"/>
      <c r="I16" s="18"/>
    </row>
    <row r="17" spans="1:9" x14ac:dyDescent="0.2">
      <c r="A17" s="48">
        <f t="shared" si="3"/>
        <v>12</v>
      </c>
      <c r="B17" s="48">
        <f t="shared" si="4"/>
        <v>2031</v>
      </c>
      <c r="C17" s="332">
        <f t="shared" si="5"/>
        <v>0.44401195924073528</v>
      </c>
      <c r="D17" s="421">
        <f t="shared" si="6"/>
        <v>0.70137988019297326</v>
      </c>
      <c r="E17" s="18"/>
      <c r="F17" s="48">
        <f t="shared" si="2"/>
        <v>2015</v>
      </c>
      <c r="G17" s="333">
        <v>1.073</v>
      </c>
      <c r="H17" s="18"/>
      <c r="I17" s="18"/>
    </row>
    <row r="18" spans="1:9" x14ac:dyDescent="0.2">
      <c r="A18" s="48">
        <f t="shared" si="3"/>
        <v>13</v>
      </c>
      <c r="B18" s="48">
        <f t="shared" si="4"/>
        <v>2032</v>
      </c>
      <c r="C18" s="332">
        <f t="shared" si="5"/>
        <v>0.41496444788853759</v>
      </c>
      <c r="D18" s="421">
        <f t="shared" si="6"/>
        <v>0.68095133999317792</v>
      </c>
      <c r="E18" s="18"/>
      <c r="F18" s="48">
        <f t="shared" si="2"/>
        <v>2016</v>
      </c>
      <c r="G18" s="333">
        <v>1.0619000000000001</v>
      </c>
      <c r="H18" s="18"/>
      <c r="I18" s="18"/>
    </row>
    <row r="19" spans="1:9" x14ac:dyDescent="0.2">
      <c r="A19" s="48">
        <f t="shared" si="3"/>
        <v>14</v>
      </c>
      <c r="B19" s="48">
        <f t="shared" si="4"/>
        <v>2033</v>
      </c>
      <c r="C19" s="332">
        <f t="shared" si="5"/>
        <v>0.3878172410173249</v>
      </c>
      <c r="D19" s="421">
        <f t="shared" si="6"/>
        <v>0.66111780581861923</v>
      </c>
      <c r="E19" s="18"/>
      <c r="F19" s="48">
        <f t="shared" si="2"/>
        <v>2017</v>
      </c>
      <c r="G19" s="333">
        <v>1.0423</v>
      </c>
      <c r="H19" s="18"/>
      <c r="I19" s="18"/>
    </row>
    <row r="20" spans="1:9" x14ac:dyDescent="0.2">
      <c r="A20" s="48">
        <f t="shared" si="3"/>
        <v>15</v>
      </c>
      <c r="B20" s="48">
        <f t="shared" si="4"/>
        <v>2034</v>
      </c>
      <c r="C20" s="332">
        <f t="shared" si="5"/>
        <v>0.36244601964235967</v>
      </c>
      <c r="D20" s="421">
        <f t="shared" si="6"/>
        <v>0.64186194739671765</v>
      </c>
      <c r="E20" s="18"/>
      <c r="F20" s="48">
        <f t="shared" si="2"/>
        <v>2018</v>
      </c>
      <c r="G20" s="333">
        <v>1.0179</v>
      </c>
      <c r="H20" s="18"/>
      <c r="I20" s="18"/>
    </row>
    <row r="21" spans="1:9" x14ac:dyDescent="0.2">
      <c r="A21" s="48">
        <f t="shared" si="3"/>
        <v>16</v>
      </c>
      <c r="B21" s="48">
        <f t="shared" si="4"/>
        <v>2035</v>
      </c>
      <c r="C21" s="332">
        <f t="shared" si="5"/>
        <v>0.33873459779659787</v>
      </c>
      <c r="D21" s="421">
        <f t="shared" si="6"/>
        <v>0.62316693922011435</v>
      </c>
      <c r="E21" s="18"/>
      <c r="F21" s="48">
        <f t="shared" si="2"/>
        <v>2019</v>
      </c>
      <c r="G21" s="334">
        <v>1</v>
      </c>
      <c r="H21" s="18"/>
      <c r="I21" s="18"/>
    </row>
    <row r="22" spans="1:9" x14ac:dyDescent="0.2">
      <c r="A22" s="48">
        <f t="shared" si="3"/>
        <v>17</v>
      </c>
      <c r="B22" s="48">
        <f t="shared" si="4"/>
        <v>2036</v>
      </c>
      <c r="C22" s="332">
        <f t="shared" si="5"/>
        <v>0.31657439046411018</v>
      </c>
      <c r="D22" s="421">
        <f t="shared" si="6"/>
        <v>0.60501644584477121</v>
      </c>
      <c r="E22" s="18"/>
      <c r="F22" s="227" t="s">
        <v>417</v>
      </c>
      <c r="G22" s="228"/>
      <c r="H22" s="18"/>
      <c r="I22" s="18"/>
    </row>
    <row r="23" spans="1:9" x14ac:dyDescent="0.2">
      <c r="A23" s="48">
        <f t="shared" si="3"/>
        <v>18</v>
      </c>
      <c r="B23" s="48">
        <f t="shared" si="4"/>
        <v>2037</v>
      </c>
      <c r="C23" s="332">
        <f t="shared" si="5"/>
        <v>0.29586391632159825</v>
      </c>
      <c r="D23" s="421">
        <f t="shared" si="6"/>
        <v>0.5873946076162827</v>
      </c>
      <c r="E23" s="18"/>
      <c r="F23" s="18"/>
      <c r="G23" s="18"/>
      <c r="H23" s="18"/>
      <c r="I23" s="18"/>
    </row>
    <row r="24" spans="1:9" x14ac:dyDescent="0.2">
      <c r="A24" s="48">
        <f t="shared" si="3"/>
        <v>19</v>
      </c>
      <c r="B24" s="48">
        <f t="shared" si="4"/>
        <v>2038</v>
      </c>
      <c r="C24" s="332">
        <f t="shared" si="5"/>
        <v>0.27650833301083949</v>
      </c>
      <c r="D24" s="421">
        <f t="shared" si="6"/>
        <v>0.57028602681192497</v>
      </c>
      <c r="E24" s="18"/>
      <c r="F24" s="18"/>
      <c r="G24" s="18"/>
      <c r="H24" s="18"/>
      <c r="I24" s="18"/>
    </row>
    <row r="25" spans="1:9" x14ac:dyDescent="0.2">
      <c r="A25" s="48">
        <f t="shared" si="3"/>
        <v>20</v>
      </c>
      <c r="B25" s="48">
        <f t="shared" si="4"/>
        <v>2039</v>
      </c>
      <c r="C25" s="332">
        <f t="shared" si="5"/>
        <v>0.2584190028138687</v>
      </c>
      <c r="D25" s="421">
        <f t="shared" si="6"/>
        <v>0.55367575418633497</v>
      </c>
      <c r="E25" s="18"/>
      <c r="F25" s="18"/>
      <c r="G25" s="18"/>
      <c r="H25" s="18"/>
      <c r="I25" s="18"/>
    </row>
    <row r="26" spans="1:9" x14ac:dyDescent="0.2">
      <c r="A26" s="48">
        <f t="shared" si="3"/>
        <v>21</v>
      </c>
      <c r="B26" s="48">
        <f t="shared" si="4"/>
        <v>2040</v>
      </c>
      <c r="C26" s="332">
        <f t="shared" si="5"/>
        <v>0.24151308674193336</v>
      </c>
      <c r="D26" s="421">
        <f t="shared" si="6"/>
        <v>0.5375492759090631</v>
      </c>
      <c r="E26" s="18"/>
      <c r="F26" s="18"/>
      <c r="G26" s="18"/>
      <c r="H26" s="18"/>
      <c r="I26" s="18"/>
    </row>
    <row r="27" spans="1:9" x14ac:dyDescent="0.2">
      <c r="A27" s="48">
        <f t="shared" si="3"/>
        <v>22</v>
      </c>
      <c r="B27" s="48">
        <f t="shared" si="4"/>
        <v>2041</v>
      </c>
      <c r="C27" s="332">
        <f t="shared" si="5"/>
        <v>0.22571316517937698</v>
      </c>
      <c r="D27" s="421">
        <f t="shared" si="6"/>
        <v>0.52189250088258554</v>
      </c>
      <c r="E27" s="18"/>
      <c r="F27" s="18"/>
      <c r="G27" s="18"/>
      <c r="H27" s="18"/>
      <c r="I27" s="18"/>
    </row>
    <row r="28" spans="1:9" x14ac:dyDescent="0.2">
      <c r="A28" s="48">
        <f t="shared" si="3"/>
        <v>23</v>
      </c>
      <c r="B28" s="48">
        <f t="shared" si="4"/>
        <v>2042</v>
      </c>
      <c r="C28" s="332">
        <f t="shared" si="5"/>
        <v>0.21094688334521211</v>
      </c>
      <c r="D28" s="421">
        <f t="shared" si="6"/>
        <v>0.50669174842969467</v>
      </c>
      <c r="E28" s="18"/>
      <c r="F28" s="18"/>
      <c r="G28" s="18"/>
      <c r="H28" s="18"/>
      <c r="I28" s="18"/>
    </row>
    <row r="29" spans="1:9" x14ac:dyDescent="0.2">
      <c r="A29" s="48">
        <f t="shared" si="3"/>
        <v>24</v>
      </c>
      <c r="B29" s="48">
        <f t="shared" si="4"/>
        <v>2043</v>
      </c>
      <c r="C29" s="332">
        <f t="shared" si="5"/>
        <v>0.19714661994879637</v>
      </c>
      <c r="D29" s="421">
        <f t="shared" si="6"/>
        <v>0.49193373633950943</v>
      </c>
      <c r="E29" s="18"/>
      <c r="F29" s="18"/>
      <c r="G29" s="18"/>
      <c r="H29" s="18"/>
      <c r="I29" s="18"/>
    </row>
    <row r="30" spans="1:9" x14ac:dyDescent="0.2">
      <c r="A30" s="48">
        <f t="shared" si="3"/>
        <v>25</v>
      </c>
      <c r="B30" s="48">
        <f t="shared" si="4"/>
        <v>2044</v>
      </c>
      <c r="C30" s="332">
        <f t="shared" si="5"/>
        <v>0.18424917752223957</v>
      </c>
      <c r="D30" s="421">
        <f t="shared" si="6"/>
        <v>0.47760556926165965</v>
      </c>
      <c r="E30" s="18"/>
      <c r="F30" s="18"/>
      <c r="G30" s="18"/>
      <c r="H30" s="18"/>
      <c r="I30" s="18"/>
    </row>
    <row r="31" spans="1:9" x14ac:dyDescent="0.2">
      <c r="A31" s="48">
        <f t="shared" si="3"/>
        <v>26</v>
      </c>
      <c r="B31" s="48">
        <f t="shared" si="4"/>
        <v>2045</v>
      </c>
      <c r="C31" s="332">
        <f t="shared" si="5"/>
        <v>0.17219549301143888</v>
      </c>
      <c r="D31" s="421">
        <f t="shared" si="6"/>
        <v>0.46369472743850448</v>
      </c>
      <c r="E31" s="18"/>
      <c r="F31" s="18"/>
      <c r="G31" s="18"/>
      <c r="H31" s="18"/>
      <c r="I31" s="18"/>
    </row>
    <row r="32" spans="1:9" x14ac:dyDescent="0.2">
      <c r="A32" s="48">
        <f t="shared" si="3"/>
        <v>27</v>
      </c>
      <c r="B32" s="48">
        <f t="shared" si="4"/>
        <v>2046</v>
      </c>
      <c r="C32" s="332">
        <f t="shared" si="5"/>
        <v>0.16093036730041013</v>
      </c>
      <c r="D32" s="421">
        <f t="shared" si="6"/>
        <v>0.45018905576553836</v>
      </c>
      <c r="E32" s="18"/>
      <c r="F32" s="18"/>
      <c r="G32" s="18"/>
      <c r="H32" s="18"/>
      <c r="I32" s="18"/>
    </row>
    <row r="33" spans="1:9" x14ac:dyDescent="0.2">
      <c r="A33" s="48">
        <f t="shared" si="3"/>
        <v>28</v>
      </c>
      <c r="B33" s="48">
        <f t="shared" si="4"/>
        <v>2047</v>
      </c>
      <c r="C33" s="332">
        <f t="shared" si="5"/>
        <v>0.15040221243028987</v>
      </c>
      <c r="D33" s="421">
        <f t="shared" si="6"/>
        <v>0.4370767531704256</v>
      </c>
      <c r="E33" s="18"/>
      <c r="F33" s="18"/>
      <c r="G33" s="18"/>
      <c r="H33" s="18"/>
      <c r="I33" s="18"/>
    </row>
    <row r="34" spans="1:9" x14ac:dyDescent="0.2">
      <c r="A34" s="48">
        <f t="shared" si="3"/>
        <v>29</v>
      </c>
      <c r="B34" s="48">
        <f t="shared" si="4"/>
        <v>2048</v>
      </c>
      <c r="C34" s="332">
        <f t="shared" si="5"/>
        <v>0.1405628153554111</v>
      </c>
      <c r="D34" s="421">
        <f t="shared" si="6"/>
        <v>0.42434636230138412</v>
      </c>
      <c r="E34" s="18"/>
      <c r="F34" s="18"/>
      <c r="G34" s="18"/>
      <c r="H34" s="18"/>
      <c r="I34" s="18"/>
    </row>
    <row r="35" spans="1:9" x14ac:dyDescent="0.2">
      <c r="A35" s="48">
        <f t="shared" si="3"/>
        <v>30</v>
      </c>
      <c r="B35" s="48">
        <f t="shared" si="4"/>
        <v>2049</v>
      </c>
      <c r="C35" s="332">
        <f t="shared" si="5"/>
        <v>0.13136711715458982</v>
      </c>
      <c r="D35" s="421">
        <f t="shared" si="6"/>
        <v>0.41198675951590691</v>
      </c>
      <c r="E35" s="18"/>
      <c r="F35" s="18"/>
      <c r="G35" s="18"/>
      <c r="H35" s="18"/>
      <c r="I35" s="18"/>
    </row>
    <row r="36" spans="1:9" x14ac:dyDescent="0.2">
      <c r="A36" s="48">
        <f t="shared" si="3"/>
        <v>31</v>
      </c>
      <c r="B36" s="48">
        <f t="shared" si="4"/>
        <v>2050</v>
      </c>
      <c r="C36" s="332">
        <f t="shared" si="5"/>
        <v>0.1227730066865325</v>
      </c>
      <c r="D36" s="421">
        <f t="shared" si="6"/>
        <v>0.39998714516107459</v>
      </c>
      <c r="E36" s="18"/>
      <c r="F36" s="18"/>
      <c r="G36" s="18"/>
      <c r="H36" s="18"/>
      <c r="I36" s="18"/>
    </row>
    <row r="37" spans="1:9" x14ac:dyDescent="0.2">
      <c r="A37" s="48">
        <f t="shared" si="3"/>
        <v>32</v>
      </c>
      <c r="B37" s="48">
        <f t="shared" si="4"/>
        <v>2051</v>
      </c>
      <c r="C37" s="332">
        <f t="shared" si="5"/>
        <v>0.11474112774442291</v>
      </c>
      <c r="D37" s="421">
        <f t="shared" si="6"/>
        <v>0.38833703413696569</v>
      </c>
      <c r="E37" s="18"/>
      <c r="F37" s="18"/>
      <c r="G37" s="18"/>
      <c r="H37" s="18"/>
      <c r="I37" s="18"/>
    </row>
    <row r="38" spans="1:9" x14ac:dyDescent="0.2">
      <c r="A38" s="48">
        <f t="shared" si="3"/>
        <v>33</v>
      </c>
      <c r="B38" s="48">
        <f t="shared" si="4"/>
        <v>2052</v>
      </c>
      <c r="C38" s="332">
        <f t="shared" si="5"/>
        <v>0.10723469882656347</v>
      </c>
      <c r="D38" s="421">
        <f t="shared" si="6"/>
        <v>0.37702624673491814</v>
      </c>
      <c r="E38" s="18"/>
      <c r="F38" s="18"/>
      <c r="G38" s="18"/>
      <c r="H38" s="18"/>
      <c r="I38" s="18"/>
    </row>
    <row r="39" spans="1:9" x14ac:dyDescent="0.2">
      <c r="A39" s="48">
        <f t="shared" si="3"/>
        <v>34</v>
      </c>
      <c r="B39" s="48">
        <f t="shared" si="4"/>
        <v>2053</v>
      </c>
      <c r="C39" s="332">
        <f t="shared" si="5"/>
        <v>0.10021934469772288</v>
      </c>
      <c r="D39" s="421">
        <f t="shared" si="6"/>
        <v>0.36604489974263904</v>
      </c>
      <c r="E39" s="18"/>
      <c r="F39" s="18"/>
      <c r="G39" s="18"/>
      <c r="H39" s="18"/>
      <c r="I39" s="18"/>
    </row>
    <row r="40" spans="1:9" x14ac:dyDescent="0.2">
      <c r="A40" s="48">
        <f t="shared" si="3"/>
        <v>35</v>
      </c>
      <c r="B40" s="48">
        <f t="shared" si="4"/>
        <v>2054</v>
      </c>
      <c r="C40" s="332">
        <f t="shared" si="5"/>
        <v>9.366293896983445E-2</v>
      </c>
      <c r="D40" s="421">
        <f t="shared" si="6"/>
        <v>0.35538339780838735</v>
      </c>
      <c r="E40" s="18"/>
      <c r="F40" s="18"/>
      <c r="G40" s="18"/>
      <c r="H40" s="18"/>
      <c r="I40" s="18"/>
    </row>
    <row r="41" spans="1:9" x14ac:dyDescent="0.2">
      <c r="A41" s="48">
        <f t="shared" si="3"/>
        <v>36</v>
      </c>
      <c r="B41" s="48">
        <f t="shared" si="4"/>
        <v>2055</v>
      </c>
      <c r="C41" s="332">
        <f t="shared" si="5"/>
        <v>8.7535456981153698E-2</v>
      </c>
      <c r="D41" s="421">
        <f t="shared" si="6"/>
        <v>0.34503242505668674</v>
      </c>
      <c r="E41" s="18"/>
      <c r="F41" s="18"/>
      <c r="G41" s="18"/>
      <c r="H41" s="18"/>
      <c r="I41" s="18"/>
    </row>
    <row r="42" spans="1:9" x14ac:dyDescent="0.2">
      <c r="A42" s="48">
        <f t="shared" si="3"/>
        <v>37</v>
      </c>
      <c r="B42" s="48">
        <f t="shared" si="4"/>
        <v>2056</v>
      </c>
      <c r="C42" s="332">
        <f t="shared" si="5"/>
        <v>8.1808838300143641E-2</v>
      </c>
      <c r="D42" s="421">
        <f t="shared" si="6"/>
        <v>0.33498293694823961</v>
      </c>
      <c r="E42" s="18"/>
      <c r="F42" s="18"/>
      <c r="G42" s="18"/>
      <c r="H42" s="18"/>
      <c r="I42" s="18"/>
    </row>
    <row r="43" spans="1:9" x14ac:dyDescent="0.2">
      <c r="A43" s="48">
        <f t="shared" si="3"/>
        <v>38</v>
      </c>
      <c r="B43" s="48">
        <f t="shared" si="4"/>
        <v>2057</v>
      </c>
      <c r="C43" s="332">
        <f t="shared" si="5"/>
        <v>7.6456858224433308E-2</v>
      </c>
      <c r="D43" s="421">
        <f t="shared" si="6"/>
        <v>0.3252261523769317</v>
      </c>
      <c r="E43" s="18"/>
      <c r="F43" s="18"/>
      <c r="G43" s="18"/>
      <c r="H43" s="18"/>
      <c r="I43" s="18"/>
    </row>
    <row r="44" spans="1:9" x14ac:dyDescent="0.2">
      <c r="A44" s="48">
        <f t="shared" si="3"/>
        <v>39</v>
      </c>
      <c r="B44" s="48">
        <f t="shared" si="4"/>
        <v>2058</v>
      </c>
      <c r="C44" s="332">
        <f t="shared" si="5"/>
        <v>7.1455007686386268E-2</v>
      </c>
      <c r="D44" s="421">
        <f t="shared" si="6"/>
        <v>0.31575354599702099</v>
      </c>
      <c r="E44" s="18"/>
      <c r="F44" s="18"/>
      <c r="G44" s="18"/>
      <c r="H44" s="18"/>
      <c r="I44" s="18"/>
    </row>
    <row r="45" spans="1:9" x14ac:dyDescent="0.2">
      <c r="A45" s="506" t="s">
        <v>6</v>
      </c>
      <c r="B45" s="507"/>
      <c r="C45" s="11">
        <f>0.07</f>
        <v>7.0000000000000007E-2</v>
      </c>
      <c r="D45" s="422">
        <v>0.03</v>
      </c>
      <c r="E45" s="18"/>
      <c r="F45" s="18"/>
      <c r="G45" s="18"/>
      <c r="H45" s="18"/>
      <c r="I45" s="18"/>
    </row>
    <row r="46" spans="1:9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s="18" customFormat="1" x14ac:dyDescent="0.2"/>
    <row r="51" spans="1:9" s="18" customFormat="1" x14ac:dyDescent="0.2"/>
    <row r="52" spans="1:9" s="18" customFormat="1" x14ac:dyDescent="0.2"/>
    <row r="53" spans="1:9" s="18" customFormat="1" x14ac:dyDescent="0.2"/>
    <row r="54" spans="1:9" s="18" customFormat="1" x14ac:dyDescent="0.2"/>
    <row r="55" spans="1:9" s="18" customFormat="1" x14ac:dyDescent="0.2"/>
    <row r="56" spans="1:9" s="18" customFormat="1" x14ac:dyDescent="0.2"/>
    <row r="57" spans="1:9" s="18" customFormat="1" x14ac:dyDescent="0.2"/>
    <row r="58" spans="1:9" s="18" customFormat="1" x14ac:dyDescent="0.2"/>
    <row r="59" spans="1:9" s="18" customFormat="1" x14ac:dyDescent="0.2"/>
    <row r="60" spans="1:9" s="18" customFormat="1" x14ac:dyDescent="0.2"/>
    <row r="61" spans="1:9" s="18" customFormat="1" x14ac:dyDescent="0.2"/>
    <row r="62" spans="1:9" s="18" customFormat="1" x14ac:dyDescent="0.2"/>
    <row r="63" spans="1:9" s="18" customFormat="1" x14ac:dyDescent="0.2"/>
    <row r="64" spans="1:9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</sheetData>
  <mergeCells count="3">
    <mergeCell ref="A2:D2"/>
    <mergeCell ref="F2:G2"/>
    <mergeCell ref="A45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251"/>
  <sheetViews>
    <sheetView tabSelected="1" zoomScaleNormal="100" workbookViewId="0">
      <selection activeCell="F5" sqref="F5"/>
    </sheetView>
  </sheetViews>
  <sheetFormatPr defaultRowHeight="12.75" x14ac:dyDescent="0.2"/>
  <cols>
    <col min="1" max="1" width="21.7109375" customWidth="1"/>
    <col min="2" max="2" width="10.7109375" bestFit="1" customWidth="1"/>
    <col min="6" max="6" width="11.28515625" bestFit="1" customWidth="1"/>
    <col min="7" max="7" width="10.7109375" bestFit="1" customWidth="1"/>
    <col min="16" max="78" width="8.85546875" style="18"/>
  </cols>
  <sheetData>
    <row r="1" spans="1:15" ht="18" x14ac:dyDescent="0.25">
      <c r="A1" s="56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5" x14ac:dyDescent="0.3">
      <c r="A2" s="4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">
      <c r="A3" s="229" t="s">
        <v>437</v>
      </c>
      <c r="B3" s="117">
        <f>20510800+1393100</f>
        <v>21903900</v>
      </c>
      <c r="C3" s="18"/>
      <c r="D3" s="508" t="s">
        <v>39</v>
      </c>
      <c r="E3" s="509"/>
      <c r="F3" s="509"/>
      <c r="G3" s="510"/>
      <c r="H3" s="18"/>
      <c r="I3" s="18"/>
      <c r="J3" s="18"/>
      <c r="K3" s="18"/>
      <c r="L3" s="18"/>
      <c r="M3" s="18"/>
      <c r="N3" s="18"/>
      <c r="O3" s="18"/>
    </row>
    <row r="4" spans="1:15" ht="38.25" x14ac:dyDescent="0.2">
      <c r="A4" s="229" t="s">
        <v>407</v>
      </c>
      <c r="B4" s="118">
        <f>((B5-20)/B5)*B3</f>
        <v>16062859.999999998</v>
      </c>
      <c r="C4" s="18"/>
      <c r="D4" s="1" t="s">
        <v>1</v>
      </c>
      <c r="E4" s="2" t="s">
        <v>18</v>
      </c>
      <c r="F4" s="2" t="s">
        <v>17</v>
      </c>
      <c r="G4" s="2" t="s">
        <v>36</v>
      </c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229" t="s">
        <v>34</v>
      </c>
      <c r="B5" s="9">
        <v>75</v>
      </c>
      <c r="C5" s="18"/>
      <c r="D5" s="48">
        <v>2021</v>
      </c>
      <c r="E5" s="7">
        <f>1393100/B3</f>
        <v>6.3600546021484752E-2</v>
      </c>
      <c r="F5" s="119">
        <f>E5*$B$3</f>
        <v>1393099.9999999998</v>
      </c>
      <c r="G5" s="120">
        <f>ROUND((F5)*NPV!C7,0)</f>
        <v>1216787</v>
      </c>
      <c r="H5" s="18"/>
      <c r="I5" s="18"/>
      <c r="J5" s="373"/>
      <c r="K5" s="18"/>
      <c r="L5" s="18"/>
      <c r="M5" s="18"/>
      <c r="N5" s="18"/>
      <c r="O5" s="18"/>
    </row>
    <row r="6" spans="1:15" x14ac:dyDescent="0.2">
      <c r="A6" s="39"/>
      <c r="B6" s="18"/>
      <c r="C6" s="18"/>
      <c r="D6" s="48">
        <f>2022</f>
        <v>2022</v>
      </c>
      <c r="E6" s="7">
        <v>0.3</v>
      </c>
      <c r="F6" s="119">
        <f>E6*$B$3</f>
        <v>6571170</v>
      </c>
      <c r="G6" s="120">
        <f>ROUND((F6)*NPV!C8,0)</f>
        <v>5364032</v>
      </c>
      <c r="H6" s="18"/>
      <c r="I6" s="18"/>
      <c r="J6" s="18"/>
      <c r="K6" s="18"/>
      <c r="L6" s="18"/>
      <c r="M6" s="18"/>
      <c r="N6" s="18"/>
      <c r="O6" s="18"/>
    </row>
    <row r="7" spans="1:15" x14ac:dyDescent="0.2">
      <c r="A7" s="18"/>
      <c r="B7" s="18"/>
      <c r="C7" s="18"/>
      <c r="D7" s="48">
        <f t="shared" ref="D7:D27" si="0">D6+1</f>
        <v>2023</v>
      </c>
      <c r="E7" s="7">
        <f>1-E6-E5</f>
        <v>0.63639945397851516</v>
      </c>
      <c r="F7" s="119">
        <f t="shared" ref="F7:F23" si="1">E7*$B$3</f>
        <v>13939629.999999998</v>
      </c>
      <c r="G7" s="120">
        <f>ROUND((F7)*NPV!C9,0)</f>
        <v>10634477</v>
      </c>
      <c r="H7" s="18"/>
      <c r="I7" s="18"/>
      <c r="J7" s="18"/>
      <c r="K7" s="18"/>
      <c r="L7" s="18"/>
      <c r="M7" s="18"/>
      <c r="N7" s="18"/>
      <c r="O7" s="18"/>
    </row>
    <row r="8" spans="1:15" x14ac:dyDescent="0.2">
      <c r="A8" s="18"/>
      <c r="B8" s="18"/>
      <c r="C8" s="18"/>
      <c r="D8" s="48">
        <f t="shared" si="0"/>
        <v>2024</v>
      </c>
      <c r="E8" s="7"/>
      <c r="F8" s="119">
        <f t="shared" si="1"/>
        <v>0</v>
      </c>
      <c r="G8" s="120">
        <f>ROUND((F8)*NPV!C10,0)</f>
        <v>0</v>
      </c>
      <c r="H8" s="18"/>
      <c r="I8" s="18"/>
      <c r="J8" s="18"/>
      <c r="K8" s="18"/>
      <c r="L8" s="18"/>
      <c r="M8" s="18"/>
      <c r="N8" s="18"/>
      <c r="O8" s="18"/>
    </row>
    <row r="9" spans="1:15" x14ac:dyDescent="0.2">
      <c r="A9" s="18"/>
      <c r="B9" s="18"/>
      <c r="C9" s="18"/>
      <c r="D9" s="48">
        <f t="shared" si="0"/>
        <v>2025</v>
      </c>
      <c r="E9" s="8"/>
      <c r="F9" s="119">
        <f t="shared" si="1"/>
        <v>0</v>
      </c>
      <c r="G9" s="120">
        <f>ROUND((F9)*NPV!C11,0)</f>
        <v>0</v>
      </c>
      <c r="H9" s="18"/>
      <c r="I9" s="18"/>
      <c r="J9" s="18"/>
      <c r="K9" s="18"/>
      <c r="L9" s="18"/>
      <c r="M9" s="18"/>
      <c r="N9" s="18"/>
      <c r="O9" s="18"/>
    </row>
    <row r="10" spans="1:15" x14ac:dyDescent="0.2">
      <c r="A10" s="18"/>
      <c r="B10" s="18"/>
      <c r="C10" s="18"/>
      <c r="D10" s="48">
        <f t="shared" si="0"/>
        <v>2026</v>
      </c>
      <c r="E10" s="8"/>
      <c r="F10" s="119">
        <f t="shared" si="1"/>
        <v>0</v>
      </c>
      <c r="G10" s="120">
        <f>ROUND((F10)*NPV!C12,0)</f>
        <v>0</v>
      </c>
      <c r="H10" s="18"/>
      <c r="I10" s="18"/>
      <c r="J10" s="18"/>
      <c r="K10" s="18"/>
      <c r="L10" s="18"/>
      <c r="M10" s="18"/>
      <c r="N10" s="18"/>
      <c r="O10" s="18"/>
    </row>
    <row r="11" spans="1:15" x14ac:dyDescent="0.2">
      <c r="A11" s="18"/>
      <c r="B11" s="18"/>
      <c r="C11" s="18"/>
      <c r="D11" s="48">
        <f t="shared" si="0"/>
        <v>2027</v>
      </c>
      <c r="E11" s="8"/>
      <c r="F11" s="119">
        <f t="shared" si="1"/>
        <v>0</v>
      </c>
      <c r="G11" s="120">
        <f>ROUND((F11)*NPV!C13,0)</f>
        <v>0</v>
      </c>
      <c r="H11" s="18"/>
      <c r="I11" s="18"/>
      <c r="J11" s="18"/>
      <c r="K11" s="18"/>
      <c r="L11" s="18"/>
      <c r="M11" s="18"/>
      <c r="N11" s="18"/>
      <c r="O11" s="18"/>
    </row>
    <row r="12" spans="1:15" x14ac:dyDescent="0.2">
      <c r="A12" s="18"/>
      <c r="B12" s="18"/>
      <c r="C12" s="18"/>
      <c r="D12" s="48">
        <f t="shared" si="0"/>
        <v>2028</v>
      </c>
      <c r="E12" s="8"/>
      <c r="F12" s="119">
        <f t="shared" si="1"/>
        <v>0</v>
      </c>
      <c r="G12" s="120">
        <f>ROUND((F12)*NPV!C14,0)</f>
        <v>0</v>
      </c>
      <c r="H12" s="18"/>
      <c r="I12" s="18"/>
      <c r="J12" s="18"/>
      <c r="K12" s="18"/>
      <c r="L12" s="18"/>
      <c r="M12" s="18"/>
      <c r="N12" s="18"/>
      <c r="O12" s="18"/>
    </row>
    <row r="13" spans="1:15" x14ac:dyDescent="0.2">
      <c r="A13" s="18"/>
      <c r="B13" s="18"/>
      <c r="C13" s="18"/>
      <c r="D13" s="48">
        <f t="shared" si="0"/>
        <v>2029</v>
      </c>
      <c r="E13" s="8"/>
      <c r="F13" s="119">
        <f t="shared" si="1"/>
        <v>0</v>
      </c>
      <c r="G13" s="120">
        <f>ROUND((F13)*NPV!C15,0)</f>
        <v>0</v>
      </c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A14" s="18"/>
      <c r="B14" s="18"/>
      <c r="C14" s="18"/>
      <c r="D14" s="48">
        <f t="shared" si="0"/>
        <v>2030</v>
      </c>
      <c r="E14" s="8"/>
      <c r="F14" s="119">
        <f t="shared" si="1"/>
        <v>0</v>
      </c>
      <c r="G14" s="120">
        <f>ROUND((F14)*NPV!C16,0)</f>
        <v>0</v>
      </c>
      <c r="H14" s="18"/>
      <c r="I14" s="18"/>
      <c r="J14" s="18"/>
      <c r="K14" s="18"/>
      <c r="L14" s="18"/>
      <c r="M14" s="18"/>
      <c r="N14" s="18"/>
      <c r="O14" s="18"/>
    </row>
    <row r="15" spans="1:15" x14ac:dyDescent="0.2">
      <c r="A15" s="18"/>
      <c r="B15" s="18"/>
      <c r="C15" s="18"/>
      <c r="D15" s="48">
        <f t="shared" si="0"/>
        <v>2031</v>
      </c>
      <c r="E15" s="8"/>
      <c r="F15" s="119">
        <f t="shared" si="1"/>
        <v>0</v>
      </c>
      <c r="G15" s="120">
        <f>ROUND((F15)*NPV!C17,0)</f>
        <v>0</v>
      </c>
      <c r="H15" s="18"/>
      <c r="I15" s="18"/>
      <c r="J15" s="18"/>
      <c r="K15" s="18"/>
      <c r="L15" s="18"/>
      <c r="M15" s="18"/>
      <c r="N15" s="18"/>
      <c r="O15" s="18"/>
    </row>
    <row r="16" spans="1:15" x14ac:dyDescent="0.2">
      <c r="A16" s="18"/>
      <c r="B16" s="18"/>
      <c r="C16" s="18"/>
      <c r="D16" s="48">
        <f t="shared" si="0"/>
        <v>2032</v>
      </c>
      <c r="E16" s="8"/>
      <c r="F16" s="119">
        <f t="shared" si="1"/>
        <v>0</v>
      </c>
      <c r="G16" s="120">
        <f>ROUND((F16)*NPV!C18,0)</f>
        <v>0</v>
      </c>
      <c r="H16" s="18"/>
      <c r="I16" s="18"/>
      <c r="J16" s="18"/>
      <c r="K16" s="18"/>
      <c r="L16" s="18"/>
      <c r="M16" s="18"/>
      <c r="N16" s="18"/>
      <c r="O16" s="18"/>
    </row>
    <row r="17" spans="1:15" x14ac:dyDescent="0.2">
      <c r="A17" s="18"/>
      <c r="B17" s="18"/>
      <c r="C17" s="18"/>
      <c r="D17" s="48">
        <f t="shared" si="0"/>
        <v>2033</v>
      </c>
      <c r="E17" s="8"/>
      <c r="F17" s="119">
        <f t="shared" si="1"/>
        <v>0</v>
      </c>
      <c r="G17" s="120">
        <f>ROUND((F17)*NPV!C19,0)</f>
        <v>0</v>
      </c>
      <c r="H17" s="18"/>
      <c r="I17" s="18"/>
      <c r="J17" s="18"/>
      <c r="K17" s="18"/>
      <c r="L17" s="18"/>
      <c r="M17" s="18"/>
      <c r="N17" s="18"/>
      <c r="O17" s="18"/>
    </row>
    <row r="18" spans="1:15" x14ac:dyDescent="0.2">
      <c r="A18" s="18"/>
      <c r="B18" s="18"/>
      <c r="C18" s="18"/>
      <c r="D18" s="48">
        <f t="shared" si="0"/>
        <v>2034</v>
      </c>
      <c r="E18" s="8"/>
      <c r="F18" s="119">
        <f t="shared" si="1"/>
        <v>0</v>
      </c>
      <c r="G18" s="120">
        <f>ROUND((F18)*NPV!C20,0)</f>
        <v>0</v>
      </c>
      <c r="H18" s="18"/>
      <c r="I18" s="18"/>
      <c r="J18" s="18"/>
      <c r="K18" s="18"/>
      <c r="L18" s="18"/>
      <c r="M18" s="18"/>
      <c r="N18" s="18"/>
      <c r="O18" s="18"/>
    </row>
    <row r="19" spans="1:15" x14ac:dyDescent="0.2">
      <c r="A19" s="18"/>
      <c r="B19" s="18"/>
      <c r="C19" s="18"/>
      <c r="D19" s="48">
        <f t="shared" si="0"/>
        <v>2035</v>
      </c>
      <c r="E19" s="8"/>
      <c r="F19" s="119">
        <f t="shared" si="1"/>
        <v>0</v>
      </c>
      <c r="G19" s="120">
        <f>ROUND((F19)*NPV!C21,0)</f>
        <v>0</v>
      </c>
      <c r="H19" s="18"/>
      <c r="I19" s="18"/>
      <c r="J19" s="18"/>
      <c r="K19" s="18"/>
      <c r="L19" s="18"/>
      <c r="M19" s="18"/>
      <c r="N19" s="18"/>
      <c r="O19" s="18"/>
    </row>
    <row r="20" spans="1:15" x14ac:dyDescent="0.2">
      <c r="A20" s="18"/>
      <c r="B20" s="18"/>
      <c r="C20" s="18"/>
      <c r="D20" s="48">
        <f t="shared" si="0"/>
        <v>2036</v>
      </c>
      <c r="E20" s="8"/>
      <c r="F20" s="119">
        <f t="shared" si="1"/>
        <v>0</v>
      </c>
      <c r="G20" s="120">
        <f>ROUND((F20)*NPV!C22,0)</f>
        <v>0</v>
      </c>
      <c r="H20" s="18"/>
      <c r="I20" s="18"/>
      <c r="J20" s="18"/>
      <c r="K20" s="18"/>
      <c r="L20" s="18"/>
      <c r="M20" s="18"/>
      <c r="N20" s="18"/>
      <c r="O20" s="18"/>
    </row>
    <row r="21" spans="1:15" x14ac:dyDescent="0.2">
      <c r="A21" s="18"/>
      <c r="B21" s="18"/>
      <c r="C21" s="18"/>
      <c r="D21" s="48">
        <f t="shared" si="0"/>
        <v>2037</v>
      </c>
      <c r="E21" s="8"/>
      <c r="F21" s="119">
        <f t="shared" si="1"/>
        <v>0</v>
      </c>
      <c r="G21" s="120">
        <f>ROUND((F21)*NPV!C23,0)</f>
        <v>0</v>
      </c>
      <c r="H21" s="18"/>
      <c r="I21" s="18"/>
      <c r="J21" s="18"/>
      <c r="K21" s="18"/>
      <c r="L21" s="18"/>
      <c r="M21" s="18"/>
      <c r="N21" s="18"/>
      <c r="O21" s="18"/>
    </row>
    <row r="22" spans="1:15" x14ac:dyDescent="0.2">
      <c r="A22" s="18"/>
      <c r="B22" s="18"/>
      <c r="C22" s="18"/>
      <c r="D22" s="48">
        <f t="shared" si="0"/>
        <v>2038</v>
      </c>
      <c r="E22" s="8"/>
      <c r="F22" s="119">
        <f t="shared" si="1"/>
        <v>0</v>
      </c>
      <c r="G22" s="120">
        <f>ROUND((F22)*NPV!C24,0)</f>
        <v>0</v>
      </c>
      <c r="H22" s="18"/>
      <c r="I22" s="18"/>
      <c r="J22" s="18"/>
      <c r="K22" s="18"/>
      <c r="L22" s="18"/>
      <c r="M22" s="18"/>
      <c r="N22" s="18"/>
      <c r="O22" s="18"/>
    </row>
    <row r="23" spans="1:15" x14ac:dyDescent="0.2">
      <c r="A23" s="18"/>
      <c r="B23" s="18"/>
      <c r="C23" s="18"/>
      <c r="D23" s="48">
        <f t="shared" si="0"/>
        <v>2039</v>
      </c>
      <c r="E23" s="8"/>
      <c r="F23" s="119">
        <f t="shared" si="1"/>
        <v>0</v>
      </c>
      <c r="G23" s="120">
        <f>ROUND((F23)*NPV!C25,0)</f>
        <v>0</v>
      </c>
      <c r="H23" s="18"/>
      <c r="I23" s="18"/>
      <c r="J23" s="18"/>
      <c r="K23" s="18"/>
      <c r="L23" s="18"/>
      <c r="M23" s="18"/>
      <c r="N23" s="18"/>
      <c r="O23" s="18"/>
    </row>
    <row r="24" spans="1:15" x14ac:dyDescent="0.2">
      <c r="A24" s="18"/>
      <c r="B24" s="18"/>
      <c r="C24" s="18"/>
      <c r="D24" s="48">
        <f t="shared" si="0"/>
        <v>2040</v>
      </c>
      <c r="E24" s="8"/>
      <c r="F24" s="119">
        <f>E24*$B$3</f>
        <v>0</v>
      </c>
      <c r="G24" s="120">
        <f>ROUND((F24)*NPV!C26,0)</f>
        <v>0</v>
      </c>
      <c r="H24" s="18"/>
      <c r="I24" s="18"/>
      <c r="J24" s="18"/>
      <c r="K24" s="18"/>
      <c r="L24" s="18"/>
      <c r="M24" s="18"/>
      <c r="N24" s="18"/>
      <c r="O24" s="18"/>
    </row>
    <row r="25" spans="1:15" x14ac:dyDescent="0.2">
      <c r="A25" s="18"/>
      <c r="B25" s="18"/>
      <c r="C25" s="18"/>
      <c r="D25" s="48">
        <f t="shared" si="0"/>
        <v>2041</v>
      </c>
      <c r="E25" s="8"/>
      <c r="F25" s="119">
        <f>E25*$B$3</f>
        <v>0</v>
      </c>
      <c r="G25" s="120">
        <f>ROUND((F25)*NPV!C27,0)</f>
        <v>0</v>
      </c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18"/>
      <c r="B26" s="18"/>
      <c r="C26" s="18"/>
      <c r="D26" s="48">
        <f t="shared" si="0"/>
        <v>2042</v>
      </c>
      <c r="E26" s="8"/>
      <c r="F26" s="119">
        <f t="shared" ref="F26" si="2">E26*$B$3</f>
        <v>0</v>
      </c>
      <c r="G26" s="120">
        <f>ROUND((F26)*NPV!C28,0)</f>
        <v>0</v>
      </c>
      <c r="H26" s="18"/>
      <c r="I26" s="18"/>
      <c r="J26" s="18"/>
      <c r="K26" s="18"/>
      <c r="L26" s="18"/>
      <c r="M26" s="18"/>
      <c r="N26" s="18"/>
      <c r="O26" s="18"/>
    </row>
    <row r="27" spans="1:15" x14ac:dyDescent="0.2">
      <c r="A27" s="18"/>
      <c r="B27" s="18"/>
      <c r="C27" s="18"/>
      <c r="D27" s="51">
        <f t="shared" si="0"/>
        <v>2043</v>
      </c>
      <c r="E27" s="14"/>
      <c r="F27" s="121">
        <f>-B4</f>
        <v>-16062859.999999998</v>
      </c>
      <c r="G27" s="122">
        <f>ROUND((F27)*NPV!C29,0)</f>
        <v>-3166739</v>
      </c>
      <c r="H27" s="18"/>
      <c r="I27" s="18"/>
      <c r="J27" s="18"/>
      <c r="K27" s="18"/>
      <c r="L27" s="18"/>
      <c r="M27" s="18"/>
      <c r="N27" s="18"/>
      <c r="O27" s="18"/>
    </row>
    <row r="28" spans="1:15" x14ac:dyDescent="0.2">
      <c r="A28" s="18"/>
      <c r="B28" s="18"/>
      <c r="C28" s="18"/>
      <c r="D28" s="52" t="s">
        <v>0</v>
      </c>
      <c r="E28" s="10">
        <f>SUM(E5:E27)</f>
        <v>0.99999999999999989</v>
      </c>
      <c r="F28" s="123">
        <f>SUM(F5:F27)</f>
        <v>5841040.0000000019</v>
      </c>
      <c r="G28" s="124">
        <f>SUM(G5:G27)</f>
        <v>14048557</v>
      </c>
      <c r="H28" s="18"/>
      <c r="I28" s="18"/>
      <c r="J28" s="18"/>
      <c r="K28" s="18"/>
      <c r="L28" s="18"/>
      <c r="M28" s="18"/>
      <c r="O28" s="18"/>
    </row>
    <row r="29" spans="1:1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s="18" customFormat="1" x14ac:dyDescent="0.2"/>
    <row r="41" spans="1:15" s="18" customFormat="1" x14ac:dyDescent="0.2"/>
    <row r="42" spans="1:15" s="18" customFormat="1" x14ac:dyDescent="0.2"/>
    <row r="43" spans="1:15" s="18" customFormat="1" x14ac:dyDescent="0.2"/>
    <row r="44" spans="1:15" s="18" customFormat="1" x14ac:dyDescent="0.2"/>
    <row r="45" spans="1:15" s="18" customFormat="1" x14ac:dyDescent="0.2"/>
    <row r="46" spans="1:15" s="18" customFormat="1" x14ac:dyDescent="0.2"/>
    <row r="47" spans="1:15" s="18" customFormat="1" x14ac:dyDescent="0.2"/>
    <row r="48" spans="1:1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pans="4:7" s="18" customFormat="1" x14ac:dyDescent="0.2"/>
    <row r="242" spans="4:7" s="18" customFormat="1" x14ac:dyDescent="0.2"/>
    <row r="243" spans="4:7" s="18" customFormat="1" x14ac:dyDescent="0.2"/>
    <row r="244" spans="4:7" s="18" customFormat="1" x14ac:dyDescent="0.2"/>
    <row r="245" spans="4:7" s="18" customFormat="1" x14ac:dyDescent="0.2"/>
    <row r="246" spans="4:7" s="18" customFormat="1" x14ac:dyDescent="0.2"/>
    <row r="247" spans="4:7" s="18" customFormat="1" x14ac:dyDescent="0.2"/>
    <row r="248" spans="4:7" s="18" customFormat="1" x14ac:dyDescent="0.2"/>
    <row r="249" spans="4:7" s="18" customFormat="1" x14ac:dyDescent="0.2"/>
    <row r="250" spans="4:7" s="18" customFormat="1" x14ac:dyDescent="0.2"/>
    <row r="251" spans="4:7" x14ac:dyDescent="0.2">
      <c r="D251" s="18"/>
      <c r="E251" s="18"/>
      <c r="F251" s="18"/>
      <c r="G251" s="18"/>
    </row>
  </sheetData>
  <mergeCells count="1"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9"/>
  <sheetViews>
    <sheetView zoomScaleNormal="100" workbookViewId="0">
      <selection sqref="A1:D1"/>
    </sheetView>
  </sheetViews>
  <sheetFormatPr defaultRowHeight="12.75" x14ac:dyDescent="0.2"/>
  <cols>
    <col min="1" max="1" width="25" customWidth="1"/>
    <col min="2" max="2" width="19.140625" customWidth="1"/>
    <col min="3" max="3" width="13.85546875" customWidth="1"/>
    <col min="4" max="4" width="12.42578125" customWidth="1"/>
    <col min="5" max="5" width="12" customWidth="1"/>
    <col min="6" max="7" width="18.28515625" customWidth="1"/>
    <col min="8" max="8" width="23" bestFit="1" customWidth="1"/>
    <col min="20" max="52" width="8.85546875" style="18"/>
  </cols>
  <sheetData>
    <row r="1" spans="1:19" ht="15.75" x14ac:dyDescent="0.25">
      <c r="A1" s="511" t="s">
        <v>54</v>
      </c>
      <c r="B1" s="511"/>
      <c r="C1" s="511"/>
      <c r="D1" s="511"/>
      <c r="E1" s="61"/>
      <c r="F1" s="61"/>
      <c r="G1" s="6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x14ac:dyDescent="0.25">
      <c r="A2" s="512" t="s">
        <v>49</v>
      </c>
      <c r="B2" s="512"/>
      <c r="C2" s="513">
        <f>F29</f>
        <v>360000</v>
      </c>
      <c r="D2" s="513"/>
      <c r="E2" s="61"/>
      <c r="F2" s="61"/>
      <c r="G2" s="6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.75" x14ac:dyDescent="0.25">
      <c r="A3" s="512" t="s">
        <v>117</v>
      </c>
      <c r="B3" s="512"/>
      <c r="C3" s="513">
        <f>G29</f>
        <v>205792.509315537</v>
      </c>
      <c r="D3" s="513"/>
      <c r="E3" s="61"/>
      <c r="F3" s="61"/>
      <c r="G3" s="6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x14ac:dyDescent="0.25">
      <c r="A4" s="61"/>
      <c r="B4" s="61"/>
      <c r="C4" s="61"/>
      <c r="D4" s="61"/>
      <c r="E4" s="61"/>
      <c r="F4" s="61"/>
      <c r="G4" s="6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">
      <c r="A5" s="488" t="s">
        <v>1</v>
      </c>
      <c r="B5" s="518" t="s">
        <v>8</v>
      </c>
      <c r="C5" s="519"/>
      <c r="D5" s="518" t="s">
        <v>10</v>
      </c>
      <c r="E5" s="519"/>
      <c r="F5" s="488" t="s">
        <v>49</v>
      </c>
      <c r="G5" s="488" t="s">
        <v>117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5.5" x14ac:dyDescent="0.2">
      <c r="A6" s="517"/>
      <c r="B6" s="371" t="s">
        <v>50</v>
      </c>
      <c r="C6" s="375" t="s">
        <v>448</v>
      </c>
      <c r="D6" s="371" t="s">
        <v>50</v>
      </c>
      <c r="E6" s="375" t="s">
        <v>448</v>
      </c>
      <c r="F6" s="517"/>
      <c r="G6" s="5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6.5" x14ac:dyDescent="0.3">
      <c r="A7" s="174">
        <v>2022</v>
      </c>
      <c r="B7" s="378" t="s">
        <v>59</v>
      </c>
      <c r="C7" s="379">
        <f>$B$47*$C$33+$B$48*$C$34+$B$49*$B$35</f>
        <v>9700</v>
      </c>
      <c r="D7" s="378" t="s">
        <v>53</v>
      </c>
      <c r="E7" s="379">
        <v>0</v>
      </c>
      <c r="F7" s="380">
        <v>0</v>
      </c>
      <c r="G7" s="379">
        <f>F7*NPV!C8</f>
        <v>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6.5" x14ac:dyDescent="0.3">
      <c r="A8" s="175">
        <v>2023</v>
      </c>
      <c r="B8" s="58" t="s">
        <v>59</v>
      </c>
      <c r="C8" s="125">
        <f>$B$47*$C$33+$B$48*$C$34+$B$49*$B$35</f>
        <v>9700</v>
      </c>
      <c r="D8" s="58" t="s">
        <v>53</v>
      </c>
      <c r="E8" s="125">
        <v>0</v>
      </c>
      <c r="F8" s="128">
        <v>0</v>
      </c>
      <c r="G8" s="125">
        <f>F8*NPV!C9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6.5" x14ac:dyDescent="0.3">
      <c r="A9" s="57">
        <v>2024</v>
      </c>
      <c r="B9" s="58" t="s">
        <v>59</v>
      </c>
      <c r="C9" s="125">
        <f>$B$47*$C$33+$B$48*$C$34+$B$49*$B$35</f>
        <v>9700</v>
      </c>
      <c r="D9" s="58" t="s">
        <v>60</v>
      </c>
      <c r="E9" s="125">
        <f t="shared" ref="E9:E28" si="0">$G$47*$B$39+$B$40*$G$48+$B$41*$G$49</f>
        <v>3200</v>
      </c>
      <c r="F9" s="128">
        <f t="shared" ref="F9:F25" si="1">C9-E9</f>
        <v>6500</v>
      </c>
      <c r="G9" s="125">
        <f>F9*NPV!C10</f>
        <v>4634.4101666438446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6.5" x14ac:dyDescent="0.3">
      <c r="A10" s="57">
        <v>2025</v>
      </c>
      <c r="B10" s="58" t="s">
        <v>59</v>
      </c>
      <c r="C10" s="125">
        <f>$B$47*$C$33+$B$48*$C$34+$B$49*$B$35+55*$B$55</f>
        <v>239700</v>
      </c>
      <c r="D10" s="58" t="s">
        <v>60</v>
      </c>
      <c r="E10" s="125">
        <f t="shared" si="0"/>
        <v>3200</v>
      </c>
      <c r="F10" s="128">
        <f t="shared" si="1"/>
        <v>236500</v>
      </c>
      <c r="G10" s="125">
        <f>F10*NPV!C11</f>
        <v>157589.93593260521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6.5" x14ac:dyDescent="0.3">
      <c r="A11" s="57">
        <v>2026</v>
      </c>
      <c r="B11" s="58" t="s">
        <v>59</v>
      </c>
      <c r="C11" s="125">
        <f t="shared" ref="C11:C28" si="2">$B$47*$C$33+$B$48*$C$34+$B$49*$B$35</f>
        <v>9700</v>
      </c>
      <c r="D11" s="58" t="s">
        <v>60</v>
      </c>
      <c r="E11" s="125">
        <f t="shared" si="0"/>
        <v>3200</v>
      </c>
      <c r="F11" s="128">
        <f t="shared" si="1"/>
        <v>6500</v>
      </c>
      <c r="G11" s="125">
        <f>F11*NPV!C12</f>
        <v>4047.8733222498422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6.5" x14ac:dyDescent="0.3">
      <c r="A12" s="57">
        <v>2027</v>
      </c>
      <c r="B12" s="58" t="s">
        <v>59</v>
      </c>
      <c r="C12" s="125">
        <f t="shared" si="2"/>
        <v>9700</v>
      </c>
      <c r="D12" s="58" t="s">
        <v>60</v>
      </c>
      <c r="E12" s="125">
        <f t="shared" si="0"/>
        <v>3200</v>
      </c>
      <c r="F12" s="128">
        <f t="shared" si="1"/>
        <v>6500</v>
      </c>
      <c r="G12" s="125">
        <f>F12*NPV!C13</f>
        <v>3783.0591796727495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6.5" x14ac:dyDescent="0.3">
      <c r="A13" s="57">
        <v>2028</v>
      </c>
      <c r="B13" s="58" t="s">
        <v>59</v>
      </c>
      <c r="C13" s="125">
        <f t="shared" si="2"/>
        <v>9700</v>
      </c>
      <c r="D13" s="58" t="s">
        <v>60</v>
      </c>
      <c r="E13" s="125">
        <f t="shared" si="0"/>
        <v>3200</v>
      </c>
      <c r="F13" s="128">
        <f t="shared" si="1"/>
        <v>6500</v>
      </c>
      <c r="G13" s="125">
        <f>F13*NPV!C14</f>
        <v>3535.5693267969623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6.5" x14ac:dyDescent="0.3">
      <c r="A14" s="57">
        <v>2029</v>
      </c>
      <c r="B14" s="58" t="s">
        <v>59</v>
      </c>
      <c r="C14" s="125">
        <f t="shared" si="2"/>
        <v>9700</v>
      </c>
      <c r="D14" s="58" t="s">
        <v>60</v>
      </c>
      <c r="E14" s="125">
        <f t="shared" si="0"/>
        <v>3200</v>
      </c>
      <c r="F14" s="128">
        <f t="shared" si="1"/>
        <v>6500</v>
      </c>
      <c r="G14" s="125">
        <f>F14*NPV!C15</f>
        <v>3304.2703988756657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6.5" x14ac:dyDescent="0.3">
      <c r="A15" s="57">
        <v>2030</v>
      </c>
      <c r="B15" s="58" t="s">
        <v>59</v>
      </c>
      <c r="C15" s="125">
        <f t="shared" si="2"/>
        <v>9700</v>
      </c>
      <c r="D15" s="58" t="s">
        <v>60</v>
      </c>
      <c r="E15" s="125">
        <f t="shared" si="0"/>
        <v>3200</v>
      </c>
      <c r="F15" s="128">
        <f t="shared" si="1"/>
        <v>6500</v>
      </c>
      <c r="G15" s="125">
        <f>F15*NPV!C16</f>
        <v>3088.1031765193134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6.5" x14ac:dyDescent="0.3">
      <c r="A16" s="57">
        <v>2031</v>
      </c>
      <c r="B16" s="58" t="s">
        <v>59</v>
      </c>
      <c r="C16" s="125">
        <f t="shared" si="2"/>
        <v>9700</v>
      </c>
      <c r="D16" s="58" t="s">
        <v>60</v>
      </c>
      <c r="E16" s="125">
        <f t="shared" si="0"/>
        <v>3200</v>
      </c>
      <c r="F16" s="128">
        <f t="shared" si="1"/>
        <v>6500</v>
      </c>
      <c r="G16" s="125">
        <f>F16*NPV!C17</f>
        <v>2886.0777350647795</v>
      </c>
      <c r="H16" s="14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6.5" x14ac:dyDescent="0.3">
      <c r="A17" s="57">
        <v>2032</v>
      </c>
      <c r="B17" s="58" t="s">
        <v>59</v>
      </c>
      <c r="C17" s="125">
        <f t="shared" si="2"/>
        <v>9700</v>
      </c>
      <c r="D17" s="58" t="s">
        <v>60</v>
      </c>
      <c r="E17" s="125">
        <f t="shared" si="0"/>
        <v>3200</v>
      </c>
      <c r="F17" s="128">
        <f t="shared" si="1"/>
        <v>6500</v>
      </c>
      <c r="G17" s="125">
        <f>F17*NPV!C18</f>
        <v>2697.2689112754942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6.5" x14ac:dyDescent="0.3">
      <c r="A18" s="57">
        <v>2033</v>
      </c>
      <c r="B18" s="58" t="s">
        <v>59</v>
      </c>
      <c r="C18" s="125">
        <f t="shared" si="2"/>
        <v>9700</v>
      </c>
      <c r="D18" s="58" t="s">
        <v>60</v>
      </c>
      <c r="E18" s="125">
        <f t="shared" si="0"/>
        <v>3200</v>
      </c>
      <c r="F18" s="128">
        <f t="shared" si="1"/>
        <v>6500</v>
      </c>
      <c r="G18" s="125">
        <f>F18*NPV!C19</f>
        <v>2520.8120666126119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6.5" x14ac:dyDescent="0.3">
      <c r="A19" s="57">
        <v>2034</v>
      </c>
      <c r="B19" s="58" t="s">
        <v>59</v>
      </c>
      <c r="C19" s="125">
        <f t="shared" si="2"/>
        <v>9700</v>
      </c>
      <c r="D19" s="58" t="s">
        <v>60</v>
      </c>
      <c r="E19" s="125">
        <f t="shared" si="0"/>
        <v>3200</v>
      </c>
      <c r="F19" s="128">
        <f t="shared" si="1"/>
        <v>6500</v>
      </c>
      <c r="G19" s="125">
        <f>F19*NPV!C20</f>
        <v>2355.8991276753377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6.5" x14ac:dyDescent="0.3">
      <c r="A20" s="57">
        <v>2035</v>
      </c>
      <c r="B20" s="58" t="s">
        <v>59</v>
      </c>
      <c r="C20" s="125">
        <f t="shared" si="2"/>
        <v>9700</v>
      </c>
      <c r="D20" s="58" t="s">
        <v>60</v>
      </c>
      <c r="E20" s="125">
        <f t="shared" si="0"/>
        <v>3200</v>
      </c>
      <c r="F20" s="128">
        <f t="shared" si="1"/>
        <v>6500</v>
      </c>
      <c r="G20" s="125">
        <f>F20*NPV!C21</f>
        <v>2201.7748856778862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6.5" x14ac:dyDescent="0.3">
      <c r="A21" s="57">
        <v>2036</v>
      </c>
      <c r="B21" s="58" t="s">
        <v>59</v>
      </c>
      <c r="C21" s="125">
        <f t="shared" si="2"/>
        <v>9700</v>
      </c>
      <c r="D21" s="58" t="s">
        <v>60</v>
      </c>
      <c r="E21" s="125">
        <f t="shared" si="0"/>
        <v>3200</v>
      </c>
      <c r="F21" s="128">
        <f t="shared" si="1"/>
        <v>6500</v>
      </c>
      <c r="G21" s="125">
        <f>F21*NPV!C22</f>
        <v>2057.733538016716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6.5" x14ac:dyDescent="0.3">
      <c r="A22" s="57">
        <v>2037</v>
      </c>
      <c r="B22" s="58" t="s">
        <v>59</v>
      </c>
      <c r="C22" s="125">
        <f t="shared" si="2"/>
        <v>9700</v>
      </c>
      <c r="D22" s="58" t="s">
        <v>60</v>
      </c>
      <c r="E22" s="125">
        <f t="shared" si="0"/>
        <v>3200</v>
      </c>
      <c r="F22" s="128">
        <f t="shared" si="1"/>
        <v>6500</v>
      </c>
      <c r="G22" s="125">
        <f>F22*NPV!C23</f>
        <v>1923.1154560903885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6.5" x14ac:dyDescent="0.3">
      <c r="A23" s="57">
        <v>2038</v>
      </c>
      <c r="B23" s="58" t="s">
        <v>59</v>
      </c>
      <c r="C23" s="125">
        <f t="shared" si="2"/>
        <v>9700</v>
      </c>
      <c r="D23" s="58" t="s">
        <v>60</v>
      </c>
      <c r="E23" s="125">
        <f t="shared" si="0"/>
        <v>3200</v>
      </c>
      <c r="F23" s="128">
        <f t="shared" si="1"/>
        <v>6500</v>
      </c>
      <c r="G23" s="125">
        <f>F23*NPV!C24</f>
        <v>1797.3041645704566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6.5" x14ac:dyDescent="0.3">
      <c r="A24" s="57">
        <v>2039</v>
      </c>
      <c r="B24" s="58" t="s">
        <v>59</v>
      </c>
      <c r="C24" s="125">
        <f t="shared" si="2"/>
        <v>9700</v>
      </c>
      <c r="D24" s="58" t="s">
        <v>60</v>
      </c>
      <c r="E24" s="125">
        <f t="shared" si="0"/>
        <v>3200</v>
      </c>
      <c r="F24" s="128">
        <f t="shared" si="1"/>
        <v>6500</v>
      </c>
      <c r="G24" s="125">
        <f>F24*NPV!C25</f>
        <v>1679.7235182901466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6.5" x14ac:dyDescent="0.3">
      <c r="A25" s="57">
        <v>2040</v>
      </c>
      <c r="B25" s="58" t="s">
        <v>59</v>
      </c>
      <c r="C25" s="125">
        <f t="shared" si="2"/>
        <v>9700</v>
      </c>
      <c r="D25" s="58" t="s">
        <v>60</v>
      </c>
      <c r="E25" s="125">
        <f t="shared" si="0"/>
        <v>3200</v>
      </c>
      <c r="F25" s="128">
        <f t="shared" si="1"/>
        <v>6500</v>
      </c>
      <c r="G25" s="125">
        <f>F25*NPV!C26</f>
        <v>1569.8350638225668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6.5" x14ac:dyDescent="0.3">
      <c r="A26" s="57">
        <v>2041</v>
      </c>
      <c r="B26" s="58" t="s">
        <v>59</v>
      </c>
      <c r="C26" s="125">
        <f t="shared" si="2"/>
        <v>9700</v>
      </c>
      <c r="D26" s="58" t="s">
        <v>60</v>
      </c>
      <c r="E26" s="125">
        <f t="shared" si="0"/>
        <v>3200</v>
      </c>
      <c r="F26" s="128">
        <f>C26-E26</f>
        <v>6500</v>
      </c>
      <c r="G26" s="125">
        <f>F26*NPV!C27</f>
        <v>1467.1355736659505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6.5" x14ac:dyDescent="0.3">
      <c r="A27" s="57">
        <v>2042</v>
      </c>
      <c r="B27" s="58" t="s">
        <v>59</v>
      </c>
      <c r="C27" s="125">
        <f t="shared" si="2"/>
        <v>9700</v>
      </c>
      <c r="D27" s="58" t="s">
        <v>60</v>
      </c>
      <c r="E27" s="125">
        <f t="shared" si="0"/>
        <v>3200</v>
      </c>
      <c r="F27" s="128">
        <f>C27-E27</f>
        <v>6500</v>
      </c>
      <c r="G27" s="125">
        <f>F27*NPV!C28</f>
        <v>1371.1547417438787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6.5" x14ac:dyDescent="0.3">
      <c r="A28" s="59">
        <v>2043</v>
      </c>
      <c r="B28" s="473" t="s">
        <v>59</v>
      </c>
      <c r="C28" s="126">
        <f t="shared" si="2"/>
        <v>9700</v>
      </c>
      <c r="D28" s="60" t="s">
        <v>60</v>
      </c>
      <c r="E28" s="126">
        <f t="shared" si="0"/>
        <v>3200</v>
      </c>
      <c r="F28" s="129">
        <f t="shared" ref="F28" si="3">C28-E28</f>
        <v>6500</v>
      </c>
      <c r="G28" s="126">
        <f>F28*NPV!C29</f>
        <v>1281.4530296671765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" x14ac:dyDescent="0.25">
      <c r="A29" s="173" t="s">
        <v>0</v>
      </c>
      <c r="B29" s="474"/>
      <c r="C29" s="127">
        <f>SUM(C8:C28)</f>
        <v>433700</v>
      </c>
      <c r="D29" s="69"/>
      <c r="E29" s="127">
        <f>SUM(E8:E28)</f>
        <v>64000</v>
      </c>
      <c r="F29" s="130">
        <f>SUM(F8:F28)</f>
        <v>360000</v>
      </c>
      <c r="G29" s="127">
        <f>SUM(G8:G28)</f>
        <v>205792.509315537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" x14ac:dyDescent="0.25">
      <c r="A30" s="62"/>
      <c r="B30" s="61"/>
      <c r="C30" s="61"/>
      <c r="D30" s="61"/>
      <c r="E30" s="61"/>
      <c r="F30" s="61"/>
      <c r="G30" s="6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" x14ac:dyDescent="0.25">
      <c r="A31" s="488" t="s">
        <v>55</v>
      </c>
      <c r="B31" s="518" t="s">
        <v>51</v>
      </c>
      <c r="C31" s="519"/>
      <c r="D31" s="61"/>
      <c r="E31" s="61"/>
      <c r="F31" s="61"/>
      <c r="G31" s="6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5.5" x14ac:dyDescent="0.25">
      <c r="A32" s="517"/>
      <c r="B32" s="67" t="s">
        <v>63</v>
      </c>
      <c r="C32" s="67" t="s">
        <v>67</v>
      </c>
      <c r="D32" s="61"/>
      <c r="E32" s="61"/>
      <c r="F32" s="61"/>
      <c r="G32" s="6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36" ht="15" x14ac:dyDescent="0.25">
      <c r="A33" s="54" t="s">
        <v>56</v>
      </c>
      <c r="B33" s="131"/>
      <c r="C33" s="132">
        <f>4000/20</f>
        <v>200</v>
      </c>
      <c r="D33" s="61"/>
      <c r="E33" s="61"/>
      <c r="F33" s="61"/>
      <c r="G33" s="6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36" ht="15" x14ac:dyDescent="0.25">
      <c r="A34" s="68" t="s">
        <v>57</v>
      </c>
      <c r="B34" s="133"/>
      <c r="C34" s="134">
        <f t="shared" ref="C34" si="4">4000/20</f>
        <v>200</v>
      </c>
      <c r="D34" s="61"/>
      <c r="E34" s="61"/>
      <c r="F34" s="61"/>
      <c r="G34" s="6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36" ht="15" x14ac:dyDescent="0.25">
      <c r="A35" s="55" t="s">
        <v>99</v>
      </c>
      <c r="B35" s="135">
        <v>450</v>
      </c>
      <c r="C35" s="136"/>
      <c r="D35" s="100"/>
      <c r="E35" s="61"/>
      <c r="F35" s="61"/>
      <c r="G35" s="6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36" ht="15" x14ac:dyDescent="0.25">
      <c r="A36" s="514" t="s">
        <v>118</v>
      </c>
      <c r="B36" s="515"/>
      <c r="C36" s="516"/>
      <c r="D36" s="100"/>
      <c r="E36" s="61"/>
      <c r="F36" s="61"/>
      <c r="G36" s="6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36" ht="15" x14ac:dyDescent="0.25">
      <c r="A37" s="62"/>
      <c r="B37" s="61"/>
      <c r="C37" s="61"/>
      <c r="D37" s="61"/>
      <c r="E37" s="61"/>
      <c r="F37" s="61"/>
      <c r="G37" s="6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36" ht="15" x14ac:dyDescent="0.25">
      <c r="A38" s="65" t="s">
        <v>55</v>
      </c>
      <c r="B38" s="64" t="s">
        <v>51</v>
      </c>
      <c r="C38" s="61"/>
      <c r="D38" s="61"/>
      <c r="E38" s="61"/>
      <c r="F38" s="61"/>
      <c r="G38" s="6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AH38" s="61"/>
      <c r="AI38" s="61"/>
      <c r="AJ38" s="61"/>
    </row>
    <row r="39" spans="1:36" ht="15" x14ac:dyDescent="0.25">
      <c r="A39" s="54" t="s">
        <v>56</v>
      </c>
      <c r="B39" s="137">
        <v>100</v>
      </c>
      <c r="C39" s="61"/>
      <c r="D39" s="61"/>
      <c r="E39" s="61"/>
      <c r="F39" s="61"/>
      <c r="G39" s="6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AH39" s="61"/>
      <c r="AI39" s="61"/>
      <c r="AJ39" s="61"/>
    </row>
    <row r="40" spans="1:36" ht="15" x14ac:dyDescent="0.25">
      <c r="A40" s="68" t="s">
        <v>57</v>
      </c>
      <c r="B40" s="137">
        <v>100</v>
      </c>
      <c r="C40" s="63"/>
      <c r="D40" s="61"/>
      <c r="E40" s="61"/>
      <c r="F40" s="61"/>
      <c r="G40" s="6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AH40" s="61"/>
      <c r="AI40" s="61"/>
      <c r="AJ40" s="61"/>
    </row>
    <row r="41" spans="1:36" ht="15" x14ac:dyDescent="0.25">
      <c r="A41" s="55" t="s">
        <v>58</v>
      </c>
      <c r="B41" s="138">
        <v>100</v>
      </c>
      <c r="C41" s="63"/>
      <c r="D41" s="61"/>
      <c r="E41" s="61"/>
      <c r="F41" s="61"/>
      <c r="G41" s="6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AH41" s="61"/>
      <c r="AI41" s="61"/>
      <c r="AJ41" s="61"/>
    </row>
    <row r="42" spans="1:36" ht="15" x14ac:dyDescent="0.25">
      <c r="A42" s="514" t="s">
        <v>118</v>
      </c>
      <c r="B42" s="516"/>
      <c r="C42" s="63"/>
      <c r="D42" s="61"/>
      <c r="E42" s="61"/>
      <c r="F42" s="61"/>
      <c r="G42" s="6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AH42" s="61"/>
      <c r="AI42" s="61"/>
      <c r="AJ42" s="61"/>
    </row>
    <row r="43" spans="1:36" ht="15" x14ac:dyDescent="0.25">
      <c r="A43" s="62"/>
      <c r="B43" s="61"/>
      <c r="C43" s="61"/>
      <c r="D43" s="61"/>
      <c r="E43" s="61"/>
      <c r="F43" s="61"/>
      <c r="G43" s="6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36" ht="15" x14ac:dyDescent="0.2">
      <c r="A44" s="518" t="s">
        <v>61</v>
      </c>
      <c r="B44" s="523"/>
      <c r="C44" s="523"/>
      <c r="D44" s="523"/>
      <c r="E44" s="523"/>
      <c r="F44" s="523"/>
      <c r="G44" s="523"/>
      <c r="H44" s="519"/>
      <c r="I44" s="18"/>
      <c r="J44" s="475"/>
      <c r="K44" s="18"/>
      <c r="L44" s="18"/>
      <c r="M44" s="18"/>
      <c r="N44" s="18"/>
      <c r="O44" s="18"/>
      <c r="P44" s="18"/>
      <c r="Q44" s="18"/>
      <c r="R44" s="18"/>
      <c r="S44" s="18"/>
    </row>
    <row r="45" spans="1:36" ht="15" x14ac:dyDescent="0.2">
      <c r="A45" s="488" t="s">
        <v>62</v>
      </c>
      <c r="B45" s="518" t="s">
        <v>68</v>
      </c>
      <c r="C45" s="523"/>
      <c r="D45" s="519"/>
      <c r="E45" s="518" t="s">
        <v>43</v>
      </c>
      <c r="F45" s="519"/>
      <c r="G45" s="518" t="s">
        <v>12</v>
      </c>
      <c r="H45" s="519"/>
      <c r="I45" s="18"/>
      <c r="J45" s="476"/>
      <c r="K45" s="18"/>
      <c r="L45" s="18"/>
      <c r="M45" s="18"/>
      <c r="N45" s="18"/>
      <c r="O45" s="18"/>
      <c r="P45" s="18"/>
      <c r="Q45" s="18"/>
      <c r="R45" s="18"/>
      <c r="S45" s="18"/>
    </row>
    <row r="46" spans="1:36" ht="38.25" x14ac:dyDescent="0.25">
      <c r="A46" s="517"/>
      <c r="B46" s="101" t="s">
        <v>112</v>
      </c>
      <c r="C46" s="101" t="s">
        <v>113</v>
      </c>
      <c r="D46" s="101" t="s">
        <v>106</v>
      </c>
      <c r="E46" s="101" t="s">
        <v>107</v>
      </c>
      <c r="F46" s="101" t="s">
        <v>108</v>
      </c>
      <c r="G46" s="101" t="s">
        <v>110</v>
      </c>
      <c r="H46" s="101" t="s">
        <v>109</v>
      </c>
      <c r="I46" s="18"/>
      <c r="J46" s="476"/>
      <c r="K46" s="18"/>
      <c r="L46" s="184"/>
      <c r="M46" s="18"/>
      <c r="N46" s="18"/>
      <c r="O46" s="18"/>
      <c r="P46" s="18"/>
      <c r="Q46" s="18"/>
      <c r="R46" s="18"/>
      <c r="S46" s="18"/>
    </row>
    <row r="47" spans="1:36" ht="15" x14ac:dyDescent="0.25">
      <c r="A47" s="54" t="s">
        <v>56</v>
      </c>
      <c r="B47" s="220">
        <v>20</v>
      </c>
      <c r="C47" s="264" t="s">
        <v>114</v>
      </c>
      <c r="D47" s="91">
        <v>60</v>
      </c>
      <c r="E47" s="265">
        <v>20</v>
      </c>
      <c r="F47" s="91">
        <f>E47*3</f>
        <v>60</v>
      </c>
      <c r="G47" s="265">
        <v>20</v>
      </c>
      <c r="H47" s="91">
        <f>G47*3</f>
        <v>60</v>
      </c>
      <c r="I47" s="18"/>
      <c r="J47" s="476"/>
      <c r="K47" s="18"/>
      <c r="L47" s="184"/>
      <c r="M47" s="18"/>
      <c r="N47" s="18"/>
      <c r="O47" s="18"/>
      <c r="P47" s="18"/>
      <c r="Q47" s="18"/>
      <c r="R47" s="18"/>
      <c r="S47" s="18"/>
    </row>
    <row r="48" spans="1:36" ht="15" x14ac:dyDescent="0.25">
      <c r="A48" s="68" t="s">
        <v>57</v>
      </c>
      <c r="B48" s="221">
        <v>6</v>
      </c>
      <c r="C48" s="266" t="s">
        <v>114</v>
      </c>
      <c r="D48" s="70">
        <v>140</v>
      </c>
      <c r="E48" s="268">
        <v>6</v>
      </c>
      <c r="F48" s="92">
        <f>E48*3</f>
        <v>18</v>
      </c>
      <c r="G48" s="268">
        <v>6</v>
      </c>
      <c r="H48" s="92">
        <f>G48*3</f>
        <v>18</v>
      </c>
      <c r="I48" s="18"/>
      <c r="J48" s="476"/>
      <c r="K48" s="18"/>
      <c r="L48" s="184"/>
      <c r="M48" s="18"/>
      <c r="N48" s="18"/>
      <c r="O48" s="18"/>
      <c r="P48" s="18"/>
      <c r="Q48" s="18"/>
      <c r="R48" s="18"/>
      <c r="S48" s="18"/>
    </row>
    <row r="49" spans="1:19" ht="25.5" x14ac:dyDescent="0.25">
      <c r="A49" s="55" t="s">
        <v>192</v>
      </c>
      <c r="B49" s="342">
        <v>10</v>
      </c>
      <c r="C49" s="477" t="s">
        <v>115</v>
      </c>
      <c r="D49" s="71">
        <v>82</v>
      </c>
      <c r="E49" s="478">
        <v>0</v>
      </c>
      <c r="F49" s="93">
        <f>E49*3</f>
        <v>0</v>
      </c>
      <c r="G49" s="478">
        <v>6</v>
      </c>
      <c r="H49" s="93">
        <f>G49*3-20</f>
        <v>-2</v>
      </c>
      <c r="I49" s="18"/>
      <c r="J49" s="476"/>
      <c r="K49" s="18"/>
      <c r="L49" s="184"/>
      <c r="M49" s="18"/>
      <c r="N49" s="18"/>
      <c r="O49" s="18"/>
      <c r="P49" s="18"/>
      <c r="Q49" s="18"/>
      <c r="R49" s="18"/>
      <c r="S49" s="18"/>
    </row>
    <row r="50" spans="1:19" ht="16.5" x14ac:dyDescent="0.25">
      <c r="A50" s="95" t="s">
        <v>0</v>
      </c>
      <c r="B50" s="145"/>
      <c r="C50" s="480"/>
      <c r="D50" s="94">
        <f t="shared" ref="D50:F50" si="5">SUM(D47:D49)</f>
        <v>282</v>
      </c>
      <c r="E50" s="479">
        <f t="shared" si="5"/>
        <v>26</v>
      </c>
      <c r="F50" s="94">
        <f t="shared" si="5"/>
        <v>78</v>
      </c>
      <c r="G50" s="479">
        <f t="shared" ref="G50:H50" si="6">SUM(G47:G49)</f>
        <v>32</v>
      </c>
      <c r="H50" s="94">
        <f t="shared" si="6"/>
        <v>76</v>
      </c>
      <c r="I50" s="18"/>
      <c r="J50" s="476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6.5" x14ac:dyDescent="0.25">
      <c r="A51" s="520" t="s">
        <v>111</v>
      </c>
      <c r="B51" s="521"/>
      <c r="C51" s="522"/>
      <c r="D51" s="98">
        <v>1</v>
      </c>
      <c r="E51" s="481"/>
      <c r="F51" s="98">
        <f>(D50-F50)/D50</f>
        <v>0.72340425531914898</v>
      </c>
      <c r="G51" s="481"/>
      <c r="H51" s="98">
        <f>1-(F50-H50)/D50</f>
        <v>0.99290780141843971</v>
      </c>
      <c r="I51" s="18"/>
      <c r="J51" s="476"/>
      <c r="K51" s="18"/>
      <c r="L51" s="184"/>
      <c r="M51" s="18"/>
      <c r="N51" s="18"/>
      <c r="O51" s="18"/>
      <c r="P51" s="18"/>
      <c r="Q51" s="18"/>
      <c r="R51" s="18"/>
      <c r="S51" s="18"/>
    </row>
    <row r="52" spans="1:19" ht="15" x14ac:dyDescent="0.25">
      <c r="A52" s="514" t="s">
        <v>118</v>
      </c>
      <c r="B52" s="515"/>
      <c r="C52" s="515"/>
      <c r="D52" s="515"/>
      <c r="E52" s="515"/>
      <c r="F52" s="515"/>
      <c r="G52" s="515"/>
      <c r="H52" s="516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 x14ac:dyDescent="0.25">
      <c r="A53" s="6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4"/>
      <c r="M53" s="18"/>
      <c r="N53" s="18"/>
      <c r="O53" s="18"/>
      <c r="P53" s="18"/>
      <c r="Q53" s="18"/>
      <c r="R53" s="18"/>
      <c r="S53" s="18"/>
    </row>
    <row r="54" spans="1:19" x14ac:dyDescent="0.2">
      <c r="A54" s="248" t="s">
        <v>119</v>
      </c>
      <c r="B54" s="247" t="s">
        <v>120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x14ac:dyDescent="0.2">
      <c r="A55" s="341" t="s">
        <v>99</v>
      </c>
      <c r="B55" s="138">
        <f>230000/55</f>
        <v>4181.818181818182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18" customFormat="1" x14ac:dyDescent="0.2"/>
    <row r="57" spans="1:19" s="18" customFormat="1" x14ac:dyDescent="0.2"/>
    <row r="58" spans="1:19" s="18" customFormat="1" x14ac:dyDescent="0.2"/>
    <row r="59" spans="1:19" s="18" customFormat="1" x14ac:dyDescent="0.2"/>
    <row r="60" spans="1:19" s="18" customFormat="1" x14ac:dyDescent="0.2"/>
    <row r="61" spans="1:19" s="18" customFormat="1" x14ac:dyDescent="0.2"/>
    <row r="62" spans="1:19" s="18" customFormat="1" x14ac:dyDescent="0.2"/>
    <row r="63" spans="1:19" s="18" customFormat="1" x14ac:dyDescent="0.2"/>
    <row r="64" spans="1:19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</sheetData>
  <mergeCells count="21">
    <mergeCell ref="A36:C36"/>
    <mergeCell ref="A42:B42"/>
    <mergeCell ref="A52:H52"/>
    <mergeCell ref="F5:F6"/>
    <mergeCell ref="G5:G6"/>
    <mergeCell ref="B31:C31"/>
    <mergeCell ref="A31:A32"/>
    <mergeCell ref="A5:A6"/>
    <mergeCell ref="B5:C5"/>
    <mergeCell ref="D5:E5"/>
    <mergeCell ref="A51:C51"/>
    <mergeCell ref="A44:H44"/>
    <mergeCell ref="A45:A46"/>
    <mergeCell ref="B45:D45"/>
    <mergeCell ref="E45:F45"/>
    <mergeCell ref="G45:H45"/>
    <mergeCell ref="A1:D1"/>
    <mergeCell ref="A2:B2"/>
    <mergeCell ref="A3:B3"/>
    <mergeCell ref="C2:D2"/>
    <mergeCell ref="C3:D3"/>
  </mergeCells>
  <pageMargins left="0.7" right="0.7" top="0.75" bottom="0.75" header="0.3" footer="0.3"/>
  <pageSetup paperSize="2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6370-E17A-4EC5-93C5-84B35BEB1538}">
  <dimension ref="A1:GK754"/>
  <sheetViews>
    <sheetView zoomScaleNormal="100" workbookViewId="0">
      <selection activeCell="L38" sqref="L38"/>
    </sheetView>
  </sheetViews>
  <sheetFormatPr defaultRowHeight="12.75" x14ac:dyDescent="0.2"/>
  <cols>
    <col min="1" max="1" width="34" customWidth="1"/>
    <col min="2" max="2" width="16.28515625" bestFit="1" customWidth="1"/>
    <col min="3" max="3" width="22.7109375" bestFit="1" customWidth="1"/>
    <col min="4" max="4" width="22.5703125" bestFit="1" customWidth="1"/>
    <col min="5" max="5" width="18.28515625" bestFit="1" customWidth="1"/>
    <col min="6" max="8" width="13.28515625" bestFit="1" customWidth="1"/>
    <col min="9" max="9" width="11.7109375" bestFit="1" customWidth="1"/>
    <col min="10" max="10" width="16.5703125" customWidth="1"/>
    <col min="11" max="11" width="11.7109375" bestFit="1" customWidth="1"/>
    <col min="12" max="12" width="13.140625" bestFit="1" customWidth="1"/>
    <col min="40" max="187" width="8.85546875" style="18"/>
  </cols>
  <sheetData>
    <row r="1" spans="1:39" ht="15.75" x14ac:dyDescent="0.2">
      <c r="A1" s="525" t="s">
        <v>350</v>
      </c>
      <c r="B1" s="52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5.75" x14ac:dyDescent="0.2">
      <c r="A2" s="250" t="s">
        <v>11</v>
      </c>
      <c r="B2" s="251">
        <f ca="1">D28</f>
        <v>162397.85242389311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.75" x14ac:dyDescent="0.2">
      <c r="A3" s="250" t="s">
        <v>45</v>
      </c>
      <c r="B3" s="251">
        <f ca="1">E28</f>
        <v>61880.914941669078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15.75" x14ac:dyDescent="0.2">
      <c r="A5" s="525" t="s">
        <v>351</v>
      </c>
      <c r="B5" s="526"/>
      <c r="C5" s="526"/>
      <c r="D5" s="526"/>
      <c r="E5" s="52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2.75" customHeight="1" x14ac:dyDescent="0.2">
      <c r="A6" s="503" t="s">
        <v>1</v>
      </c>
      <c r="B6" s="488" t="s">
        <v>352</v>
      </c>
      <c r="C6" s="488" t="s">
        <v>353</v>
      </c>
      <c r="D6" s="488" t="s">
        <v>304</v>
      </c>
      <c r="E6" s="488" t="s">
        <v>305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3.9" customHeight="1" thickBot="1" x14ac:dyDescent="0.25">
      <c r="A7" s="504"/>
      <c r="B7" s="489"/>
      <c r="C7" s="489"/>
      <c r="D7" s="489"/>
      <c r="E7" s="489"/>
      <c r="F7" s="3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3.5" thickTop="1" x14ac:dyDescent="0.2">
      <c r="A8" s="19">
        <v>2024</v>
      </c>
      <c r="B8" s="211">
        <f t="shared" ref="B8:B27" ca="1" si="0">L38*$B$67*$B$68</f>
        <v>6428.6070617702499</v>
      </c>
      <c r="C8" s="166">
        <f ca="1">L38*$B$67*$B$69</f>
        <v>64.286070617702507</v>
      </c>
      <c r="D8" s="211">
        <f ca="1">B8-C8</f>
        <v>6364.3209911525473</v>
      </c>
      <c r="E8" s="166">
        <f ca="1">D8*NPV!C10</f>
        <v>4537.6729084895687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9">
        <v>2025</v>
      </c>
      <c r="B9" s="211">
        <f t="shared" ca="1" si="0"/>
        <v>6563.9461060644353</v>
      </c>
      <c r="C9" s="166">
        <f t="shared" ref="C9:C27" ca="1" si="1">L39*$B$67*$B$69</f>
        <v>65.639461060644351</v>
      </c>
      <c r="D9" s="211">
        <f t="shared" ref="D9:D27" ca="1" si="2">B9-C9</f>
        <v>6498.3066450037913</v>
      </c>
      <c r="E9" s="166">
        <f ca="1">D9*NPV!C11</f>
        <v>4330.0961008734466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19">
        <f t="shared" ref="A10:A27" si="3">A9+1</f>
        <v>2026</v>
      </c>
      <c r="B10" s="211">
        <f t="shared" ca="1" si="0"/>
        <v>6704.8271526672033</v>
      </c>
      <c r="C10" s="166">
        <f t="shared" ca="1" si="1"/>
        <v>67.048271526672025</v>
      </c>
      <c r="D10" s="211">
        <f t="shared" ca="1" si="2"/>
        <v>6637.7788811405317</v>
      </c>
      <c r="E10" s="166">
        <f ca="1">D10*NPV!C12</f>
        <v>4133.6750849172558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19">
        <f t="shared" si="3"/>
        <v>2027</v>
      </c>
      <c r="B11" s="211">
        <f t="shared" ca="1" si="0"/>
        <v>6853.2212650039619</v>
      </c>
      <c r="C11" s="166">
        <f t="shared" ca="1" si="1"/>
        <v>68.532212650039625</v>
      </c>
      <c r="D11" s="211">
        <f t="shared" ca="1" si="2"/>
        <v>6784.6890523539223</v>
      </c>
      <c r="E11" s="166">
        <f ca="1">D11*NPV!C13</f>
        <v>3948.7508001127253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19">
        <f t="shared" si="3"/>
        <v>2028</v>
      </c>
      <c r="B12" s="211">
        <f t="shared" ca="1" si="0"/>
        <v>7006.4436258543346</v>
      </c>
      <c r="C12" s="166">
        <f t="shared" ca="1" si="1"/>
        <v>70.064436258543338</v>
      </c>
      <c r="D12" s="211">
        <f t="shared" ca="1" si="2"/>
        <v>6936.3791895957911</v>
      </c>
      <c r="E12" s="166">
        <f ca="1">D12*NPV!C14</f>
        <v>3772.9306925796386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19">
        <f t="shared" si="3"/>
        <v>2029</v>
      </c>
      <c r="B13" s="211">
        <f t="shared" ca="1" si="0"/>
        <v>7166.4663584465525</v>
      </c>
      <c r="C13" s="166">
        <f t="shared" ca="1" si="1"/>
        <v>71.664663584465529</v>
      </c>
      <c r="D13" s="211">
        <f t="shared" ca="1" si="2"/>
        <v>7094.8016948620871</v>
      </c>
      <c r="E13" s="166">
        <f ca="1">D13*NPV!C15</f>
        <v>3606.6374194193381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9">
        <f t="shared" si="3"/>
        <v>2030</v>
      </c>
      <c r="B14" s="211">
        <f t="shared" ca="1" si="0"/>
        <v>7335.4977940228537</v>
      </c>
      <c r="C14" s="166">
        <f t="shared" ca="1" si="1"/>
        <v>73.354977940228537</v>
      </c>
      <c r="D14" s="211">
        <f t="shared" ca="1" si="2"/>
        <v>7262.1428160826254</v>
      </c>
      <c r="E14" s="166">
        <f ca="1">D14*NPV!C16</f>
        <v>3450.191738258718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9">
        <f t="shared" si="3"/>
        <v>2031</v>
      </c>
      <c r="B15" s="211">
        <f t="shared" ca="1" si="0"/>
        <v>7509.8458157830864</v>
      </c>
      <c r="C15" s="166">
        <f t="shared" ca="1" si="1"/>
        <v>75.098458157830862</v>
      </c>
      <c r="D15" s="211">
        <f t="shared" ca="1" si="2"/>
        <v>7434.747357625256</v>
      </c>
      <c r="E15" s="166">
        <f ca="1">D15*NPV!C17</f>
        <v>3301.1167407190696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9">
        <f t="shared" si="3"/>
        <v>2032</v>
      </c>
      <c r="B16" s="211">
        <f t="shared" ca="1" si="0"/>
        <v>7693.1188752258195</v>
      </c>
      <c r="C16" s="166">
        <f t="shared" ca="1" si="1"/>
        <v>76.931188752258194</v>
      </c>
      <c r="D16" s="211">
        <f t="shared" ca="1" si="2"/>
        <v>7616.1876864735614</v>
      </c>
      <c r="E16" s="166">
        <f ca="1">D16*NPV!C18</f>
        <v>3160.4471183329797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193" x14ac:dyDescent="0.2">
      <c r="A17" s="19">
        <f t="shared" si="3"/>
        <v>2033</v>
      </c>
      <c r="B17" s="211">
        <f t="shared" ca="1" si="0"/>
        <v>7886.3118245396545</v>
      </c>
      <c r="C17" s="166">
        <f t="shared" ca="1" si="1"/>
        <v>78.863118245396549</v>
      </c>
      <c r="D17" s="211">
        <f t="shared" ca="1" si="2"/>
        <v>7807.448706294258</v>
      </c>
      <c r="E17" s="166">
        <f ca="1">D17*NPV!C19</f>
        <v>3027.8632166593216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193" x14ac:dyDescent="0.2">
      <c r="A18" s="19">
        <f t="shared" si="3"/>
        <v>2034</v>
      </c>
      <c r="B18" s="211">
        <f t="shared" ca="1" si="0"/>
        <v>8090.1182030419404</v>
      </c>
      <c r="C18" s="166">
        <f t="shared" ca="1" si="1"/>
        <v>80.901182030419406</v>
      </c>
      <c r="D18" s="211">
        <f t="shared" ca="1" si="2"/>
        <v>8009.217021011521</v>
      </c>
      <c r="E18" s="166">
        <f ca="1">D18*NPV!C20</f>
        <v>2902.908829717463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193" x14ac:dyDescent="0.2">
      <c r="A19" s="19">
        <f t="shared" si="3"/>
        <v>2035</v>
      </c>
      <c r="B19" s="211">
        <f t="shared" ca="1" si="0"/>
        <v>8306.8667747787476</v>
      </c>
      <c r="C19" s="166">
        <f t="shared" ca="1" si="1"/>
        <v>83.068667747787487</v>
      </c>
      <c r="D19" s="211">
        <f t="shared" ca="1" si="2"/>
        <v>8223.7981070309597</v>
      </c>
      <c r="E19" s="166">
        <f ca="1">D19*NPV!C21</f>
        <v>2785.6849441455552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193" x14ac:dyDescent="0.2">
      <c r="A20" s="19">
        <f t="shared" si="3"/>
        <v>2036</v>
      </c>
      <c r="B20" s="211">
        <f t="shared" ca="1" si="0"/>
        <v>8537.7720212958011</v>
      </c>
      <c r="C20" s="166">
        <f t="shared" ca="1" si="1"/>
        <v>85.37772021295801</v>
      </c>
      <c r="D20" s="211">
        <f t="shared" ca="1" si="2"/>
        <v>8452.3943010828425</v>
      </c>
      <c r="E20" s="166">
        <f ca="1">D20*NPV!C22</f>
        <v>2675.8115738276192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193" x14ac:dyDescent="0.2">
      <c r="A21" s="19">
        <f t="shared" si="3"/>
        <v>2037</v>
      </c>
      <c r="B21" s="211">
        <f t="shared" ca="1" si="0"/>
        <v>8784.8234412205529</v>
      </c>
      <c r="C21" s="166">
        <f t="shared" ca="1" si="1"/>
        <v>87.848234412205542</v>
      </c>
      <c r="D21" s="211">
        <f t="shared" ca="1" si="2"/>
        <v>8696.9752068083471</v>
      </c>
      <c r="E21" s="166">
        <f ca="1">D21*NPV!C23</f>
        <v>2573.1211448381596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193" x14ac:dyDescent="0.2">
      <c r="A22" s="19">
        <f t="shared" si="3"/>
        <v>2038</v>
      </c>
      <c r="B22" s="211">
        <f t="shared" ca="1" si="0"/>
        <v>9050.4051412113422</v>
      </c>
      <c r="C22" s="166">
        <f t="shared" ca="1" si="1"/>
        <v>90.504051412113427</v>
      </c>
      <c r="D22" s="211">
        <f t="shared" ca="1" si="2"/>
        <v>8959.9010897992284</v>
      </c>
      <c r="E22" s="166">
        <f ca="1">D22*NPV!C24</f>
        <v>2477.4873142823885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193" x14ac:dyDescent="0.2">
      <c r="A23" s="19">
        <f t="shared" si="3"/>
        <v>2039</v>
      </c>
      <c r="B23" s="211">
        <f t="shared" ca="1" si="0"/>
        <v>9337.3830968602106</v>
      </c>
      <c r="C23" s="166">
        <f t="shared" ca="1" si="1"/>
        <v>93.373830968602093</v>
      </c>
      <c r="D23" s="211">
        <f t="shared" ca="1" si="2"/>
        <v>9244.0092658916092</v>
      </c>
      <c r="E23" s="166">
        <f ca="1">D23*NPV!C25</f>
        <v>2388.8276564938719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193" x14ac:dyDescent="0.2">
      <c r="A24" s="19">
        <f t="shared" si="3"/>
        <v>2040</v>
      </c>
      <c r="B24" s="211">
        <f t="shared" ca="1" si="0"/>
        <v>9649.2154556401256</v>
      </c>
      <c r="C24" s="166">
        <f t="shared" ca="1" si="1"/>
        <v>96.49215455640126</v>
      </c>
      <c r="D24" s="211">
        <f t="shared" ca="1" si="2"/>
        <v>9552.7233010837244</v>
      </c>
      <c r="E24" s="166">
        <f ca="1">D24*NPV!C26</f>
        <v>2307.1076912363214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193" x14ac:dyDescent="0.2">
      <c r="A25" s="19">
        <f t="shared" si="3"/>
        <v>2041</v>
      </c>
      <c r="B25" s="211">
        <f t="shared" ca="1" si="0"/>
        <v>9990.0884904763516</v>
      </c>
      <c r="C25" s="166">
        <f t="shared" ca="1" si="1"/>
        <v>99.900884904763515</v>
      </c>
      <c r="D25" s="211">
        <f t="shared" ca="1" si="2"/>
        <v>9890.1876055715875</v>
      </c>
      <c r="E25" s="166">
        <f ca="1">D25*NPV!C27</f>
        <v>2232.3455486714065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193" x14ac:dyDescent="0.2">
      <c r="A26" s="19">
        <f t="shared" si="3"/>
        <v>2042</v>
      </c>
      <c r="B26" s="211">
        <f t="shared" ca="1" si="0"/>
        <v>10364.04034753684</v>
      </c>
      <c r="C26" s="166">
        <f t="shared" ca="1" si="1"/>
        <v>103.64040347536842</v>
      </c>
      <c r="D26" s="211">
        <f t="shared" ca="1" si="2"/>
        <v>10260.399944061472</v>
      </c>
      <c r="E26" s="166">
        <f ca="1">D26*NPV!C28</f>
        <v>2164.3993900751561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193" ht="13.5" thickBot="1" x14ac:dyDescent="0.25">
      <c r="A27" s="51">
        <f t="shared" si="3"/>
        <v>2043</v>
      </c>
      <c r="B27" s="211">
        <f t="shared" ca="1" si="0"/>
        <v>10779.235920169158</v>
      </c>
      <c r="C27" s="166">
        <f t="shared" ca="1" si="1"/>
        <v>107.79235920169158</v>
      </c>
      <c r="D27" s="212">
        <f t="shared" ca="1" si="2"/>
        <v>10671.443560967466</v>
      </c>
      <c r="E27" s="252">
        <f ca="1">D27*NPV!C29</f>
        <v>2103.8390280190833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193" ht="13.5" thickTop="1" x14ac:dyDescent="0.2">
      <c r="A28" s="541" t="s">
        <v>0</v>
      </c>
      <c r="B28" s="542"/>
      <c r="C28" s="543"/>
      <c r="D28" s="253">
        <f ca="1">SUM(D8:D27)</f>
        <v>162397.85242389311</v>
      </c>
      <c r="E28" s="254">
        <f ca="1">SUM(E8:E27)</f>
        <v>61880.914941669078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193" x14ac:dyDescent="0.2">
      <c r="A29" s="255"/>
      <c r="B29" s="255"/>
      <c r="C29" s="255"/>
      <c r="D29" s="256"/>
      <c r="E29" s="25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193" ht="15.75" x14ac:dyDescent="0.2">
      <c r="A30" s="525" t="s">
        <v>411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GF30" s="18"/>
      <c r="GG30" s="18"/>
      <c r="GH30" s="18"/>
      <c r="GI30" s="18"/>
      <c r="GJ30" s="18"/>
      <c r="GK30" s="18"/>
    </row>
    <row r="31" spans="1:193" ht="13.15" customHeight="1" x14ac:dyDescent="0.2">
      <c r="A31" s="503" t="s">
        <v>1</v>
      </c>
      <c r="B31" s="490" t="s">
        <v>299</v>
      </c>
      <c r="C31" s="491"/>
      <c r="D31" s="491"/>
      <c r="E31" s="491"/>
      <c r="F31" s="491"/>
      <c r="G31" s="492"/>
      <c r="H31" s="490" t="s">
        <v>354</v>
      </c>
      <c r="I31" s="492"/>
      <c r="J31" s="505" t="s">
        <v>410</v>
      </c>
      <c r="K31" s="505"/>
      <c r="L31" s="488" t="s">
        <v>302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GF31" s="18"/>
      <c r="GG31" s="18"/>
      <c r="GH31" s="18"/>
      <c r="GI31" s="18"/>
      <c r="GJ31" s="18"/>
      <c r="GK31" s="18"/>
    </row>
    <row r="32" spans="1:193" ht="13.9" customHeight="1" thickBot="1" x14ac:dyDescent="0.25">
      <c r="A32" s="504"/>
      <c r="B32" s="234" t="s">
        <v>355</v>
      </c>
      <c r="C32" s="234" t="s">
        <v>356</v>
      </c>
      <c r="D32" s="234" t="s">
        <v>357</v>
      </c>
      <c r="E32" s="234" t="s">
        <v>358</v>
      </c>
      <c r="F32" s="234" t="s">
        <v>300</v>
      </c>
      <c r="G32" s="234" t="s">
        <v>359</v>
      </c>
      <c r="H32" s="230" t="s">
        <v>300</v>
      </c>
      <c r="I32" s="232" t="s">
        <v>359</v>
      </c>
      <c r="J32" s="240" t="s">
        <v>3</v>
      </c>
      <c r="K32" s="240" t="s">
        <v>32</v>
      </c>
      <c r="L32" s="5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GF32" s="18"/>
      <c r="GG32" s="18"/>
      <c r="GH32" s="18"/>
      <c r="GI32" s="18"/>
      <c r="GJ32" s="18"/>
      <c r="GK32" s="18"/>
    </row>
    <row r="33" spans="1:193" ht="13.5" thickTop="1" x14ac:dyDescent="0.2">
      <c r="A33" s="19">
        <v>2019</v>
      </c>
      <c r="B33" s="211"/>
      <c r="C33" s="166"/>
      <c r="D33" s="211"/>
      <c r="E33" s="166"/>
      <c r="F33" s="211"/>
      <c r="G33" s="257"/>
      <c r="H33" s="211">
        <f>B74</f>
        <v>88668333.333333343</v>
      </c>
      <c r="I33" s="257"/>
      <c r="J33" s="258"/>
      <c r="K33" s="258"/>
      <c r="L33" s="166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GF33" s="18"/>
      <c r="GG33" s="18"/>
      <c r="GH33" s="18"/>
      <c r="GI33" s="18"/>
      <c r="GJ33" s="18"/>
      <c r="GK33" s="18"/>
    </row>
    <row r="34" spans="1:193" x14ac:dyDescent="0.2">
      <c r="A34" s="19">
        <f>A33+1</f>
        <v>2020</v>
      </c>
      <c r="B34" s="211"/>
      <c r="C34" s="166"/>
      <c r="D34" s="211"/>
      <c r="E34" s="166"/>
      <c r="F34" s="211"/>
      <c r="G34" s="257"/>
      <c r="H34" s="259">
        <f t="shared" ref="H34:H57" si="4">ROUND($H$33*(1+$B$61)^(A34-$A$33),0)</f>
        <v>90441700</v>
      </c>
      <c r="I34" s="257"/>
      <c r="J34" s="258"/>
      <c r="K34" s="258"/>
      <c r="L34" s="166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GF34" s="18"/>
      <c r="GG34" s="18"/>
      <c r="GH34" s="18"/>
      <c r="GI34" s="18"/>
      <c r="GJ34" s="18"/>
      <c r="GK34" s="18"/>
    </row>
    <row r="35" spans="1:193" x14ac:dyDescent="0.2">
      <c r="A35" s="19">
        <f t="shared" ref="A35:A57" si="5">A34+1</f>
        <v>2021</v>
      </c>
      <c r="B35" s="211"/>
      <c r="C35" s="166"/>
      <c r="D35" s="211"/>
      <c r="E35" s="166"/>
      <c r="F35" s="211"/>
      <c r="G35" s="257"/>
      <c r="H35" s="211">
        <f t="shared" si="4"/>
        <v>92250534</v>
      </c>
      <c r="I35" s="257"/>
      <c r="J35" s="258"/>
      <c r="K35" s="258"/>
      <c r="L35" s="16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GF35" s="18"/>
      <c r="GG35" s="18"/>
      <c r="GH35" s="18"/>
      <c r="GI35" s="18"/>
      <c r="GJ35" s="18"/>
      <c r="GK35" s="18"/>
    </row>
    <row r="36" spans="1:193" x14ac:dyDescent="0.2">
      <c r="A36" s="19">
        <f t="shared" si="5"/>
        <v>2022</v>
      </c>
      <c r="B36" s="211"/>
      <c r="C36" s="166"/>
      <c r="D36" s="211"/>
      <c r="E36" s="166"/>
      <c r="F36" s="211"/>
      <c r="G36" s="257"/>
      <c r="H36" s="211">
        <f t="shared" si="4"/>
        <v>94095545</v>
      </c>
      <c r="I36" s="257"/>
      <c r="J36" s="258"/>
      <c r="K36" s="258"/>
      <c r="L36" s="166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GF36" s="18"/>
      <c r="GG36" s="18"/>
      <c r="GH36" s="18"/>
      <c r="GI36" s="18"/>
      <c r="GJ36" s="18"/>
      <c r="GK36" s="18"/>
    </row>
    <row r="37" spans="1:193" x14ac:dyDescent="0.2">
      <c r="A37" s="19">
        <f t="shared" si="5"/>
        <v>2023</v>
      </c>
      <c r="B37" s="211"/>
      <c r="C37" s="166"/>
      <c r="D37" s="211"/>
      <c r="E37" s="166"/>
      <c r="F37" s="211"/>
      <c r="G37" s="257"/>
      <c r="H37" s="211">
        <f t="shared" si="4"/>
        <v>95977456</v>
      </c>
      <c r="I37" s="257"/>
      <c r="J37" s="258"/>
      <c r="K37" s="258"/>
      <c r="L37" s="166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GF37" s="18"/>
      <c r="GG37" s="18"/>
      <c r="GH37" s="18"/>
      <c r="GI37" s="18"/>
      <c r="GJ37" s="18"/>
      <c r="GK37" s="18"/>
    </row>
    <row r="38" spans="1:193" x14ac:dyDescent="0.2">
      <c r="A38" s="19">
        <f t="shared" si="5"/>
        <v>2024</v>
      </c>
      <c r="B38" s="211">
        <f>B73</f>
        <v>20000000</v>
      </c>
      <c r="C38" s="166">
        <f>-Flood_Travel_Time!J35</f>
        <v>105624.844</v>
      </c>
      <c r="D38" s="211">
        <f>-Flood_Travel_Time!J8</f>
        <v>125204.01000000002</v>
      </c>
      <c r="E38" s="166">
        <f>(C38+D38)*($B$62/12)</f>
        <v>76942.951333333331</v>
      </c>
      <c r="F38" s="211">
        <f t="shared" ref="F38:F57" si="6">B38+E38</f>
        <v>20076942.951333333</v>
      </c>
      <c r="G38" s="257">
        <f>$C$73</f>
        <v>0.5</v>
      </c>
      <c r="H38" s="211">
        <f t="shared" si="4"/>
        <v>97897005</v>
      </c>
      <c r="I38" s="257">
        <f>$C$74</f>
        <v>0.5</v>
      </c>
      <c r="J38" s="260">
        <f ca="1">Flood_Safety!N12</f>
        <v>4390055.3580114413</v>
      </c>
      <c r="K38" s="260">
        <f ca="1">Flood_Env_Prot!I6+Flood_Env_Prot!J6</f>
        <v>909041.28402438608</v>
      </c>
      <c r="L38" s="166">
        <f ca="1">(F38*G38)+(H38*I38)+J38+K38</f>
        <v>64286070.617702492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GF38" s="18"/>
      <c r="GG38" s="18"/>
      <c r="GH38" s="18"/>
      <c r="GI38" s="18"/>
      <c r="GJ38" s="18"/>
      <c r="GK38" s="18"/>
    </row>
    <row r="39" spans="1:193" x14ac:dyDescent="0.2">
      <c r="A39" s="19">
        <f t="shared" si="5"/>
        <v>2025</v>
      </c>
      <c r="B39" s="211">
        <f>ROUND($B$38*(1+$B$61)^(A39-$A$38),0)</f>
        <v>20400000</v>
      </c>
      <c r="C39" s="166">
        <f>-Flood_Travel_Time!J36</f>
        <v>106305.15999999999</v>
      </c>
      <c r="D39" s="211">
        <f>-Flood_Travel_Time!J9</f>
        <v>126019.20000000003</v>
      </c>
      <c r="E39" s="166">
        <f t="shared" ref="E39:E57" si="7">(C39+D39)*($B$62/12)</f>
        <v>77441.453333333338</v>
      </c>
      <c r="F39" s="211">
        <f t="shared" si="6"/>
        <v>20477441.453333333</v>
      </c>
      <c r="G39" s="257">
        <f t="shared" ref="G39:G57" si="8">$C$73</f>
        <v>0.5</v>
      </c>
      <c r="H39" s="211">
        <f t="shared" si="4"/>
        <v>99854945</v>
      </c>
      <c r="I39" s="257">
        <f t="shared" ref="I39:I57" si="9">$C$74</f>
        <v>0.5</v>
      </c>
      <c r="J39" s="260">
        <f ca="1">Flood_Safety!N13</f>
        <v>4528576.3295889338</v>
      </c>
      <c r="K39" s="260">
        <f ca="1">Flood_Env_Prot!I7+Flood_Env_Prot!J7</f>
        <v>944691.50438874657</v>
      </c>
      <c r="L39" s="166">
        <f t="shared" ref="L39:L57" ca="1" si="10">(F39*G39)+(H39*I39)+J39+K39</f>
        <v>65639461.060644351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GF39" s="18"/>
      <c r="GG39" s="18"/>
      <c r="GH39" s="18"/>
      <c r="GI39" s="18"/>
      <c r="GJ39" s="18"/>
      <c r="GK39" s="18"/>
    </row>
    <row r="40" spans="1:193" x14ac:dyDescent="0.2">
      <c r="A40" s="19">
        <f t="shared" si="5"/>
        <v>2026</v>
      </c>
      <c r="B40" s="211">
        <f t="shared" ref="B40:B57" si="11">ROUND($B$38*(1+$B$61)^(A40-$A$38),0)</f>
        <v>20808000</v>
      </c>
      <c r="C40" s="166">
        <f>-Flood_Travel_Time!J37</f>
        <v>106994.732</v>
      </c>
      <c r="D40" s="211">
        <f>-Flood_Travel_Time!J10</f>
        <v>126832.23000000001</v>
      </c>
      <c r="E40" s="166">
        <f t="shared" si="7"/>
        <v>77942.320666666667</v>
      </c>
      <c r="F40" s="211">
        <f t="shared" si="6"/>
        <v>20885942.320666667</v>
      </c>
      <c r="G40" s="257">
        <f t="shared" si="8"/>
        <v>0.5</v>
      </c>
      <c r="H40" s="211">
        <f t="shared" si="4"/>
        <v>101852044</v>
      </c>
      <c r="I40" s="257">
        <f t="shared" si="9"/>
        <v>0.5</v>
      </c>
      <c r="J40" s="260">
        <f ca="1">Flood_Safety!N14</f>
        <v>4692403.8638151567</v>
      </c>
      <c r="K40" s="260">
        <f ca="1">Flood_Env_Prot!I8+Flood_Env_Prot!J8</f>
        <v>986874.50252352585</v>
      </c>
      <c r="L40" s="166">
        <f t="shared" ca="1" si="10"/>
        <v>67048271.526672021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GF40" s="18"/>
      <c r="GG40" s="18"/>
      <c r="GH40" s="18"/>
      <c r="GI40" s="18"/>
      <c r="GJ40" s="18"/>
      <c r="GK40" s="18"/>
    </row>
    <row r="41" spans="1:193" x14ac:dyDescent="0.2">
      <c r="A41" s="19">
        <f t="shared" si="5"/>
        <v>2027</v>
      </c>
      <c r="B41" s="211">
        <f t="shared" si="11"/>
        <v>21224160</v>
      </c>
      <c r="C41" s="166">
        <f>-Flood_Travel_Time!J38</f>
        <v>107684.30399999999</v>
      </c>
      <c r="D41" s="211">
        <f>-Flood_Travel_Time!J11</f>
        <v>127658.16000000002</v>
      </c>
      <c r="E41" s="166">
        <f t="shared" si="7"/>
        <v>78447.487999999998</v>
      </c>
      <c r="F41" s="211">
        <f t="shared" si="6"/>
        <v>21302607.488000002</v>
      </c>
      <c r="G41" s="257">
        <f t="shared" si="8"/>
        <v>0.5</v>
      </c>
      <c r="H41" s="211">
        <f t="shared" si="4"/>
        <v>103889085</v>
      </c>
      <c r="I41" s="257">
        <f t="shared" si="9"/>
        <v>0.5</v>
      </c>
      <c r="J41" s="260">
        <f ca="1">Flood_Safety!N15</f>
        <v>4884209.9107026802</v>
      </c>
      <c r="K41" s="260">
        <f ca="1">Flood_Env_Prot!I9+Flood_Env_Prot!J9</f>
        <v>1052156.4953369412</v>
      </c>
      <c r="L41" s="166">
        <f t="shared" ca="1" si="10"/>
        <v>68532212.650039613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GF41" s="18"/>
      <c r="GG41" s="18"/>
      <c r="GH41" s="18"/>
      <c r="GI41" s="18"/>
      <c r="GJ41" s="18"/>
      <c r="GK41" s="18"/>
    </row>
    <row r="42" spans="1:193" x14ac:dyDescent="0.2">
      <c r="A42" s="19">
        <f t="shared" si="5"/>
        <v>2028</v>
      </c>
      <c r="B42" s="211">
        <f t="shared" si="11"/>
        <v>21648643</v>
      </c>
      <c r="C42" s="166">
        <f>-Flood_Travel_Time!J39</f>
        <v>108378.50400000002</v>
      </c>
      <c r="D42" s="211">
        <f>-Flood_Travel_Time!J12</f>
        <v>128463.66000000002</v>
      </c>
      <c r="E42" s="166">
        <f t="shared" si="7"/>
        <v>78947.388000000006</v>
      </c>
      <c r="F42" s="211">
        <f t="shared" si="6"/>
        <v>21727590.388</v>
      </c>
      <c r="G42" s="257">
        <f t="shared" si="8"/>
        <v>0.5</v>
      </c>
      <c r="H42" s="211">
        <f t="shared" si="4"/>
        <v>105966866</v>
      </c>
      <c r="I42" s="257">
        <f t="shared" si="9"/>
        <v>0.5</v>
      </c>
      <c r="J42" s="260">
        <f ca="1">Flood_Safety!N16</f>
        <v>5107210.9457143266</v>
      </c>
      <c r="K42" s="260">
        <f ca="1">Flood_Env_Prot!I10+Flood_Env_Prot!J10</f>
        <v>1109997.1188290189</v>
      </c>
      <c r="L42" s="166">
        <f t="shared" ca="1" si="10"/>
        <v>70064436.258543342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GF42" s="18"/>
      <c r="GG42" s="18"/>
      <c r="GH42" s="18"/>
      <c r="GI42" s="18"/>
      <c r="GJ42" s="18"/>
      <c r="GK42" s="18"/>
    </row>
    <row r="43" spans="1:193" x14ac:dyDescent="0.2">
      <c r="A43" s="19">
        <f t="shared" si="5"/>
        <v>2029</v>
      </c>
      <c r="B43" s="211">
        <f t="shared" si="11"/>
        <v>22081616</v>
      </c>
      <c r="C43" s="166">
        <f>-Flood_Travel_Time!J40</f>
        <v>109077.33200000001</v>
      </c>
      <c r="D43" s="211">
        <f>-Flood_Travel_Time!J13</f>
        <v>129300.33000000003</v>
      </c>
      <c r="E43" s="166">
        <f t="shared" si="7"/>
        <v>79459.220666666675</v>
      </c>
      <c r="F43" s="211">
        <f t="shared" si="6"/>
        <v>22161075.220666666</v>
      </c>
      <c r="G43" s="257">
        <f t="shared" si="8"/>
        <v>0.5</v>
      </c>
      <c r="H43" s="211">
        <f t="shared" si="4"/>
        <v>108086204</v>
      </c>
      <c r="I43" s="257">
        <f t="shared" si="9"/>
        <v>0.5</v>
      </c>
      <c r="J43" s="260">
        <f ca="1">Flood_Safety!N17</f>
        <v>5365258.8901676368</v>
      </c>
      <c r="K43" s="260">
        <f ca="1">Flood_Env_Prot!I11+Flood_Env_Prot!J11</f>
        <v>1175765.083964556</v>
      </c>
      <c r="L43" s="166">
        <f t="shared" ca="1" si="10"/>
        <v>71664663.584465519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GF43" s="18"/>
      <c r="GG43" s="18"/>
      <c r="GH43" s="18"/>
      <c r="GI43" s="18"/>
      <c r="GJ43" s="18"/>
      <c r="GK43" s="18"/>
    </row>
    <row r="44" spans="1:193" x14ac:dyDescent="0.2">
      <c r="A44" s="19">
        <f t="shared" si="5"/>
        <v>2030</v>
      </c>
      <c r="B44" s="211">
        <f t="shared" si="11"/>
        <v>22523248</v>
      </c>
      <c r="C44" s="166">
        <f>-Flood_Travel_Time!J41</f>
        <v>109785.41600000001</v>
      </c>
      <c r="D44" s="211">
        <f>-Flood_Travel_Time!J14</f>
        <v>130147.74</v>
      </c>
      <c r="E44" s="166">
        <f t="shared" si="7"/>
        <v>79977.718666666668</v>
      </c>
      <c r="F44" s="211">
        <f t="shared" si="6"/>
        <v>22603225.718666665</v>
      </c>
      <c r="G44" s="257">
        <f t="shared" si="8"/>
        <v>0.5</v>
      </c>
      <c r="H44" s="211">
        <f t="shared" si="4"/>
        <v>110247928</v>
      </c>
      <c r="I44" s="257">
        <f t="shared" si="9"/>
        <v>0.5</v>
      </c>
      <c r="J44" s="260">
        <f ca="1">Flood_Safety!N18</f>
        <v>5662952.7559118643</v>
      </c>
      <c r="K44" s="260">
        <f ca="1">Flood_Env_Prot!I12+Flood_Env_Prot!J12</f>
        <v>1266448.3249833421</v>
      </c>
      <c r="L44" s="166">
        <f t="shared" ca="1" si="10"/>
        <v>73354977.940228537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GF44" s="18"/>
      <c r="GG44" s="18"/>
      <c r="GH44" s="18"/>
      <c r="GI44" s="18"/>
      <c r="GJ44" s="18"/>
      <c r="GK44" s="18"/>
    </row>
    <row r="45" spans="1:193" x14ac:dyDescent="0.2">
      <c r="A45" s="19">
        <f t="shared" si="5"/>
        <v>2031</v>
      </c>
      <c r="B45" s="211">
        <f t="shared" si="11"/>
        <v>22973713</v>
      </c>
      <c r="C45" s="166">
        <f>-Flood_Travel_Time!J42</f>
        <v>110493.5</v>
      </c>
      <c r="D45" s="211">
        <f>-Flood_Travel_Time!J15</f>
        <v>130982.25</v>
      </c>
      <c r="E45" s="166">
        <f t="shared" si="7"/>
        <v>80491.916666666657</v>
      </c>
      <c r="F45" s="211">
        <f t="shared" si="6"/>
        <v>23054204.916666668</v>
      </c>
      <c r="G45" s="257">
        <f t="shared" si="8"/>
        <v>0.5</v>
      </c>
      <c r="H45" s="211">
        <f t="shared" si="4"/>
        <v>112452886</v>
      </c>
      <c r="I45" s="257">
        <f t="shared" si="9"/>
        <v>0.5</v>
      </c>
      <c r="J45" s="260">
        <f ca="1">Flood_Safety!N19</f>
        <v>6005775.5213478133</v>
      </c>
      <c r="K45" s="260">
        <f ca="1">Flood_Env_Prot!I13+Flood_Env_Prot!J13</f>
        <v>1339137.178149723</v>
      </c>
      <c r="L45" s="166">
        <f t="shared" ca="1" si="10"/>
        <v>75098458.157830864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GF45" s="18"/>
      <c r="GG45" s="18"/>
      <c r="GH45" s="18"/>
      <c r="GI45" s="18"/>
      <c r="GJ45" s="18"/>
      <c r="GK45" s="18"/>
    </row>
    <row r="46" spans="1:193" x14ac:dyDescent="0.2">
      <c r="A46" s="19">
        <f t="shared" si="5"/>
        <v>2032</v>
      </c>
      <c r="B46" s="211">
        <f t="shared" si="11"/>
        <v>23433188</v>
      </c>
      <c r="C46" s="166">
        <f>-Flood_Travel_Time!J43</f>
        <v>111206.21200000001</v>
      </c>
      <c r="D46" s="211">
        <f>-Flood_Travel_Time!J16</f>
        <v>131822.13</v>
      </c>
      <c r="E46" s="166">
        <f t="shared" si="7"/>
        <v>81009.44733333333</v>
      </c>
      <c r="F46" s="211">
        <f t="shared" si="6"/>
        <v>23514197.447333332</v>
      </c>
      <c r="G46" s="257">
        <f t="shared" si="8"/>
        <v>0.5</v>
      </c>
      <c r="H46" s="211">
        <f t="shared" si="4"/>
        <v>114701944</v>
      </c>
      <c r="I46" s="257">
        <f t="shared" si="9"/>
        <v>0.5</v>
      </c>
      <c r="J46" s="260">
        <f ca="1">Flood_Safety!N20</f>
        <v>6400261.8990122434</v>
      </c>
      <c r="K46" s="260">
        <f ca="1">Flood_Env_Prot!I14+Flood_Env_Prot!J14</f>
        <v>1422856.12957929</v>
      </c>
      <c r="L46" s="166">
        <f t="shared" ca="1" si="10"/>
        <v>76931188.752258196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GF46" s="18"/>
      <c r="GG46" s="18"/>
      <c r="GH46" s="18"/>
      <c r="GI46" s="18"/>
      <c r="GJ46" s="18"/>
      <c r="GK46" s="18"/>
    </row>
    <row r="47" spans="1:193" x14ac:dyDescent="0.2">
      <c r="A47" s="19">
        <f t="shared" si="5"/>
        <v>2033</v>
      </c>
      <c r="B47" s="211">
        <f t="shared" si="11"/>
        <v>23901851</v>
      </c>
      <c r="C47" s="166">
        <f>-Flood_Travel_Time!J44</f>
        <v>111923.552</v>
      </c>
      <c r="D47" s="211">
        <f>-Flood_Travel_Time!J17</f>
        <v>132680.28000000003</v>
      </c>
      <c r="E47" s="166">
        <f t="shared" si="7"/>
        <v>81534.610666666675</v>
      </c>
      <c r="F47" s="211">
        <f t="shared" si="6"/>
        <v>23983385.610666666</v>
      </c>
      <c r="G47" s="257">
        <f t="shared" si="8"/>
        <v>0.5</v>
      </c>
      <c r="H47" s="211">
        <f t="shared" si="4"/>
        <v>116995983</v>
      </c>
      <c r="I47" s="257">
        <f t="shared" si="9"/>
        <v>0.5</v>
      </c>
      <c r="J47" s="260">
        <f ca="1">Flood_Safety!N21</f>
        <v>6854204.1071813358</v>
      </c>
      <c r="K47" s="260">
        <f ca="1">Flood_Env_Prot!I15+Flood_Env_Prot!J15</f>
        <v>1519229.8328818614</v>
      </c>
      <c r="L47" s="166">
        <f t="shared" ca="1" si="10"/>
        <v>78863118.24539654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GF47" s="18"/>
      <c r="GG47" s="18"/>
      <c r="GH47" s="18"/>
      <c r="GI47" s="18"/>
      <c r="GJ47" s="18"/>
      <c r="GK47" s="18"/>
    </row>
    <row r="48" spans="1:193" x14ac:dyDescent="0.2">
      <c r="A48" s="19">
        <f t="shared" si="5"/>
        <v>2034</v>
      </c>
      <c r="B48" s="211">
        <f t="shared" si="11"/>
        <v>24379888</v>
      </c>
      <c r="C48" s="166">
        <f>-Flood_Travel_Time!J45</f>
        <v>112645.51999999999</v>
      </c>
      <c r="D48" s="211">
        <f>-Flood_Travel_Time!J18</f>
        <v>133530.90000000002</v>
      </c>
      <c r="E48" s="166">
        <f t="shared" si="7"/>
        <v>82058.806666666671</v>
      </c>
      <c r="F48" s="211">
        <f t="shared" si="6"/>
        <v>24461946.806666669</v>
      </c>
      <c r="G48" s="257">
        <f t="shared" si="8"/>
        <v>0.5</v>
      </c>
      <c r="H48" s="211">
        <f t="shared" si="4"/>
        <v>119335902</v>
      </c>
      <c r="I48" s="257">
        <f t="shared" si="9"/>
        <v>0.5</v>
      </c>
      <c r="J48" s="260">
        <f ca="1">Flood_Safety!N22</f>
        <v>7376904.5946191419</v>
      </c>
      <c r="K48" s="260">
        <f ca="1">Flood_Env_Prot!I16+Flood_Env_Prot!J16</f>
        <v>1625353.032466921</v>
      </c>
      <c r="L48" s="166">
        <f t="shared" ca="1" si="10"/>
        <v>80901182.030419394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GF48" s="18"/>
      <c r="GG48" s="18"/>
      <c r="GH48" s="18"/>
      <c r="GI48" s="18"/>
      <c r="GJ48" s="18"/>
      <c r="GK48" s="18"/>
    </row>
    <row r="49" spans="1:193" x14ac:dyDescent="0.2">
      <c r="A49" s="19">
        <f t="shared" si="5"/>
        <v>2035</v>
      </c>
      <c r="B49" s="211">
        <f t="shared" si="11"/>
        <v>24867486</v>
      </c>
      <c r="C49" s="166">
        <f>-Flood_Travel_Time!J46</f>
        <v>113376.74400000001</v>
      </c>
      <c r="D49" s="211">
        <f>-Flood_Travel_Time!J19</f>
        <v>134405.16</v>
      </c>
      <c r="E49" s="166">
        <f t="shared" si="7"/>
        <v>82593.967999999993</v>
      </c>
      <c r="F49" s="211">
        <f t="shared" si="6"/>
        <v>24950079.967999998</v>
      </c>
      <c r="G49" s="257">
        <f t="shared" si="8"/>
        <v>0.5</v>
      </c>
      <c r="H49" s="211">
        <f t="shared" si="4"/>
        <v>121722620</v>
      </c>
      <c r="I49" s="257">
        <f t="shared" si="9"/>
        <v>0.5</v>
      </c>
      <c r="J49" s="260">
        <f ca="1">Flood_Safety!N23</f>
        <v>7979486.9992877673</v>
      </c>
      <c r="K49" s="260">
        <f ca="1">Flood_Env_Prot!I17+Flood_Env_Prot!J17</f>
        <v>1752830.7644997088</v>
      </c>
      <c r="L49" s="166">
        <f t="shared" ca="1" si="10"/>
        <v>83068667.747787476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GF49" s="18"/>
      <c r="GG49" s="18"/>
      <c r="GH49" s="18"/>
      <c r="GI49" s="18"/>
      <c r="GJ49" s="18"/>
      <c r="GK49" s="18"/>
    </row>
    <row r="50" spans="1:193" x14ac:dyDescent="0.2">
      <c r="A50" s="19">
        <f t="shared" si="5"/>
        <v>2036</v>
      </c>
      <c r="B50" s="211">
        <f t="shared" si="11"/>
        <v>25364836</v>
      </c>
      <c r="C50" s="166">
        <f>-Flood_Travel_Time!J47</f>
        <v>114107.96799999999</v>
      </c>
      <c r="D50" s="211">
        <f>-Flood_Travel_Time!J20</f>
        <v>135266.52000000002</v>
      </c>
      <c r="E50" s="166">
        <f t="shared" si="7"/>
        <v>83124.829333333328</v>
      </c>
      <c r="F50" s="211">
        <f t="shared" si="6"/>
        <v>25447960.829333335</v>
      </c>
      <c r="G50" s="257">
        <f t="shared" si="8"/>
        <v>0.5</v>
      </c>
      <c r="H50" s="211">
        <f t="shared" si="4"/>
        <v>124157073</v>
      </c>
      <c r="I50" s="257">
        <f t="shared" si="9"/>
        <v>0.5</v>
      </c>
      <c r="J50" s="260">
        <f ca="1">Flood_Safety!N24</f>
        <v>8675279.5923009906</v>
      </c>
      <c r="K50" s="260">
        <f ca="1">Flood_Env_Prot!I18+Flood_Env_Prot!J18</f>
        <v>1899923.7059903475</v>
      </c>
      <c r="L50" s="166">
        <f t="shared" ca="1" si="10"/>
        <v>85377720.212958008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GF50" s="18"/>
      <c r="GG50" s="18"/>
      <c r="GH50" s="18"/>
      <c r="GI50" s="18"/>
      <c r="GJ50" s="18"/>
      <c r="GK50" s="18"/>
    </row>
    <row r="51" spans="1:193" x14ac:dyDescent="0.2">
      <c r="A51" s="19">
        <f t="shared" si="5"/>
        <v>2037</v>
      </c>
      <c r="B51" s="211">
        <f t="shared" si="11"/>
        <v>25872133</v>
      </c>
      <c r="C51" s="166">
        <f>-Flood_Travel_Time!J48</f>
        <v>114843.81999999999</v>
      </c>
      <c r="D51" s="211">
        <f>-Flood_Travel_Time!J21</f>
        <v>136133.25000000003</v>
      </c>
      <c r="E51" s="166">
        <f t="shared" si="7"/>
        <v>83659.023333333331</v>
      </c>
      <c r="F51" s="211">
        <f t="shared" si="6"/>
        <v>25955792.023333333</v>
      </c>
      <c r="G51" s="257">
        <f t="shared" si="8"/>
        <v>0.5</v>
      </c>
      <c r="H51" s="211">
        <f t="shared" si="4"/>
        <v>126640214</v>
      </c>
      <c r="I51" s="257">
        <f t="shared" si="9"/>
        <v>0.5</v>
      </c>
      <c r="J51" s="260">
        <f ca="1">Flood_Safety!N25</f>
        <v>9480289.2551305871</v>
      </c>
      <c r="K51" s="260">
        <f ca="1">Flood_Env_Prot!I19+Flood_Env_Prot!J19</f>
        <v>2069942.1454082744</v>
      </c>
      <c r="L51" s="166">
        <f t="shared" ca="1" si="10"/>
        <v>87848234.412205532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GF51" s="18"/>
      <c r="GG51" s="18"/>
      <c r="GH51" s="18"/>
      <c r="GI51" s="18"/>
      <c r="GJ51" s="18"/>
      <c r="GK51" s="18"/>
    </row>
    <row r="52" spans="1:193" x14ac:dyDescent="0.2">
      <c r="A52" s="19">
        <f t="shared" si="5"/>
        <v>2038</v>
      </c>
      <c r="B52" s="211">
        <f t="shared" si="11"/>
        <v>26389575</v>
      </c>
      <c r="C52" s="166">
        <f>-Flood_Travel_Time!J49</f>
        <v>115584.29999999997</v>
      </c>
      <c r="D52" s="211">
        <f>-Flood_Travel_Time!J22</f>
        <v>137018.25</v>
      </c>
      <c r="E52" s="166">
        <f t="shared" si="7"/>
        <v>84200.849999999991</v>
      </c>
      <c r="F52" s="211">
        <f t="shared" si="6"/>
        <v>26473775.850000001</v>
      </c>
      <c r="G52" s="257">
        <f t="shared" si="8"/>
        <v>0.5</v>
      </c>
      <c r="H52" s="211">
        <f t="shared" si="4"/>
        <v>129173019</v>
      </c>
      <c r="I52" s="257">
        <f t="shared" si="9"/>
        <v>0.5</v>
      </c>
      <c r="J52" s="260">
        <f ca="1">Flood_Safety!N26</f>
        <v>10413788.90635474</v>
      </c>
      <c r="K52" s="260">
        <f ca="1">Flood_Env_Prot!I20+Flood_Env_Prot!J20</f>
        <v>2266865.0807586797</v>
      </c>
      <c r="L52" s="166">
        <f t="shared" ca="1" si="10"/>
        <v>90504051.412113413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GF52" s="18"/>
      <c r="GG52" s="18"/>
      <c r="GH52" s="18"/>
      <c r="GI52" s="18"/>
      <c r="GJ52" s="18"/>
      <c r="GK52" s="18"/>
    </row>
    <row r="53" spans="1:193" x14ac:dyDescent="0.2">
      <c r="A53" s="19">
        <f t="shared" si="5"/>
        <v>2039</v>
      </c>
      <c r="B53" s="211">
        <f t="shared" si="11"/>
        <v>26917367</v>
      </c>
      <c r="C53" s="166">
        <f>-Flood_Travel_Time!J50</f>
        <v>116334.03600000001</v>
      </c>
      <c r="D53" s="211">
        <f>-Flood_Travel_Time!J23</f>
        <v>137901.09</v>
      </c>
      <c r="E53" s="166">
        <f t="shared" si="7"/>
        <v>84745.041999999987</v>
      </c>
      <c r="F53" s="211">
        <f t="shared" si="6"/>
        <v>27002112.041999999</v>
      </c>
      <c r="G53" s="257">
        <f t="shared" si="8"/>
        <v>0.5</v>
      </c>
      <c r="H53" s="211">
        <f t="shared" si="4"/>
        <v>131756479</v>
      </c>
      <c r="I53" s="257">
        <f t="shared" si="9"/>
        <v>0.5</v>
      </c>
      <c r="J53" s="260">
        <f ca="1">Flood_Safety!N27</f>
        <v>11499047.555958318</v>
      </c>
      <c r="K53" s="260">
        <f ca="1">Flood_Env_Prot!I21+Flood_Env_Prot!J21</f>
        <v>2495487.8916437835</v>
      </c>
      <c r="L53" s="166">
        <f t="shared" ca="1" si="10"/>
        <v>93373830.968602091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GF53" s="18"/>
      <c r="GG53" s="18"/>
      <c r="GH53" s="18"/>
      <c r="GI53" s="18"/>
      <c r="GJ53" s="18"/>
      <c r="GK53" s="18"/>
    </row>
    <row r="54" spans="1:193" x14ac:dyDescent="0.2">
      <c r="A54" s="19">
        <f t="shared" si="5"/>
        <v>2040</v>
      </c>
      <c r="B54" s="211">
        <f t="shared" si="11"/>
        <v>27455714</v>
      </c>
      <c r="C54" s="166">
        <f>-Flood_Travel_Time!J51</f>
        <v>117083.77200000001</v>
      </c>
      <c r="D54" s="211">
        <f>-Flood_Travel_Time!J24</f>
        <v>138796.82999999999</v>
      </c>
      <c r="E54" s="166">
        <f t="shared" si="7"/>
        <v>85293.534</v>
      </c>
      <c r="F54" s="211">
        <f t="shared" si="6"/>
        <v>27541007.534000002</v>
      </c>
      <c r="G54" s="257">
        <f t="shared" si="8"/>
        <v>0.5</v>
      </c>
      <c r="H54" s="211">
        <f t="shared" si="4"/>
        <v>134391609</v>
      </c>
      <c r="I54" s="257">
        <f t="shared" si="9"/>
        <v>0.5</v>
      </c>
      <c r="J54" s="260">
        <f ca="1">Flood_Safety!N28</f>
        <v>12764240.244029243</v>
      </c>
      <c r="K54" s="260">
        <f ca="1">Flood_Env_Prot!I22+Flood_Env_Prot!J22</f>
        <v>2761606.045372013</v>
      </c>
      <c r="L54" s="166">
        <f t="shared" ca="1" si="10"/>
        <v>96492154.556401253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GF54" s="18"/>
      <c r="GG54" s="18"/>
      <c r="GH54" s="18"/>
      <c r="GI54" s="18"/>
      <c r="GJ54" s="18"/>
      <c r="GK54" s="18"/>
    </row>
    <row r="55" spans="1:193" x14ac:dyDescent="0.2">
      <c r="A55" s="19">
        <f t="shared" si="5"/>
        <v>2041</v>
      </c>
      <c r="B55" s="211">
        <f t="shared" si="11"/>
        <v>28004828</v>
      </c>
      <c r="C55" s="166">
        <f>-Flood_Travel_Time!J52</f>
        <v>117838.13600000001</v>
      </c>
      <c r="D55" s="211">
        <f>-Flood_Travel_Time!J25</f>
        <v>139685.04000000004</v>
      </c>
      <c r="E55" s="166">
        <f t="shared" si="7"/>
        <v>85841.058666666679</v>
      </c>
      <c r="F55" s="211">
        <f t="shared" si="6"/>
        <v>28090669.058666665</v>
      </c>
      <c r="G55" s="257">
        <f t="shared" si="8"/>
        <v>0.5</v>
      </c>
      <c r="H55" s="211">
        <f t="shared" si="4"/>
        <v>137079441</v>
      </c>
      <c r="I55" s="257">
        <f t="shared" si="9"/>
        <v>0.5</v>
      </c>
      <c r="J55" s="260">
        <f ca="1">Flood_Safety!N29</f>
        <v>14243585.575959813</v>
      </c>
      <c r="K55" s="260">
        <f ca="1">Flood_Env_Prot!I23+Flood_Env_Prot!J23</f>
        <v>3072244.2994703506</v>
      </c>
      <c r="L55" s="166">
        <f t="shared" ca="1" si="10"/>
        <v>99900884.904763505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GF55" s="18"/>
      <c r="GG55" s="18"/>
      <c r="GH55" s="18"/>
      <c r="GI55" s="18"/>
      <c r="GJ55" s="18"/>
      <c r="GK55" s="18"/>
    </row>
    <row r="56" spans="1:193" x14ac:dyDescent="0.2">
      <c r="A56" s="19">
        <f t="shared" si="5"/>
        <v>2042</v>
      </c>
      <c r="B56" s="211">
        <f t="shared" si="11"/>
        <v>28564925</v>
      </c>
      <c r="C56" s="166">
        <f>-Flood_Travel_Time!J53</f>
        <v>118601.75600000001</v>
      </c>
      <c r="D56" s="211">
        <f>-Flood_Travel_Time!J26</f>
        <v>140596.89000000001</v>
      </c>
      <c r="E56" s="166">
        <f t="shared" si="7"/>
        <v>86399.548666666669</v>
      </c>
      <c r="F56" s="211">
        <f t="shared" si="6"/>
        <v>28651324.548666667</v>
      </c>
      <c r="G56" s="257">
        <f t="shared" si="8"/>
        <v>0.5</v>
      </c>
      <c r="H56" s="211">
        <f t="shared" si="4"/>
        <v>139821030</v>
      </c>
      <c r="I56" s="257">
        <f t="shared" si="9"/>
        <v>0.5</v>
      </c>
      <c r="J56" s="260">
        <f ca="1">Flood_Safety!N30</f>
        <v>15978772.138551326</v>
      </c>
      <c r="K56" s="260">
        <f ca="1">Flood_Env_Prot!I24+Flood_Env_Prot!J24</f>
        <v>3425454.0624837521</v>
      </c>
      <c r="L56" s="166">
        <f t="shared" ca="1" si="10"/>
        <v>103640403.47536841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GF56" s="18"/>
      <c r="GG56" s="18"/>
      <c r="GH56" s="18"/>
      <c r="GI56" s="18"/>
      <c r="GJ56" s="18"/>
      <c r="GK56" s="18"/>
    </row>
    <row r="57" spans="1:193" ht="13.5" thickBot="1" x14ac:dyDescent="0.25">
      <c r="A57" s="459">
        <f t="shared" si="5"/>
        <v>2043</v>
      </c>
      <c r="B57" s="460">
        <f t="shared" si="11"/>
        <v>29136223</v>
      </c>
      <c r="C57" s="461">
        <f>-Flood_Travel_Time!J54</f>
        <v>119365.37600000003</v>
      </c>
      <c r="D57" s="460">
        <f>-Flood_Travel_Time!J27</f>
        <v>141508.74000000002</v>
      </c>
      <c r="E57" s="461">
        <f t="shared" si="7"/>
        <v>86958.038666666675</v>
      </c>
      <c r="F57" s="460">
        <f t="shared" si="6"/>
        <v>29223181.038666666</v>
      </c>
      <c r="G57" s="462">
        <f t="shared" si="8"/>
        <v>0.5</v>
      </c>
      <c r="H57" s="460">
        <f t="shared" si="4"/>
        <v>142617450</v>
      </c>
      <c r="I57" s="462">
        <f t="shared" si="9"/>
        <v>0.5</v>
      </c>
      <c r="J57" s="463">
        <f ca="1">Flood_Safety!N31</f>
        <v>18020752.754305985</v>
      </c>
      <c r="K57" s="464">
        <f ca="1">Flood_Env_Prot!I25+Flood_Env_Prot!J25</f>
        <v>3851290.9280522442</v>
      </c>
      <c r="L57" s="252">
        <f t="shared" ca="1" si="10"/>
        <v>107792359.20169157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GF57" s="18"/>
      <c r="GG57" s="18"/>
      <c r="GH57" s="18"/>
      <c r="GI57" s="18"/>
      <c r="GJ57" s="18"/>
      <c r="GK57" s="18"/>
    </row>
    <row r="58" spans="1:193" ht="13.5" thickTop="1" x14ac:dyDescent="0.2">
      <c r="A58" s="538" t="s">
        <v>360</v>
      </c>
      <c r="B58" s="539"/>
      <c r="C58" s="539"/>
      <c r="D58" s="539"/>
      <c r="E58" s="539"/>
      <c r="F58" s="539"/>
      <c r="G58" s="539"/>
      <c r="H58" s="539"/>
      <c r="I58" s="539"/>
      <c r="J58" s="539"/>
      <c r="K58" s="540"/>
      <c r="L58" s="254">
        <f ca="1">SUM(L38:L57)</f>
        <v>1640382347.7160921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GF58" s="18"/>
      <c r="GG58" s="18"/>
      <c r="GH58" s="18"/>
      <c r="GI58" s="18"/>
      <c r="GJ58" s="18"/>
      <c r="GK58" s="18"/>
    </row>
    <row r="59" spans="1:193" x14ac:dyDescent="0.2">
      <c r="A59" s="255"/>
      <c r="B59" s="255"/>
      <c r="C59" s="255"/>
      <c r="D59" s="256"/>
      <c r="E59" s="256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193" ht="15.75" x14ac:dyDescent="0.2">
      <c r="A60" s="511" t="s">
        <v>361</v>
      </c>
      <c r="B60" s="511"/>
      <c r="C60" s="255"/>
      <c r="D60" s="256"/>
      <c r="E60" s="25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193" x14ac:dyDescent="0.2">
      <c r="A61" s="261" t="s">
        <v>362</v>
      </c>
      <c r="B61" s="465">
        <v>0.02</v>
      </c>
      <c r="C61" s="255"/>
      <c r="D61" s="256"/>
      <c r="E61" s="25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193" x14ac:dyDescent="0.2">
      <c r="A62" s="261" t="s">
        <v>363</v>
      </c>
      <c r="B62" s="466">
        <v>4</v>
      </c>
      <c r="C62" s="255"/>
      <c r="D62" s="256"/>
      <c r="E62" s="256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193" x14ac:dyDescent="0.2">
      <c r="A63" s="262" t="s">
        <v>364</v>
      </c>
      <c r="B63" s="466">
        <v>2</v>
      </c>
      <c r="C63" s="255"/>
      <c r="D63" s="256"/>
      <c r="E63" s="256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193" ht="13.9" customHeight="1" x14ac:dyDescent="0.2">
      <c r="A64" s="262" t="s">
        <v>408</v>
      </c>
      <c r="B64" s="466">
        <f>(B62*C73)+(B63*C74)</f>
        <v>3</v>
      </c>
      <c r="C64" s="255"/>
      <c r="D64" s="256"/>
      <c r="E64" s="256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15.75" x14ac:dyDescent="0.2">
      <c r="A66" s="511" t="s">
        <v>297</v>
      </c>
      <c r="B66" s="51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x14ac:dyDescent="0.2">
      <c r="A67" s="261" t="s">
        <v>295</v>
      </c>
      <c r="B67" s="465">
        <v>0.01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x14ac:dyDescent="0.2">
      <c r="A68" s="261" t="s">
        <v>296</v>
      </c>
      <c r="B68" s="467">
        <v>0.01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25.5" x14ac:dyDescent="0.2">
      <c r="A69" s="262" t="s">
        <v>309</v>
      </c>
      <c r="B69" s="468">
        <v>1E-4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5.75" x14ac:dyDescent="0.2">
      <c r="A71" s="511" t="s">
        <v>365</v>
      </c>
      <c r="B71" s="511"/>
      <c r="C71" s="511"/>
      <c r="D71" s="511"/>
      <c r="E71" s="511"/>
      <c r="F71" s="511"/>
      <c r="G71" s="511"/>
      <c r="H71" s="511"/>
      <c r="I71" s="51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3.15" customHeight="1" thickBot="1" x14ac:dyDescent="0.25">
      <c r="A72" s="233" t="s">
        <v>298</v>
      </c>
      <c r="B72" s="233" t="s">
        <v>300</v>
      </c>
      <c r="C72" s="233" t="s">
        <v>303</v>
      </c>
      <c r="D72" s="536" t="s">
        <v>306</v>
      </c>
      <c r="E72" s="536"/>
      <c r="F72" s="536"/>
      <c r="G72" s="536"/>
      <c r="H72" s="536"/>
      <c r="I72" s="53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17.45" customHeight="1" thickTop="1" x14ac:dyDescent="0.2">
      <c r="A73" s="52" t="s">
        <v>299</v>
      </c>
      <c r="B73" s="469">
        <v>20000000</v>
      </c>
      <c r="C73" s="470">
        <v>0.5</v>
      </c>
      <c r="D73" s="537" t="s">
        <v>366</v>
      </c>
      <c r="E73" s="537"/>
      <c r="F73" s="537"/>
      <c r="G73" s="537"/>
      <c r="H73" s="537"/>
      <c r="I73" s="53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5" customHeight="1" x14ac:dyDescent="0.2">
      <c r="A74" s="261" t="s">
        <v>301</v>
      </c>
      <c r="B74" s="471">
        <f>SUM(B88:F88)*2/6*1000000</f>
        <v>88668333.333333343</v>
      </c>
      <c r="C74" s="472">
        <f>0.5*1</f>
        <v>0.5</v>
      </c>
      <c r="D74" s="528" t="s">
        <v>367</v>
      </c>
      <c r="E74" s="528"/>
      <c r="F74" s="528"/>
      <c r="G74" s="528"/>
      <c r="H74" s="528"/>
      <c r="I74" s="52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x14ac:dyDescent="0.2">
      <c r="A75" s="529" t="s">
        <v>368</v>
      </c>
      <c r="B75" s="530"/>
      <c r="C75" s="530"/>
      <c r="D75" s="530"/>
      <c r="E75" s="530"/>
      <c r="F75" s="530"/>
      <c r="G75" s="530"/>
      <c r="H75" s="530"/>
      <c r="I75" s="53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13.9" customHeight="1" x14ac:dyDescent="0.2">
      <c r="A77" s="532" t="s">
        <v>310</v>
      </c>
      <c r="B77" s="532"/>
      <c r="C77" s="532"/>
      <c r="D77" s="532"/>
      <c r="E77" s="532"/>
      <c r="F77" s="53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x14ac:dyDescent="0.2">
      <c r="A78" s="488" t="s">
        <v>307</v>
      </c>
      <c r="B78" s="518" t="s">
        <v>184</v>
      </c>
      <c r="C78" s="523"/>
      <c r="D78" s="519"/>
      <c r="E78" s="246" t="s">
        <v>90</v>
      </c>
      <c r="F78" s="246" t="s">
        <v>91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x14ac:dyDescent="0.2">
      <c r="A79" s="517"/>
      <c r="B79" s="246" t="s">
        <v>185</v>
      </c>
      <c r="C79" s="246" t="s">
        <v>186</v>
      </c>
      <c r="D79" s="246" t="s">
        <v>187</v>
      </c>
      <c r="E79" s="246" t="s">
        <v>62</v>
      </c>
      <c r="F79" s="246" t="s">
        <v>62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x14ac:dyDescent="0.2">
      <c r="A80" s="54" t="s">
        <v>179</v>
      </c>
      <c r="B80" s="220">
        <v>2.2000000000000002</v>
      </c>
      <c r="C80" s="264">
        <v>0.5</v>
      </c>
      <c r="D80" s="183"/>
      <c r="E80" s="265">
        <v>57</v>
      </c>
      <c r="F80" s="182">
        <f>0.05+0.15+3+1</f>
        <v>4.2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x14ac:dyDescent="0.2">
      <c r="A81" s="68" t="s">
        <v>180</v>
      </c>
      <c r="B81" s="221">
        <v>4.2</v>
      </c>
      <c r="C81" s="266">
        <v>1.2</v>
      </c>
      <c r="D81" s="267"/>
      <c r="E81" s="268">
        <v>100</v>
      </c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x14ac:dyDescent="0.2">
      <c r="A82" s="180" t="s">
        <v>188</v>
      </c>
      <c r="B82" s="222"/>
      <c r="C82" s="269"/>
      <c r="D82" s="270">
        <v>4.0199999999999996</v>
      </c>
      <c r="E82" s="271">
        <v>31</v>
      </c>
      <c r="F82" s="181">
        <v>25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x14ac:dyDescent="0.2">
      <c r="A83" s="179" t="s">
        <v>181</v>
      </c>
      <c r="B83" s="222">
        <v>0</v>
      </c>
      <c r="C83" s="269" t="s">
        <v>53</v>
      </c>
      <c r="D83" s="272"/>
      <c r="E83" s="271">
        <v>11</v>
      </c>
      <c r="F83" s="181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x14ac:dyDescent="0.2">
      <c r="A84" s="180" t="s">
        <v>182</v>
      </c>
      <c r="B84" s="222"/>
      <c r="C84" s="269">
        <v>0</v>
      </c>
      <c r="D84" s="272"/>
      <c r="E84" s="271" t="s">
        <v>53</v>
      </c>
      <c r="F84" s="181"/>
      <c r="G84" s="39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39" x14ac:dyDescent="0.2">
      <c r="A85" s="180" t="s">
        <v>189</v>
      </c>
      <c r="B85" s="222">
        <v>8.5000000000000006E-2</v>
      </c>
      <c r="C85" s="269"/>
      <c r="D85" s="272"/>
      <c r="E85" s="271"/>
      <c r="F85" s="181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ht="13.5" thickBot="1" x14ac:dyDescent="0.25">
      <c r="A86" s="273" t="s">
        <v>183</v>
      </c>
      <c r="B86" s="274">
        <v>7.6</v>
      </c>
      <c r="C86" s="275"/>
      <c r="D86" s="276"/>
      <c r="E86" s="277">
        <v>18</v>
      </c>
      <c r="F86" s="27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:39" ht="13.5" thickTop="1" x14ac:dyDescent="0.2">
      <c r="A87" s="279" t="s">
        <v>190</v>
      </c>
      <c r="B87" s="280">
        <f>SUM(B80:B86)</f>
        <v>14.085000000000001</v>
      </c>
      <c r="C87" s="281">
        <f t="shared" ref="C87:F87" si="12">SUM(C80:C86)</f>
        <v>1.7</v>
      </c>
      <c r="D87" s="280">
        <f t="shared" si="12"/>
        <v>4.0199999999999996</v>
      </c>
      <c r="E87" s="281">
        <f t="shared" si="12"/>
        <v>217</v>
      </c>
      <c r="F87" s="280">
        <f t="shared" si="12"/>
        <v>29.2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16.5" x14ac:dyDescent="0.3">
      <c r="A88" s="282" t="s">
        <v>191</v>
      </c>
      <c r="B88" s="533">
        <f>SUM(B87:D87)</f>
        <v>19.805</v>
      </c>
      <c r="C88" s="534"/>
      <c r="D88" s="535"/>
      <c r="E88" s="283">
        <f>SUM(E87:E87)</f>
        <v>217</v>
      </c>
      <c r="F88" s="223">
        <f>SUM(F87:F87)</f>
        <v>29.2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:39" x14ac:dyDescent="0.2">
      <c r="A89" s="524" t="s">
        <v>368</v>
      </c>
      <c r="B89" s="524"/>
      <c r="C89" s="524"/>
      <c r="D89" s="524"/>
      <c r="E89" s="524"/>
      <c r="F89" s="52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:39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:39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x14ac:dyDescent="0.2">
      <c r="A94" s="18" t="s">
        <v>193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1:39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1:39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39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:39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39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39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1:39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39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</row>
    <row r="109" spans="1:39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</row>
    <row r="110" spans="1:39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</row>
    <row r="111" spans="1:39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</row>
    <row r="112" spans="1:39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</row>
    <row r="113" spans="1:39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</row>
    <row r="114" spans="1:39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</row>
    <row r="115" spans="1:39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</row>
    <row r="116" spans="1:39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</row>
    <row r="117" spans="1:39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39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</row>
    <row r="119" spans="1:39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  <row r="120" spans="1:39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</row>
    <row r="121" spans="1:39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</row>
    <row r="122" spans="1:39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</row>
    <row r="123" spans="1:39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</row>
    <row r="124" spans="1:39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</row>
    <row r="125" spans="1:39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</row>
    <row r="126" spans="1:39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</row>
    <row r="127" spans="1:39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</row>
    <row r="128" spans="1:39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</row>
    <row r="129" spans="1:39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</row>
    <row r="130" spans="1:39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39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</row>
    <row r="132" spans="1:39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39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</row>
    <row r="135" spans="1:39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</row>
    <row r="136" spans="1:39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</row>
    <row r="137" spans="1:39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</row>
    <row r="138" spans="1:39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</row>
    <row r="139" spans="1:39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</row>
    <row r="140" spans="1:39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</row>
    <row r="141" spans="1:39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</row>
    <row r="142" spans="1:39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</row>
    <row r="143" spans="1:39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39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</row>
    <row r="145" spans="1:39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</row>
    <row r="146" spans="1:39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</row>
    <row r="147" spans="1:39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</row>
    <row r="148" spans="1:39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</row>
    <row r="149" spans="1:39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</row>
    <row r="150" spans="1:39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</row>
    <row r="151" spans="1:39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</row>
    <row r="152" spans="1:39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</row>
    <row r="153" spans="1:39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</row>
    <row r="154" spans="1:39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</row>
    <row r="155" spans="1:39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</row>
    <row r="156" spans="1:39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1:39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</row>
    <row r="158" spans="1:39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</row>
    <row r="159" spans="1:39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</row>
    <row r="160" spans="1:39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</row>
    <row r="161" spans="1:39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</row>
    <row r="162" spans="1:39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</row>
    <row r="163" spans="1:39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</row>
    <row r="164" spans="1:39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</row>
    <row r="165" spans="1:39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</row>
    <row r="166" spans="1:39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</row>
    <row r="167" spans="1:39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</row>
    <row r="168" spans="1:39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69" spans="1:39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</row>
    <row r="170" spans="1:39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</row>
    <row r="171" spans="1:39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</row>
    <row r="172" spans="1:39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</row>
    <row r="173" spans="1:39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</row>
    <row r="174" spans="1:39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</row>
    <row r="175" spans="1:39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39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</row>
    <row r="177" spans="1:39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</row>
    <row r="178" spans="1:39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1:39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39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1:39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39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39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1:39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1:39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1:39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1:39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1:39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1:39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1:39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1:39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1:39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1:39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1:39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1:39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:39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:39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1:39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:39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1:39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:39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1:39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:39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1:39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1:39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1:39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</row>
    <row r="221" spans="1:39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39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1:39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1:39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1:39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1:39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</row>
    <row r="227" spans="1:39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1:39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</row>
    <row r="229" spans="1:39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</row>
    <row r="230" spans="1:39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</row>
    <row r="231" spans="1:39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</row>
    <row r="232" spans="1:39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</row>
    <row r="233" spans="1:39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</row>
    <row r="234" spans="1:39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1:39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</row>
    <row r="236" spans="1:39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</row>
    <row r="237" spans="1:39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</row>
    <row r="238" spans="1:39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</row>
    <row r="239" spans="1:39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</row>
    <row r="240" spans="1:39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</row>
    <row r="241" spans="1:39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</row>
    <row r="242" spans="1:39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</row>
    <row r="243" spans="1:39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</row>
    <row r="244" spans="1:39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</row>
    <row r="245" spans="1:39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</row>
    <row r="246" spans="1:39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1:39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39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1:39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1:39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1:39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1:39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1:39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1:39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1:39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1:39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1:39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1:39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1:39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1:39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1:39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1:39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1:39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1:39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1:39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1:39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  <row r="279" spans="1:39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1:39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</row>
    <row r="281" spans="1:39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</row>
    <row r="282" spans="1:39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1:39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</row>
    <row r="284" spans="1:39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</row>
    <row r="285" spans="1:39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</row>
    <row r="286" spans="1:39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39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</row>
    <row r="288" spans="1:39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</row>
    <row r="289" spans="1:39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</row>
    <row r="290" spans="1:39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</row>
    <row r="291" spans="1:39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</row>
    <row r="292" spans="1:39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</row>
    <row r="293" spans="1:39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</row>
    <row r="294" spans="1:39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</row>
    <row r="295" spans="1:39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</row>
    <row r="296" spans="1:39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</row>
    <row r="297" spans="1:39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</row>
    <row r="298" spans="1:39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</row>
    <row r="299" spans="1:39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39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</row>
    <row r="301" spans="1:39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</row>
    <row r="302" spans="1:39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</row>
    <row r="303" spans="1:39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</row>
    <row r="304" spans="1:39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</row>
    <row r="305" spans="1:39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</row>
    <row r="306" spans="1:39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</row>
    <row r="307" spans="1:39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</row>
    <row r="308" spans="1:39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</row>
    <row r="309" spans="1:39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</row>
    <row r="310" spans="1:39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</row>
    <row r="311" spans="1:39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</row>
    <row r="312" spans="1:39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1:39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</row>
    <row r="314" spans="1:39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</row>
    <row r="315" spans="1:39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</row>
    <row r="316" spans="1:39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</row>
    <row r="317" spans="1:39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</row>
    <row r="318" spans="1:39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</row>
    <row r="319" spans="1:39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</row>
    <row r="320" spans="1:39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</row>
    <row r="321" spans="1:39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</row>
    <row r="322" spans="1:39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</row>
    <row r="323" spans="1:39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</row>
    <row r="324" spans="1:39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</row>
    <row r="325" spans="1:39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</row>
    <row r="326" spans="1:39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</row>
    <row r="327" spans="1:39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</row>
    <row r="328" spans="1:39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</row>
    <row r="329" spans="1:39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</row>
    <row r="330" spans="1:39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</row>
    <row r="331" spans="1:39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</row>
    <row r="332" spans="1:39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</row>
    <row r="333" spans="1:39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</row>
    <row r="334" spans="1:39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</row>
    <row r="335" spans="1:39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</row>
    <row r="336" spans="1:39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</row>
    <row r="337" spans="1:39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</row>
    <row r="338" spans="1:39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</row>
    <row r="339" spans="1:39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</row>
    <row r="340" spans="1:39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</row>
    <row r="341" spans="1:39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</row>
    <row r="342" spans="1:39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</row>
    <row r="343" spans="1:39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</row>
    <row r="344" spans="1:39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</row>
    <row r="345" spans="1:39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</row>
    <row r="346" spans="1:39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</row>
    <row r="347" spans="1:39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</row>
    <row r="348" spans="1:39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</row>
    <row r="349" spans="1:39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</row>
    <row r="350" spans="1:39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</row>
    <row r="351" spans="1:39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</row>
    <row r="352" spans="1:39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</row>
    <row r="353" spans="1:39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</row>
    <row r="354" spans="1:39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</row>
    <row r="355" spans="1:39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</row>
    <row r="356" spans="1:39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</row>
    <row r="357" spans="1:39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</row>
    <row r="358" spans="1:39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</row>
    <row r="359" spans="1:39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</row>
    <row r="360" spans="1:39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</row>
    <row r="361" spans="1:39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</row>
    <row r="362" spans="1:39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</row>
    <row r="363" spans="1:39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</row>
    <row r="364" spans="1:39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</row>
    <row r="365" spans="1:39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</row>
    <row r="366" spans="1:39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</row>
    <row r="367" spans="1:39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</row>
    <row r="368" spans="1:39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</row>
    <row r="369" spans="1:39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</row>
    <row r="370" spans="1:39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</row>
    <row r="371" spans="1:39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</row>
    <row r="372" spans="1:39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</row>
    <row r="373" spans="1:39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</row>
    <row r="374" spans="1:39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</row>
    <row r="375" spans="1:39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</row>
    <row r="376" spans="1:39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</row>
    <row r="377" spans="1:39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</row>
    <row r="378" spans="1:39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</row>
    <row r="379" spans="1:39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</row>
    <row r="380" spans="1:39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</row>
    <row r="381" spans="1:39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</row>
    <row r="382" spans="1:39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</row>
    <row r="383" spans="1:39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</row>
    <row r="384" spans="1:39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</row>
    <row r="385" spans="1:39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</row>
    <row r="386" spans="1:39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</row>
    <row r="387" spans="1:39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</row>
    <row r="388" spans="1:39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</row>
    <row r="389" spans="1:39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</row>
    <row r="390" spans="1:39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</row>
    <row r="391" spans="1:39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</row>
    <row r="392" spans="1:39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</row>
    <row r="393" spans="1:39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</row>
    <row r="394" spans="1:39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</row>
    <row r="395" spans="1:39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</row>
    <row r="396" spans="1:39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</row>
    <row r="397" spans="1:39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</row>
    <row r="398" spans="1:39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</row>
    <row r="399" spans="1:39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</row>
    <row r="400" spans="1:39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</row>
    <row r="401" spans="1:39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</row>
    <row r="402" spans="1:39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</row>
    <row r="403" spans="1:39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</row>
    <row r="404" spans="1:39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</row>
    <row r="405" spans="1:39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</row>
    <row r="406" spans="1:39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</row>
    <row r="407" spans="1:39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</row>
    <row r="408" spans="1:39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</row>
    <row r="409" spans="1:39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</row>
    <row r="410" spans="1:39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</row>
    <row r="411" spans="1:39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</row>
    <row r="412" spans="1:39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</row>
    <row r="413" spans="1:39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</row>
    <row r="414" spans="1:39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</row>
    <row r="415" spans="1:39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</row>
    <row r="416" spans="1:39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</row>
    <row r="417" spans="1:39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</row>
    <row r="418" spans="1:39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</row>
    <row r="419" spans="1:39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</row>
    <row r="420" spans="1:39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</row>
    <row r="421" spans="1:39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</row>
    <row r="422" spans="1:39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</row>
    <row r="423" spans="1:39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</row>
    <row r="424" spans="1:39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</row>
    <row r="425" spans="1:39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</row>
    <row r="426" spans="1:39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</row>
    <row r="427" spans="1:39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</row>
    <row r="428" spans="1:39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</row>
    <row r="429" spans="1:39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</row>
    <row r="430" spans="1:39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</row>
    <row r="431" spans="1:39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</row>
    <row r="432" spans="1:39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</row>
    <row r="433" spans="1:39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</row>
    <row r="434" spans="1:39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</row>
    <row r="435" spans="1:39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</row>
    <row r="436" spans="1:39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</row>
    <row r="437" spans="1:39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</row>
    <row r="438" spans="1:39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</row>
    <row r="439" spans="1:39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</row>
    <row r="440" spans="1:39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</row>
    <row r="441" spans="1:39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</row>
    <row r="442" spans="1:39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</row>
    <row r="443" spans="1:39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</row>
    <row r="444" spans="1:39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</row>
    <row r="445" spans="1:39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</row>
    <row r="446" spans="1:39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</row>
    <row r="447" spans="1:39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</row>
    <row r="448" spans="1:39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</row>
    <row r="449" spans="1:39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</row>
    <row r="450" spans="1:39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</row>
    <row r="451" spans="1:39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</row>
    <row r="452" spans="1:39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</row>
    <row r="453" spans="1:39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</row>
    <row r="454" spans="1:39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</row>
    <row r="455" spans="1:39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</row>
    <row r="456" spans="1:39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</row>
    <row r="457" spans="1:39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</row>
    <row r="458" spans="1:39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</row>
    <row r="459" spans="1:39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</row>
    <row r="460" spans="1:39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</row>
    <row r="461" spans="1:39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</row>
    <row r="462" spans="1:39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</row>
    <row r="463" spans="1:39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</row>
    <row r="464" spans="1:39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</row>
    <row r="465" spans="1:39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</row>
    <row r="466" spans="1:39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</row>
    <row r="467" spans="1:39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</row>
    <row r="468" spans="1:39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</row>
    <row r="469" spans="1:39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</row>
    <row r="470" spans="1:39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</row>
    <row r="471" spans="1:39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</row>
    <row r="472" spans="1:39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</row>
    <row r="473" spans="1:39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</row>
    <row r="474" spans="1:39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</row>
    <row r="475" spans="1:39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</row>
    <row r="476" spans="1:39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</row>
    <row r="477" spans="1:39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</row>
    <row r="478" spans="1:39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</row>
    <row r="479" spans="1:39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</row>
    <row r="480" spans="1:39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</row>
    <row r="481" spans="1:39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</row>
    <row r="482" spans="1:39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</row>
    <row r="483" spans="1:39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</row>
    <row r="484" spans="1:39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</row>
    <row r="485" spans="1:39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</row>
    <row r="486" spans="1:39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</row>
    <row r="487" spans="1:39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</row>
    <row r="488" spans="1:39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</row>
    <row r="489" spans="1:39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</row>
    <row r="490" spans="1:39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</row>
    <row r="491" spans="1:39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</row>
    <row r="492" spans="1:39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</row>
    <row r="493" spans="1:39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</row>
    <row r="494" spans="1:39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</row>
    <row r="495" spans="1:39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</row>
    <row r="496" spans="1:39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</row>
    <row r="497" spans="1:39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</row>
    <row r="498" spans="1:39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</row>
    <row r="499" spans="1:39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</row>
    <row r="500" spans="1:39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</row>
    <row r="501" spans="1:39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</row>
    <row r="502" spans="1:39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</row>
    <row r="503" spans="1:39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</row>
    <row r="504" spans="1:39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</row>
    <row r="505" spans="1:39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</row>
    <row r="506" spans="1:39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</row>
    <row r="507" spans="1:39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</row>
    <row r="508" spans="1:39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</row>
    <row r="509" spans="1:39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</row>
    <row r="510" spans="1:39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</row>
    <row r="511" spans="1:39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</row>
    <row r="512" spans="1:39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</row>
    <row r="513" spans="1:39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</row>
    <row r="514" spans="1:39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</row>
    <row r="515" spans="1:39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</row>
    <row r="516" spans="1:39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</row>
    <row r="517" spans="1:39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</row>
    <row r="518" spans="1:39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</row>
    <row r="519" spans="1:39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</row>
    <row r="520" spans="1:39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</row>
    <row r="521" spans="1:39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</row>
    <row r="522" spans="1:39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</row>
    <row r="523" spans="1:39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</row>
    <row r="524" spans="1:39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</row>
    <row r="525" spans="1:39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</row>
    <row r="526" spans="1:39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</row>
    <row r="527" spans="1:39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</row>
    <row r="528" spans="1:39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</row>
    <row r="529" spans="1:39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</row>
    <row r="530" spans="1:39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</row>
    <row r="531" spans="1:39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</row>
    <row r="532" spans="1:39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</row>
    <row r="533" spans="1:39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</row>
    <row r="534" spans="1:39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</row>
    <row r="535" spans="1:39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</row>
    <row r="536" spans="1:39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</row>
    <row r="537" spans="1:39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</row>
    <row r="538" spans="1:39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</row>
    <row r="539" spans="1:39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</row>
    <row r="540" spans="1:39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</row>
    <row r="541" spans="1:39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</row>
    <row r="542" spans="1:39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</row>
    <row r="569" spans="1:39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</row>
    <row r="570" spans="1:39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</row>
    <row r="571" spans="1:39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</row>
    <row r="572" spans="1:39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</row>
    <row r="574" spans="1:39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</row>
    <row r="575" spans="1:39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</row>
    <row r="576" spans="1:39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</row>
    <row r="577" spans="1:39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</row>
    <row r="578" spans="1:39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</row>
    <row r="579" spans="1:39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</row>
    <row r="580" spans="1:39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</row>
    <row r="581" spans="1:39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</row>
    <row r="582" spans="1:39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</row>
    <row r="583" spans="1:39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</row>
    <row r="584" spans="1:39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</row>
    <row r="585" spans="1:39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</row>
    <row r="586" spans="1:39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</row>
    <row r="587" spans="1:39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</row>
    <row r="588" spans="1:39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</row>
    <row r="589" spans="1:39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</row>
    <row r="590" spans="1:39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</row>
    <row r="591" spans="1:39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</row>
    <row r="592" spans="1:39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</row>
    <row r="593" spans="1:39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</row>
    <row r="594" spans="1:39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</row>
    <row r="595" spans="1:39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</row>
    <row r="596" spans="1:39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</row>
    <row r="597" spans="1:39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</row>
    <row r="598" spans="1:39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</row>
    <row r="599" spans="1:39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</row>
    <row r="600" spans="1:39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</row>
    <row r="601" spans="1:39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</row>
    <row r="602" spans="1:39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</row>
    <row r="603" spans="1:39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</row>
    <row r="604" spans="1:39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</row>
    <row r="605" spans="1:39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</row>
    <row r="606" spans="1:39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</row>
    <row r="607" spans="1:39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</row>
    <row r="608" spans="1:39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</row>
    <row r="609" spans="1:39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</row>
    <row r="610" spans="1:39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</row>
    <row r="611" spans="1:39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</row>
    <row r="612" spans="1:39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</row>
    <row r="613" spans="1:39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</row>
    <row r="614" spans="1:39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</row>
    <row r="615" spans="1:39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</row>
    <row r="616" spans="1:39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</row>
    <row r="617" spans="1:39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</row>
    <row r="618" spans="1:39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</row>
    <row r="619" spans="1:39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</row>
    <row r="620" spans="1:39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</row>
    <row r="621" spans="1:39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</row>
    <row r="622" spans="1:39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</row>
    <row r="623" spans="1:39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</row>
    <row r="624" spans="1:39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</row>
    <row r="625" spans="1:39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</row>
    <row r="626" spans="1:39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</row>
    <row r="627" spans="1:39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</row>
    <row r="628" spans="1:39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</row>
    <row r="629" spans="1:39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</row>
    <row r="630" spans="1:39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</row>
    <row r="631" spans="1:39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</row>
    <row r="632" spans="1:39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</row>
    <row r="633" spans="1:39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</row>
    <row r="634" spans="1:39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</row>
    <row r="635" spans="1:39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</row>
    <row r="636" spans="1:39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</row>
    <row r="637" spans="1:39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</row>
    <row r="638" spans="1:39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</row>
    <row r="639" spans="1:39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</row>
    <row r="640" spans="1:39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</row>
    <row r="641" spans="1:39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</row>
    <row r="642" spans="1:39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</row>
    <row r="643" spans="1:39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</row>
    <row r="644" spans="1:39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</row>
    <row r="645" spans="1:39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</row>
    <row r="646" spans="1:39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</row>
    <row r="647" spans="1:39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</row>
    <row r="648" spans="1:39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</row>
    <row r="649" spans="1:39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</row>
    <row r="650" spans="1:39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</row>
    <row r="651" spans="1:39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</row>
    <row r="652" spans="1:39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</row>
    <row r="653" spans="1:39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</row>
    <row r="654" spans="1:39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</row>
    <row r="655" spans="1:39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</row>
    <row r="656" spans="1:39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</row>
    <row r="657" spans="1:39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</row>
    <row r="658" spans="1:39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</row>
    <row r="659" spans="1:39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</row>
    <row r="660" spans="1:39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</row>
    <row r="661" spans="1:39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</row>
    <row r="662" spans="1:39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</row>
    <row r="663" spans="1:39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</row>
    <row r="664" spans="1:39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</row>
    <row r="665" spans="1:39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</row>
    <row r="666" spans="1:39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</row>
    <row r="667" spans="1:39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</row>
    <row r="668" spans="1:39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</row>
    <row r="669" spans="1:39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</row>
    <row r="670" spans="1:39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</row>
    <row r="671" spans="1:39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</row>
    <row r="672" spans="1:39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</row>
    <row r="673" spans="1:39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</row>
    <row r="674" spans="1:39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</row>
    <row r="675" spans="1:39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</row>
    <row r="676" spans="1:39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</row>
    <row r="677" spans="1:39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</row>
    <row r="678" spans="1:39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</row>
    <row r="679" spans="1:39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</row>
    <row r="680" spans="1:39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</row>
    <row r="681" spans="1:39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</row>
    <row r="682" spans="1:39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</row>
    <row r="683" spans="1:39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</row>
    <row r="684" spans="1:39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</row>
    <row r="685" spans="1:39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</row>
    <row r="686" spans="1:39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</row>
    <row r="687" spans="1:39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</row>
    <row r="688" spans="1:39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</row>
    <row r="689" spans="1:39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</row>
    <row r="690" spans="1:39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</row>
    <row r="691" spans="1:39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</row>
    <row r="692" spans="1:39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</row>
    <row r="693" spans="1:39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</row>
    <row r="694" spans="1:39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</row>
    <row r="695" spans="1:39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</row>
    <row r="696" spans="1:39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</row>
    <row r="697" spans="1:39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</row>
    <row r="698" spans="1:39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</row>
    <row r="699" spans="1:39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</row>
    <row r="700" spans="1:39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</row>
    <row r="701" spans="1:39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</row>
    <row r="702" spans="1:39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</row>
    <row r="703" spans="1:39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</row>
    <row r="704" spans="1:39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</row>
    <row r="705" spans="1:39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</row>
    <row r="706" spans="1:39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</row>
    <row r="707" spans="1:39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</row>
    <row r="708" spans="1:39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</row>
    <row r="709" spans="1:39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</row>
    <row r="710" spans="1:39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</row>
    <row r="711" spans="1:39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</row>
    <row r="712" spans="1:39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</row>
    <row r="713" spans="1:39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</row>
    <row r="714" spans="1:39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</row>
    <row r="715" spans="1:39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</row>
    <row r="716" spans="1:39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</row>
    <row r="717" spans="1:39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</row>
    <row r="718" spans="1:39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</row>
    <row r="719" spans="1:39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</row>
    <row r="720" spans="1:39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</row>
    <row r="721" spans="1:39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</row>
    <row r="722" spans="1:39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</row>
    <row r="723" spans="1:39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</row>
    <row r="724" spans="1:39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</row>
    <row r="725" spans="1:39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</row>
    <row r="726" spans="1:39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</row>
    <row r="727" spans="1:39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</row>
    <row r="728" spans="1:39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</row>
    <row r="729" spans="1:39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</row>
    <row r="730" spans="1:39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</row>
    <row r="731" spans="1:39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</row>
    <row r="732" spans="1:39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</row>
    <row r="733" spans="1:39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</row>
    <row r="734" spans="1:39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</row>
    <row r="735" spans="1:39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</row>
    <row r="736" spans="1:39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</row>
    <row r="737" spans="1:39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</row>
    <row r="738" spans="1:39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</row>
    <row r="739" spans="1:39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</row>
    <row r="740" spans="1:39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</row>
    <row r="741" spans="1:39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</row>
    <row r="742" spans="1:39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</row>
    <row r="743" spans="1:39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</row>
    <row r="744" spans="1:39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</row>
    <row r="745" spans="1:39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</row>
    <row r="746" spans="1:39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</row>
    <row r="747" spans="1:39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</row>
    <row r="748" spans="1:39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</row>
    <row r="749" spans="1:39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</row>
    <row r="750" spans="1:39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</row>
    <row r="751" spans="1:39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</row>
    <row r="752" spans="1:39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</row>
    <row r="753" spans="1:39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</row>
    <row r="754" spans="1:39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</row>
  </sheetData>
  <mergeCells count="27">
    <mergeCell ref="A28:C28"/>
    <mergeCell ref="A31:A32"/>
    <mergeCell ref="B31:G31"/>
    <mergeCell ref="L31:L32"/>
    <mergeCell ref="A1:B1"/>
    <mergeCell ref="A5:E5"/>
    <mergeCell ref="A6:A7"/>
    <mergeCell ref="B6:B7"/>
    <mergeCell ref="C6:C7"/>
    <mergeCell ref="D6:D7"/>
    <mergeCell ref="E6:E7"/>
    <mergeCell ref="A89:F89"/>
    <mergeCell ref="H31:I31"/>
    <mergeCell ref="J31:K31"/>
    <mergeCell ref="A30:L30"/>
    <mergeCell ref="D74:I74"/>
    <mergeCell ref="A75:I75"/>
    <mergeCell ref="A77:F77"/>
    <mergeCell ref="A78:A79"/>
    <mergeCell ref="B78:D78"/>
    <mergeCell ref="B88:D88"/>
    <mergeCell ref="A60:B60"/>
    <mergeCell ref="A66:B66"/>
    <mergeCell ref="A71:I71"/>
    <mergeCell ref="D72:I72"/>
    <mergeCell ref="D73:I73"/>
    <mergeCell ref="A58:K5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A41-DF06-492A-B940-9FC88F6078AD}">
  <dimension ref="A1:FQ408"/>
  <sheetViews>
    <sheetView zoomScaleNormal="100" workbookViewId="0">
      <selection activeCell="A39" sqref="A39:B39"/>
    </sheetView>
  </sheetViews>
  <sheetFormatPr defaultRowHeight="12.75" x14ac:dyDescent="0.2"/>
  <cols>
    <col min="1" max="1" width="19.42578125" customWidth="1"/>
    <col min="2" max="2" width="16.5703125" customWidth="1"/>
    <col min="3" max="4" width="12.7109375" customWidth="1"/>
    <col min="5" max="5" width="15" customWidth="1"/>
    <col min="6" max="6" width="15.5703125" customWidth="1"/>
    <col min="7" max="19" width="12.7109375" customWidth="1"/>
    <col min="41" max="173" width="8.85546875" style="18"/>
  </cols>
  <sheetData>
    <row r="1" spans="1:53" ht="20.25" x14ac:dyDescent="0.3">
      <c r="A1" s="29" t="s">
        <v>420</v>
      </c>
      <c r="B1" s="29"/>
      <c r="C1" s="30"/>
      <c r="D1" s="30"/>
      <c r="E1" s="30"/>
      <c r="F1" s="29"/>
      <c r="G1" s="29"/>
      <c r="H1" s="30"/>
      <c r="I1" s="30"/>
      <c r="J1" s="32"/>
      <c r="K1" s="36"/>
      <c r="L1" s="36"/>
      <c r="M1" s="36"/>
      <c r="N1" s="36"/>
      <c r="O1" s="36"/>
      <c r="P1" s="36"/>
      <c r="Q1" s="36"/>
      <c r="R1" s="36"/>
      <c r="S1" s="36"/>
      <c r="T1" s="32"/>
      <c r="U1" s="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3" ht="16.5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2"/>
      <c r="M2" s="33"/>
      <c r="N2" s="33"/>
      <c r="O2" s="33"/>
      <c r="P2" s="33"/>
      <c r="Q2" s="33"/>
      <c r="R2" s="33"/>
      <c r="S2" s="33"/>
      <c r="T2" s="33"/>
      <c r="U2" s="33"/>
      <c r="V2" s="34"/>
      <c r="W2" s="32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x14ac:dyDescent="0.2">
      <c r="A3" s="503" t="s">
        <v>1</v>
      </c>
      <c r="B3" s="490" t="s">
        <v>409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53" ht="25.5" customHeight="1" x14ac:dyDescent="0.2">
      <c r="A4" s="544"/>
      <c r="B4" s="518" t="s">
        <v>339</v>
      </c>
      <c r="C4" s="523"/>
      <c r="D4" s="519"/>
      <c r="E4" s="518" t="s">
        <v>348</v>
      </c>
      <c r="F4" s="523"/>
      <c r="G4" s="519"/>
      <c r="H4" s="532" t="s">
        <v>340</v>
      </c>
      <c r="I4" s="532"/>
      <c r="J4" s="532" t="s">
        <v>343</v>
      </c>
      <c r="K4" s="532"/>
      <c r="L4" s="532" t="s">
        <v>344</v>
      </c>
      <c r="M4" s="532"/>
      <c r="N4" s="488" t="s">
        <v>345</v>
      </c>
      <c r="O4" s="488" t="s">
        <v>305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53" ht="13.5" thickBot="1" x14ac:dyDescent="0.25">
      <c r="A5" s="504"/>
      <c r="B5" s="230" t="s">
        <v>91</v>
      </c>
      <c r="C5" s="230" t="s">
        <v>185</v>
      </c>
      <c r="D5" s="231" t="s">
        <v>90</v>
      </c>
      <c r="E5" s="230" t="s">
        <v>91</v>
      </c>
      <c r="F5" s="230" t="s">
        <v>185</v>
      </c>
      <c r="G5" s="231" t="s">
        <v>90</v>
      </c>
      <c r="H5" s="231" t="s">
        <v>69</v>
      </c>
      <c r="I5" s="232" t="s">
        <v>42</v>
      </c>
      <c r="J5" s="232" t="s">
        <v>341</v>
      </c>
      <c r="K5" s="232" t="s">
        <v>342</v>
      </c>
      <c r="L5" s="232" t="s">
        <v>341</v>
      </c>
      <c r="M5" s="232" t="s">
        <v>342</v>
      </c>
      <c r="N5" s="489"/>
      <c r="O5" s="48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53" ht="13.5" thickTop="1" x14ac:dyDescent="0.2">
      <c r="A6" s="48">
        <v>2018</v>
      </c>
      <c r="B6" s="5">
        <f ca="1">'Ton-miles'!D16*'Flood Damage'!$B$64/12</f>
        <v>556900.25</v>
      </c>
      <c r="C6" s="6">
        <f>'Ton-miles'!C16*'Flood Damage'!$B$64/12</f>
        <v>351611.68424999999</v>
      </c>
      <c r="D6" s="5">
        <f>'Ton-miles'!B16*'Flood Damage'!$B$64/12</f>
        <v>164576.10250000001</v>
      </c>
      <c r="E6" s="6">
        <f ca="1">B6*'Ton-miles'!$B$160</f>
        <v>247820611.25</v>
      </c>
      <c r="F6" s="5">
        <f>C6*'Ton-miles'!$B$159</f>
        <v>151896247.59599999</v>
      </c>
      <c r="G6" s="6">
        <f>D6*'Ton-miles'!$B$158</f>
        <v>64678408.282500006</v>
      </c>
      <c r="H6" s="345">
        <f ca="1">$B6*(1-$B$38)*$B$36*$E$42+($C6+$D6)*(1-$B$38)*$B$36*$E$43</f>
        <v>170419781.3272875</v>
      </c>
      <c r="I6" s="6">
        <f ca="1">$B6*(1-$B$38)*$B$37*$E$44+($C6+$D6)*(1-$B$38)*$B$37*$E$45</f>
        <v>20634805.220699996</v>
      </c>
      <c r="J6" s="150">
        <f t="shared" ref="J6:J31" ca="1" si="0">(E6+F6+G6)*$E$74</f>
        <v>1.0636873660150255E-2</v>
      </c>
      <c r="K6" s="343">
        <f t="shared" ref="K6:K31" ca="1" si="1">(E6+F6+G6)*$F$74</f>
        <v>1.0636873660150255E-2</v>
      </c>
      <c r="L6" s="150">
        <f t="shared" ref="L6:L31" ca="1" si="2">H6*$E$85+I6*$E$97</f>
        <v>0.18764734310516792</v>
      </c>
      <c r="M6" s="343">
        <f t="shared" ref="M6:M31" ca="1" si="3">H6*$F$85+I6*$F$97</f>
        <v>10.456450408186464</v>
      </c>
      <c r="N6" s="346"/>
      <c r="O6" s="13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53" x14ac:dyDescent="0.2">
      <c r="A7" s="19">
        <f>A6+1</f>
        <v>2019</v>
      </c>
      <c r="B7" s="5">
        <f ca="1">$B6*(1+$B$49)^($A7-$A$6)</f>
        <v>559684.75124999997</v>
      </c>
      <c r="C7" s="6">
        <f>$C6*(1+$B$49)^($A7-$A$6)</f>
        <v>353369.74267124996</v>
      </c>
      <c r="D7" s="5">
        <f t="shared" ref="D7:D31" si="4">$D$6*(1+$B$49)^($A7-$A$6)</f>
        <v>165398.98301249999</v>
      </c>
      <c r="E7" s="6">
        <f ca="1">B7*'Ton-miles'!$B$160</f>
        <v>249059714.30624998</v>
      </c>
      <c r="F7" s="5">
        <f>C7*'Ton-miles'!$B$159</f>
        <v>152655728.83397999</v>
      </c>
      <c r="G7" s="6">
        <f>D7*'Ton-miles'!$B$158</f>
        <v>65001800.323912494</v>
      </c>
      <c r="H7" s="345">
        <f t="shared" ref="H7:H31" ca="1" si="5">$B7*(1-$B$38)*$B$36*$E$42+($C7+$D7)*(1-$B$38)*$B$36*$E$43</f>
        <v>171271880.23392394</v>
      </c>
      <c r="I7" s="6">
        <f t="shared" ref="I7:I31" ca="1" si="6">$B7*(1-$B$38)*$B$37*$E$44+($C7+$D7)*(1-$B$38)*$B$37*$E$45</f>
        <v>20737979.246803492</v>
      </c>
      <c r="J7" s="150">
        <f t="shared" ca="1" si="0"/>
        <v>1.0690058028451004E-2</v>
      </c>
      <c r="K7" s="343">
        <f t="shared" ca="1" si="1"/>
        <v>1.0690058028451004E-2</v>
      </c>
      <c r="L7" s="150">
        <f t="shared" ca="1" si="2"/>
        <v>0.18858557982069374</v>
      </c>
      <c r="M7" s="343">
        <f t="shared" ca="1" si="3"/>
        <v>10.508732660227395</v>
      </c>
      <c r="N7" s="346"/>
      <c r="O7" s="13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53" x14ac:dyDescent="0.2">
      <c r="A8" s="19">
        <f>A7+1</f>
        <v>2020</v>
      </c>
      <c r="B8" s="5">
        <f t="shared" ref="B8:B31" ca="1" si="7">$B7*(1+$B$49)^($A8-$A$6)</f>
        <v>565295.59088128107</v>
      </c>
      <c r="C8" s="6">
        <f t="shared" ref="C8:C31" si="8">$C7*(1+$B$49)^($A8-$A$6)</f>
        <v>356912.27434152912</v>
      </c>
      <c r="D8" s="5">
        <f t="shared" si="4"/>
        <v>166225.97792756246</v>
      </c>
      <c r="E8" s="6">
        <f ca="1">B8*'Ton-miles'!$B$160</f>
        <v>251556537.94217008</v>
      </c>
      <c r="F8" s="5">
        <f>C8*'Ton-miles'!$B$159</f>
        <v>154186102.51554057</v>
      </c>
      <c r="G8" s="6">
        <f>D8*'Ton-miles'!$B$158</f>
        <v>65326809.325532049</v>
      </c>
      <c r="H8" s="345">
        <f t="shared" ca="1" si="5"/>
        <v>172868824.12071079</v>
      </c>
      <c r="I8" s="6">
        <f t="shared" ca="1" si="6"/>
        <v>20931415.828672994</v>
      </c>
      <c r="J8" s="150">
        <f t="shared" ca="1" si="0"/>
        <v>1.0789744377636745E-2</v>
      </c>
      <c r="K8" s="343">
        <f t="shared" ca="1" si="1"/>
        <v>1.0789744377636745E-2</v>
      </c>
      <c r="L8" s="150">
        <f t="shared" ca="1" si="2"/>
        <v>0.19034435487518031</v>
      </c>
      <c r="M8" s="343">
        <f t="shared" ca="1" si="3"/>
        <v>10.606751137464874</v>
      </c>
      <c r="N8" s="346"/>
      <c r="O8" s="13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53" x14ac:dyDescent="0.2">
      <c r="A9" s="19">
        <f t="shared" ref="A9:A31" si="9">A8+1</f>
        <v>2021</v>
      </c>
      <c r="B9" s="5">
        <f t="shared" ca="1" si="7"/>
        <v>573817.49257576501</v>
      </c>
      <c r="C9" s="6">
        <f t="shared" si="8"/>
        <v>362292.77149126184</v>
      </c>
      <c r="D9" s="5">
        <f t="shared" si="4"/>
        <v>167057.10781720027</v>
      </c>
      <c r="E9" s="6">
        <f ca="1">B9*'Ton-miles'!$B$160</f>
        <v>255348784.19621542</v>
      </c>
      <c r="F9" s="5">
        <f>C9*'Ton-miles'!$B$159</f>
        <v>156510477.28422511</v>
      </c>
      <c r="G9" s="6">
        <f>D9*'Ton-miles'!$B$158</f>
        <v>65653443.372159705</v>
      </c>
      <c r="H9" s="345">
        <f t="shared" ca="1" si="5"/>
        <v>175232925.97571093</v>
      </c>
      <c r="I9" s="6">
        <f t="shared" ca="1" si="6"/>
        <v>21217818.932115123</v>
      </c>
      <c r="J9" s="150">
        <f t="shared" ca="1" si="0"/>
        <v>1.0937325748473401E-2</v>
      </c>
      <c r="K9" s="343">
        <f t="shared" ca="1" si="1"/>
        <v>1.0937325748473401E-2</v>
      </c>
      <c r="L9" s="150">
        <f t="shared" ca="1" si="2"/>
        <v>0.19294824882590353</v>
      </c>
      <c r="M9" s="343">
        <f t="shared" ca="1" si="3"/>
        <v>10.751875944539041</v>
      </c>
      <c r="N9" s="346"/>
      <c r="O9" s="13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53" x14ac:dyDescent="0.2">
      <c r="A10" s="19">
        <f t="shared" si="9"/>
        <v>2022</v>
      </c>
      <c r="B10" s="5">
        <f t="shared" ca="1" si="7"/>
        <v>585380.20231854846</v>
      </c>
      <c r="C10" s="6">
        <f t="shared" si="8"/>
        <v>369593.15220962925</v>
      </c>
      <c r="D10" s="5">
        <f t="shared" si="4"/>
        <v>167892.39335628622</v>
      </c>
      <c r="E10" s="6">
        <f ca="1">B10*'Ton-miles'!$B$160</f>
        <v>260494190.03175408</v>
      </c>
      <c r="F10" s="5">
        <f>C10*'Ton-miles'!$B$159</f>
        <v>159664241.75455984</v>
      </c>
      <c r="G10" s="6">
        <f>D10*'Ton-miles'!$B$158</f>
        <v>65981710.589020483</v>
      </c>
      <c r="H10" s="345">
        <f t="shared" ca="1" si="5"/>
        <v>178398354.38107666</v>
      </c>
      <c r="I10" s="6">
        <f t="shared" ca="1" si="6"/>
        <v>21601329.226362552</v>
      </c>
      <c r="J10" s="150">
        <f t="shared" ca="1" si="0"/>
        <v>1.1134935348389436E-2</v>
      </c>
      <c r="K10" s="343">
        <f t="shared" ca="1" si="1"/>
        <v>1.1134935348389436E-2</v>
      </c>
      <c r="L10" s="150">
        <f t="shared" ca="1" si="2"/>
        <v>0.19643490266126995</v>
      </c>
      <c r="M10" s="343">
        <f t="shared" ca="1" si="3"/>
        <v>10.946205166411106</v>
      </c>
      <c r="N10" s="346"/>
      <c r="O10" s="13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53" x14ac:dyDescent="0.2">
      <c r="A11" s="19">
        <v>2023</v>
      </c>
      <c r="B11" s="5">
        <f t="shared" ca="1" si="7"/>
        <v>600161.78598348668</v>
      </c>
      <c r="C11" s="6">
        <f t="shared" si="8"/>
        <v>378925.84245049593</v>
      </c>
      <c r="D11" s="5">
        <f t="shared" si="4"/>
        <v>168731.8553230676</v>
      </c>
      <c r="E11" s="6">
        <f ca="1">B11*'Ton-miles'!$B$160</f>
        <v>267071994.76265156</v>
      </c>
      <c r="F11" s="5">
        <f>C11*'Ton-miles'!$B$159</f>
        <v>163695963.93861425</v>
      </c>
      <c r="G11" s="6">
        <f>D11*'Ton-miles'!$B$158</f>
        <v>66311619.141965568</v>
      </c>
      <c r="H11" s="345">
        <f t="shared" ca="1" si="5"/>
        <v>182412001.8557989</v>
      </c>
      <c r="I11" s="6">
        <f t="shared" ca="1" si="6"/>
        <v>22087629.312964462</v>
      </c>
      <c r="J11" s="150">
        <f t="shared" ca="1" si="0"/>
        <v>1.1385500763719539E-2</v>
      </c>
      <c r="K11" s="343">
        <f t="shared" ca="1" si="1"/>
        <v>1.1385500763719539E-2</v>
      </c>
      <c r="L11" s="150">
        <f t="shared" ca="1" si="2"/>
        <v>0.20085597438980216</v>
      </c>
      <c r="M11" s="343">
        <f t="shared" ca="1" si="3"/>
        <v>11.192618188039503</v>
      </c>
      <c r="N11" s="346"/>
      <c r="O11" s="13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53" x14ac:dyDescent="0.2">
      <c r="A12" s="19">
        <f t="shared" si="9"/>
        <v>2024</v>
      </c>
      <c r="B12" s="5">
        <f t="shared" ca="1" si="7"/>
        <v>618393.20627497858</v>
      </c>
      <c r="C12" s="6">
        <f t="shared" si="8"/>
        <v>390436.66578907601</v>
      </c>
      <c r="D12" s="5">
        <f t="shared" si="4"/>
        <v>169575.51459968294</v>
      </c>
      <c r="E12" s="6">
        <f ca="1">B12*'Ton-miles'!$B$160</f>
        <v>275184976.79236549</v>
      </c>
      <c r="F12" s="5">
        <f>C12*'Ton-miles'!$B$159</f>
        <v>168668639.62088084</v>
      </c>
      <c r="G12" s="6">
        <f>D12*'Ton-miles'!$B$158</f>
        <v>66643177.237675391</v>
      </c>
      <c r="H12" s="345">
        <f t="shared" ca="1" si="5"/>
        <v>187334690.08723694</v>
      </c>
      <c r="I12" s="6">
        <f t="shared" ca="1" si="6"/>
        <v>22684089.780068327</v>
      </c>
      <c r="J12" s="150">
        <f t="shared" ca="1" si="0"/>
        <v>1.1692819204537935E-2</v>
      </c>
      <c r="K12" s="343">
        <f t="shared" ca="1" si="1"/>
        <v>1.1692819204537935E-2</v>
      </c>
      <c r="L12" s="150">
        <f t="shared" ca="1" si="2"/>
        <v>0.20627846675457778</v>
      </c>
      <c r="M12" s="343">
        <f t="shared" ca="1" si="3"/>
        <v>11.494849700358417</v>
      </c>
      <c r="N12" s="346">
        <f t="shared" ref="N12:N31" ca="1" si="10">(L12*$B$62+M12*$B$63)-(J12*$B$62+K12*$B$63)</f>
        <v>4390055.3580114413</v>
      </c>
      <c r="O12" s="139">
        <f ca="1">N12*NPV!C10</f>
        <v>3130048.7974303854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53" x14ac:dyDescent="0.2">
      <c r="A13" s="19">
        <f t="shared" si="9"/>
        <v>2025</v>
      </c>
      <c r="B13" s="5">
        <f t="shared" ca="1" si="7"/>
        <v>640364.3439661751</v>
      </c>
      <c r="C13" s="6">
        <f t="shared" si="8"/>
        <v>404308.64506811253</v>
      </c>
      <c r="D13" s="5">
        <f t="shared" si="4"/>
        <v>170423.39217268131</v>
      </c>
      <c r="E13" s="6">
        <f ca="1">B13*'Ton-miles'!$B$160</f>
        <v>284962133.0649479</v>
      </c>
      <c r="F13" s="5">
        <f>C13*'Ton-miles'!$B$159</f>
        <v>174661334.66942462</v>
      </c>
      <c r="G13" s="6">
        <f>D13*'Ton-miles'!$B$158</f>
        <v>66976393.123863757</v>
      </c>
      <c r="H13" s="345">
        <f t="shared" ca="1" si="5"/>
        <v>193242755.48461056</v>
      </c>
      <c r="I13" s="6">
        <f t="shared" ca="1" si="6"/>
        <v>23399961.345482022</v>
      </c>
      <c r="J13" s="150">
        <f t="shared" ca="1" si="0"/>
        <v>1.2061656493695143E-2</v>
      </c>
      <c r="K13" s="343">
        <f t="shared" ca="1" si="1"/>
        <v>1.2061656493695143E-2</v>
      </c>
      <c r="L13" s="150">
        <f t="shared" ca="1" si="2"/>
        <v>0.21278647392024663</v>
      </c>
      <c r="M13" s="343">
        <f t="shared" ca="1" si="3"/>
        <v>11.857587059527715</v>
      </c>
      <c r="N13" s="346">
        <f t="shared" ca="1" si="10"/>
        <v>4528576.3295889338</v>
      </c>
      <c r="O13" s="139">
        <f ca="1">N13*NPV!C11</f>
        <v>3017581.6221811101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53" x14ac:dyDescent="0.2">
      <c r="A14" s="19">
        <f t="shared" si="9"/>
        <v>2026</v>
      </c>
      <c r="B14" s="5">
        <f t="shared" ca="1" si="7"/>
        <v>666431.68344428972</v>
      </c>
      <c r="C14" s="6">
        <f t="shared" si="8"/>
        <v>420766.85484233405</v>
      </c>
      <c r="D14" s="5">
        <f t="shared" si="4"/>
        <v>171275.50913354472</v>
      </c>
      <c r="E14" s="6">
        <f ca="1">B14*'Ton-miles'!$B$160</f>
        <v>296562099.13270891</v>
      </c>
      <c r="F14" s="5">
        <f>C14*'Ton-miles'!$B$159</f>
        <v>181771281.2918883</v>
      </c>
      <c r="G14" s="6">
        <f>D14*'Ton-miles'!$B$158</f>
        <v>67311275.089483082</v>
      </c>
      <c r="H14" s="345">
        <f t="shared" ca="1" si="5"/>
        <v>200230072.98916405</v>
      </c>
      <c r="I14" s="6">
        <f t="shared" ca="1" si="6"/>
        <v>24246620.109252051</v>
      </c>
      <c r="J14" s="150">
        <f t="shared" ca="1" si="0"/>
        <v>1.2497873417029256E-2</v>
      </c>
      <c r="K14" s="343">
        <f t="shared" ca="1" si="1"/>
        <v>1.2497873417029256E-2</v>
      </c>
      <c r="L14" s="150">
        <f t="shared" ca="1" si="2"/>
        <v>0.22048341095501023</v>
      </c>
      <c r="M14" s="343">
        <f t="shared" ca="1" si="3"/>
        <v>12.286594556874336</v>
      </c>
      <c r="N14" s="346">
        <f t="shared" ca="1" si="10"/>
        <v>4692403.8638151567</v>
      </c>
      <c r="O14" s="139">
        <f ca="1">N14*NPV!C12</f>
        <v>2922193.2950091469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53" x14ac:dyDescent="0.2">
      <c r="A15" s="19">
        <f t="shared" si="9"/>
        <v>2027</v>
      </c>
      <c r="B15" s="5">
        <f t="shared" ca="1" si="7"/>
        <v>697027.94799183705</v>
      </c>
      <c r="C15" s="6">
        <f t="shared" si="8"/>
        <v>440084.50483319268</v>
      </c>
      <c r="D15" s="5">
        <f t="shared" si="4"/>
        <v>172131.88667921242</v>
      </c>
      <c r="E15" s="6">
        <f ca="1">B15*'Ton-miles'!$B$160</f>
        <v>310177436.85636747</v>
      </c>
      <c r="F15" s="5">
        <f>C15*'Ton-miles'!$B$159</f>
        <v>190116506.08793923</v>
      </c>
      <c r="G15" s="6">
        <f>D15*'Ton-miles'!$B$158</f>
        <v>67647831.464930475</v>
      </c>
      <c r="H15" s="345">
        <f t="shared" ca="1" si="5"/>
        <v>208410593.30206186</v>
      </c>
      <c r="I15" s="6">
        <f t="shared" ca="1" si="6"/>
        <v>25237875.024045035</v>
      </c>
      <c r="J15" s="150">
        <f t="shared" ca="1" si="0"/>
        <v>1.3008584127195702E-2</v>
      </c>
      <c r="K15" s="343">
        <f t="shared" ca="1" si="1"/>
        <v>1.3008584127195702E-2</v>
      </c>
      <c r="L15" s="150">
        <f t="shared" ca="1" si="2"/>
        <v>0.22949480890694501</v>
      </c>
      <c r="M15" s="343">
        <f t="shared" ca="1" si="3"/>
        <v>12.788869214711266</v>
      </c>
      <c r="N15" s="346">
        <f t="shared" ca="1" si="10"/>
        <v>4884209.9107026802</v>
      </c>
      <c r="O15" s="139">
        <f ca="1">N15*NPV!C13</f>
        <v>2842654.6366357533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53" x14ac:dyDescent="0.2">
      <c r="A16" s="19">
        <f t="shared" si="9"/>
        <v>2028</v>
      </c>
      <c r="B16" s="5">
        <f t="shared" ca="1" si="7"/>
        <v>732674.04928825994</v>
      </c>
      <c r="C16" s="6">
        <f t="shared" si="8"/>
        <v>462590.48451946746</v>
      </c>
      <c r="D16" s="5">
        <f t="shared" si="4"/>
        <v>172992.54611260846</v>
      </c>
      <c r="E16" s="6">
        <f ca="1">B16*'Ton-miles'!$B$160</f>
        <v>326039951.9332757</v>
      </c>
      <c r="F16" s="5">
        <f>C16*'Ton-miles'!$B$159</f>
        <v>199839089.31240994</v>
      </c>
      <c r="G16" s="6">
        <f>D16*'Ton-miles'!$B$158</f>
        <v>67986070.622255117</v>
      </c>
      <c r="H16" s="345">
        <f t="shared" ca="1" si="5"/>
        <v>217921489.50854513</v>
      </c>
      <c r="I16" s="6">
        <f t="shared" ca="1" si="6"/>
        <v>26390349.214354955</v>
      </c>
      <c r="J16" s="150">
        <f t="shared" ca="1" si="0"/>
        <v>1.3602352593232571E-2</v>
      </c>
      <c r="K16" s="343">
        <f t="shared" ca="1" si="1"/>
        <v>1.3602352593232571E-2</v>
      </c>
      <c r="L16" s="150">
        <f t="shared" ca="1" si="2"/>
        <v>0.23997178120711612</v>
      </c>
      <c r="M16" s="343">
        <f t="shared" ca="1" si="3"/>
        <v>13.372834001495031</v>
      </c>
      <c r="N16" s="346">
        <f t="shared" ca="1" si="10"/>
        <v>5107210.9457143266</v>
      </c>
      <c r="O16" s="139">
        <f ca="1">N16*NPV!C14</f>
        <v>2777984.3638691199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2">
      <c r="A17" s="19">
        <f t="shared" si="9"/>
        <v>2029</v>
      </c>
      <c r="B17" s="5">
        <f t="shared" ca="1" si="7"/>
        <v>773993.81239627977</v>
      </c>
      <c r="C17" s="6">
        <f t="shared" si="8"/>
        <v>488678.66009349865</v>
      </c>
      <c r="D17" s="5">
        <f t="shared" si="4"/>
        <v>173857.5088431715</v>
      </c>
      <c r="E17" s="6">
        <f ca="1">B17*'Ton-miles'!$B$160</f>
        <v>344427246.51634449</v>
      </c>
      <c r="F17" s="5">
        <f>C17*'Ton-miles'!$B$159</f>
        <v>211109181.16039142</v>
      </c>
      <c r="G17" s="6">
        <f>D17*'Ton-miles'!$B$158</f>
        <v>68326000.975366399</v>
      </c>
      <c r="H17" s="345">
        <f t="shared" ca="1" si="5"/>
        <v>228927034.56161165</v>
      </c>
      <c r="I17" s="6">
        <f t="shared" ca="1" si="6"/>
        <v>27723949.863890208</v>
      </c>
      <c r="J17" s="150">
        <f t="shared" ca="1" si="0"/>
        <v>1.4289434679037592E-2</v>
      </c>
      <c r="K17" s="343">
        <f t="shared" ca="1" si="1"/>
        <v>1.4289434679037592E-2</v>
      </c>
      <c r="L17" s="150">
        <f t="shared" ca="1" si="2"/>
        <v>0.25209529520657503</v>
      </c>
      <c r="M17" s="343">
        <f t="shared" ca="1" si="3"/>
        <v>14.04857592464603</v>
      </c>
      <c r="N17" s="346">
        <f t="shared" ca="1" si="10"/>
        <v>5365258.8901676368</v>
      </c>
      <c r="O17" s="139">
        <f ca="1">N17*NPV!C15</f>
        <v>2727425.5589362197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x14ac:dyDescent="0.2">
      <c r="A18" s="19">
        <f t="shared" si="9"/>
        <v>2030</v>
      </c>
      <c r="B18" s="5">
        <f t="shared" ca="1" si="7"/>
        <v>821732.05714154278</v>
      </c>
      <c r="C18" s="6">
        <f t="shared" si="8"/>
        <v>518819.29055294022</v>
      </c>
      <c r="D18" s="5">
        <f t="shared" si="4"/>
        <v>174726.79638738729</v>
      </c>
      <c r="E18" s="6">
        <f ca="1">B18*'Ton-miles'!$B$160</f>
        <v>365670765.42798656</v>
      </c>
      <c r="F18" s="5">
        <f>C18*'Ton-miles'!$B$159</f>
        <v>224129933.51887017</v>
      </c>
      <c r="G18" s="6">
        <f>D18*'Ton-miles'!$B$158</f>
        <v>68667630.980243206</v>
      </c>
      <c r="H18" s="345">
        <f t="shared" ca="1" si="5"/>
        <v>241623362.59401834</v>
      </c>
      <c r="I18" s="6">
        <f t="shared" ca="1" si="6"/>
        <v>29262445.208448473</v>
      </c>
      <c r="J18" s="150">
        <f t="shared" ca="1" si="0"/>
        <v>1.5082075400881833E-2</v>
      </c>
      <c r="K18" s="343">
        <f t="shared" ca="1" si="1"/>
        <v>1.5082075400881833E-2</v>
      </c>
      <c r="L18" s="150">
        <f t="shared" ca="1" si="2"/>
        <v>0.26608141736165303</v>
      </c>
      <c r="M18" s="343">
        <f t="shared" ca="1" si="3"/>
        <v>14.828138393920407</v>
      </c>
      <c r="N18" s="346">
        <f t="shared" ca="1" si="10"/>
        <v>5662952.7559118643</v>
      </c>
      <c r="O18" s="139">
        <f ca="1">N18*NPV!C16</f>
        <v>2690428.060616958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x14ac:dyDescent="0.2">
      <c r="A19" s="19">
        <f t="shared" si="9"/>
        <v>2031</v>
      </c>
      <c r="B19" s="5">
        <f t="shared" ca="1" si="7"/>
        <v>876776.7658267701</v>
      </c>
      <c r="C19" s="6">
        <f t="shared" si="8"/>
        <v>553573.02379307325</v>
      </c>
      <c r="D19" s="5">
        <f t="shared" si="4"/>
        <v>175600.4303693242</v>
      </c>
      <c r="E19" s="6">
        <f ca="1">B19*'Ton-miles'!$B$160</f>
        <v>390165660.79291272</v>
      </c>
      <c r="F19" s="5">
        <f>C19*'Ton-miles'!$B$159</f>
        <v>239143546.27860764</v>
      </c>
      <c r="G19" s="6">
        <f>D19*'Ton-miles'!$B$158</f>
        <v>69010969.135144413</v>
      </c>
      <c r="H19" s="345">
        <f t="shared" ca="1" si="5"/>
        <v>256244306.27169114</v>
      </c>
      <c r="I19" s="6">
        <f t="shared" ca="1" si="6"/>
        <v>31034171.927350871</v>
      </c>
      <c r="J19" s="150">
        <f t="shared" ca="1" si="0"/>
        <v>1.5994873364178399E-2</v>
      </c>
      <c r="K19" s="343">
        <f t="shared" ca="1" si="1"/>
        <v>1.5994873364178399E-2</v>
      </c>
      <c r="L19" s="150">
        <f t="shared" ca="1" si="2"/>
        <v>0.2821877438144923</v>
      </c>
      <c r="M19" s="343">
        <f t="shared" ca="1" si="3"/>
        <v>15.725879657976488</v>
      </c>
      <c r="N19" s="346">
        <f t="shared" ca="1" si="10"/>
        <v>6005775.5213478133</v>
      </c>
      <c r="O19" s="139">
        <f ca="1">N19*NPV!C17</f>
        <v>2666636.1559936907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">
      <c r="A20" s="19">
        <f t="shared" si="9"/>
        <v>2032</v>
      </c>
      <c r="B20" s="5">
        <f t="shared" ca="1" si="7"/>
        <v>940186.25397991796</v>
      </c>
      <c r="C20" s="6">
        <f t="shared" si="8"/>
        <v>593608.05147883692</v>
      </c>
      <c r="D20" s="5">
        <f t="shared" si="4"/>
        <v>176478.43252117079</v>
      </c>
      <c r="E20" s="6">
        <f ca="1">B20*'Ton-miles'!$B$160</f>
        <v>418382883.02106351</v>
      </c>
      <c r="F20" s="5">
        <f>C20*'Ton-miles'!$B$159</f>
        <v>256438678.23885754</v>
      </c>
      <c r="G20" s="6">
        <f>D20*'Ton-miles'!$B$158</f>
        <v>69356023.980820119</v>
      </c>
      <c r="H20" s="345">
        <f t="shared" ca="1" si="5"/>
        <v>273068551.58009452</v>
      </c>
      <c r="I20" s="6">
        <f t="shared" ca="1" si="6"/>
        <v>33072902.186129913</v>
      </c>
      <c r="J20" s="150">
        <f t="shared" ca="1" si="0"/>
        <v>1.7045227450027286E-2</v>
      </c>
      <c r="K20" s="343">
        <f t="shared" ca="1" si="1"/>
        <v>1.7045227450027286E-2</v>
      </c>
      <c r="L20" s="150">
        <f t="shared" ca="1" si="2"/>
        <v>0.30072128229203177</v>
      </c>
      <c r="M20" s="343">
        <f t="shared" ca="1" si="3"/>
        <v>16.75891213653097</v>
      </c>
      <c r="N20" s="346">
        <f t="shared" ca="1" si="10"/>
        <v>6400261.8990122434</v>
      </c>
      <c r="O20" s="139">
        <f ca="1">N20*NPV!C18</f>
        <v>2655881.1452656589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x14ac:dyDescent="0.2">
      <c r="A21" s="19">
        <f t="shared" si="9"/>
        <v>2033</v>
      </c>
      <c r="B21" s="5">
        <f t="shared" ca="1" si="7"/>
        <v>1013222.4960317607</v>
      </c>
      <c r="C21" s="6">
        <f t="shared" si="8"/>
        <v>639721.14997203939</v>
      </c>
      <c r="D21" s="5">
        <f t="shared" si="4"/>
        <v>177360.82468377662</v>
      </c>
      <c r="E21" s="6">
        <f ca="1">B21*'Ton-miles'!$B$160</f>
        <v>450884010.73413354</v>
      </c>
      <c r="F21" s="5">
        <f>C21*'Ton-miles'!$B$159</f>
        <v>276359536.78792101</v>
      </c>
      <c r="G21" s="6">
        <f>D21*'Ton-miles'!$B$158</f>
        <v>69702804.100724205</v>
      </c>
      <c r="H21" s="345">
        <f t="shared" ca="1" si="5"/>
        <v>292428413.36849946</v>
      </c>
      <c r="I21" s="6">
        <f t="shared" ca="1" si="6"/>
        <v>35418907.088475779</v>
      </c>
      <c r="J21" s="150">
        <f t="shared" ca="1" si="0"/>
        <v>1.8253884688673096E-2</v>
      </c>
      <c r="K21" s="343">
        <f t="shared" ca="1" si="1"/>
        <v>1.8253884688673096E-2</v>
      </c>
      <c r="L21" s="150">
        <f t="shared" ca="1" si="2"/>
        <v>0.32204811947410228</v>
      </c>
      <c r="M21" s="343">
        <f t="shared" ca="1" si="3"/>
        <v>17.94764127345465</v>
      </c>
      <c r="N21" s="346">
        <f t="shared" ca="1" si="10"/>
        <v>6854204.1071813358</v>
      </c>
      <c r="O21" s="139">
        <f ca="1">N21*NPV!C19</f>
        <v>2658178.5262166825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</row>
    <row r="22" spans="1:41" x14ac:dyDescent="0.2">
      <c r="A22" s="19">
        <f t="shared" si="9"/>
        <v>2034</v>
      </c>
      <c r="B22" s="5">
        <f t="shared" ca="1" si="7"/>
        <v>1097392.0552758828</v>
      </c>
      <c r="C22" s="6">
        <f t="shared" si="8"/>
        <v>692863.52239583689</v>
      </c>
      <c r="D22" s="5">
        <f t="shared" si="4"/>
        <v>178247.62880719546</v>
      </c>
      <c r="E22" s="6">
        <f ca="1">B22*'Ton-miles'!$B$160</f>
        <v>488339464.59776783</v>
      </c>
      <c r="F22" s="5">
        <f>C22*'Ton-miles'!$B$159</f>
        <v>299317041.67500156</v>
      </c>
      <c r="G22" s="6">
        <f>D22*'Ton-miles'!$B$158</f>
        <v>70051318.121227816</v>
      </c>
      <c r="H22" s="345">
        <f t="shared" ca="1" si="5"/>
        <v>314720613.30563939</v>
      </c>
      <c r="I22" s="6">
        <f t="shared" ca="1" si="6"/>
        <v>38120262.787580602</v>
      </c>
      <c r="J22" s="150">
        <f t="shared" ca="1" si="0"/>
        <v>1.9645613147208991E-2</v>
      </c>
      <c r="K22" s="343">
        <f t="shared" ca="1" si="1"/>
        <v>1.9645613147208991E-2</v>
      </c>
      <c r="L22" s="150">
        <f t="shared" ca="1" si="2"/>
        <v>0.34660529427005238</v>
      </c>
      <c r="M22" s="343">
        <f t="shared" ca="1" si="3"/>
        <v>19.316427345840271</v>
      </c>
      <c r="N22" s="346">
        <f t="shared" ca="1" si="10"/>
        <v>7376904.5946191419</v>
      </c>
      <c r="O22" s="139">
        <f ca="1">N22*NPV!C20</f>
        <v>2673729.707601143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x14ac:dyDescent="0.2">
      <c r="A23" s="19">
        <f t="shared" si="9"/>
        <v>2035</v>
      </c>
      <c r="B23" s="5">
        <f t="shared" ca="1" si="7"/>
        <v>1194496.4450923535</v>
      </c>
      <c r="C23" s="6">
        <f t="shared" si="8"/>
        <v>754172.59534281038</v>
      </c>
      <c r="D23" s="5">
        <f t="shared" si="4"/>
        <v>179138.86695123144</v>
      </c>
      <c r="E23" s="6">
        <f ca="1">B23*'Ton-miles'!$B$160</f>
        <v>531550918.06609732</v>
      </c>
      <c r="F23" s="5">
        <f>C23*'Ton-miles'!$B$159</f>
        <v>325802561.18809408</v>
      </c>
      <c r="G23" s="6">
        <f>D23*'Ton-miles'!$B$158</f>
        <v>70401574.711833954</v>
      </c>
      <c r="H23" s="345">
        <f t="shared" ca="1" si="5"/>
        <v>340419541.33989567</v>
      </c>
      <c r="I23" s="6">
        <f t="shared" ca="1" si="6"/>
        <v>41234457.557473816</v>
      </c>
      <c r="J23" s="150">
        <f t="shared" ca="1" si="0"/>
        <v>2.1250029867061208E-2</v>
      </c>
      <c r="K23" s="343">
        <f t="shared" ca="1" si="1"/>
        <v>2.1250029867061208E-2</v>
      </c>
      <c r="L23" s="150">
        <f t="shared" ca="1" si="2"/>
        <v>0.37491540698863846</v>
      </c>
      <c r="M23" s="343">
        <f t="shared" ca="1" si="3"/>
        <v>20.894399770062282</v>
      </c>
      <c r="N23" s="346">
        <f t="shared" ca="1" si="10"/>
        <v>7979486.9992877673</v>
      </c>
      <c r="O23" s="139">
        <f ca="1">N23*NPV!C21</f>
        <v>2702928.3193269237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x14ac:dyDescent="0.2">
      <c r="A24" s="19">
        <f t="shared" si="9"/>
        <v>2036</v>
      </c>
      <c r="B24" s="5">
        <f t="shared" ca="1" si="7"/>
        <v>1306694.2294971019</v>
      </c>
      <c r="C24" s="6">
        <f t="shared" si="8"/>
        <v>825011.22747427726</v>
      </c>
      <c r="D24" s="5">
        <f t="shared" si="4"/>
        <v>180034.56128598755</v>
      </c>
      <c r="E24" s="6">
        <f ca="1">B24*'Ton-miles'!$B$160</f>
        <v>581478932.12621033</v>
      </c>
      <c r="F24" s="5">
        <f>C24*'Ton-miles'!$B$159</f>
        <v>356404850.26888776</v>
      </c>
      <c r="G24" s="6">
        <f>D24*'Ton-miles'!$B$158</f>
        <v>70753582.585393116</v>
      </c>
      <c r="H24" s="345">
        <f t="shared" ca="1" si="5"/>
        <v>370093608.43860888</v>
      </c>
      <c r="I24" s="6">
        <f t="shared" ca="1" si="6"/>
        <v>44830373.476655453</v>
      </c>
      <c r="J24" s="150">
        <f t="shared" ca="1" si="0"/>
        <v>2.3102621795746379E-2</v>
      </c>
      <c r="K24" s="343">
        <f t="shared" ca="1" si="1"/>
        <v>2.3102621795746379E-2</v>
      </c>
      <c r="L24" s="150">
        <f t="shared" ca="1" si="2"/>
        <v>0.40760463394150126</v>
      </c>
      <c r="M24" s="343">
        <f t="shared" ca="1" si="3"/>
        <v>22.716461224590599</v>
      </c>
      <c r="N24" s="346">
        <f t="shared" ca="1" si="10"/>
        <v>8675279.5923009906</v>
      </c>
      <c r="O24" s="139">
        <f ca="1">N24*NPV!C22</f>
        <v>2746371.3490384202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x14ac:dyDescent="0.2">
      <c r="A25" s="19">
        <f t="shared" si="9"/>
        <v>2037</v>
      </c>
      <c r="B25" s="5">
        <f t="shared" ca="1" si="7"/>
        <v>1436577.7859768823</v>
      </c>
      <c r="C25" s="6">
        <f t="shared" si="8"/>
        <v>907016.17548828083</v>
      </c>
      <c r="D25" s="5">
        <f t="shared" si="4"/>
        <v>180934.73409241746</v>
      </c>
      <c r="E25" s="6">
        <f ca="1">B25*'Ton-miles'!$B$160</f>
        <v>639277114.75971258</v>
      </c>
      <c r="F25" s="5">
        <f>C25*'Ton-miles'!$B$159</f>
        <v>391830987.81093735</v>
      </c>
      <c r="G25" s="6">
        <f>D25*'Ton-miles'!$B$158</f>
        <v>71107350.498320058</v>
      </c>
      <c r="H25" s="345">
        <f t="shared" ca="1" si="5"/>
        <v>404425460.30020273</v>
      </c>
      <c r="I25" s="6">
        <f t="shared" ca="1" si="6"/>
        <v>48990735.9982704</v>
      </c>
      <c r="J25" s="150">
        <f t="shared" ca="1" si="0"/>
        <v>2.524600776630179E-2</v>
      </c>
      <c r="K25" s="343">
        <f t="shared" ca="1" si="1"/>
        <v>2.524600776630179E-2</v>
      </c>
      <c r="L25" s="150">
        <f t="shared" ca="1" si="2"/>
        <v>0.44542499539484004</v>
      </c>
      <c r="M25" s="343">
        <f t="shared" ca="1" si="3"/>
        <v>24.82452885179222</v>
      </c>
      <c r="N25" s="346">
        <f t="shared" ca="1" si="10"/>
        <v>9480289.2551305871</v>
      </c>
      <c r="O25" s="139">
        <f ca="1">N25*NPV!C23</f>
        <v>2804875.5068845032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x14ac:dyDescent="0.2">
      <c r="A26" s="19">
        <f t="shared" si="9"/>
        <v>2038</v>
      </c>
      <c r="B26" s="5">
        <f t="shared" ca="1" si="7"/>
        <v>1587268.4420105584</v>
      </c>
      <c r="C26" s="6">
        <f t="shared" si="8"/>
        <v>1002158.1607338222</v>
      </c>
      <c r="D26" s="5">
        <f t="shared" si="4"/>
        <v>181839.40776287953</v>
      </c>
      <c r="E26" s="6">
        <f ca="1">B26*'Ton-miles'!$B$160</f>
        <v>706334456.69469845</v>
      </c>
      <c r="F26" s="5">
        <f>C26*'Ton-miles'!$B$159</f>
        <v>432932325.43701118</v>
      </c>
      <c r="G26" s="6">
        <f>D26*'Ton-miles'!$B$158</f>
        <v>71462887.250811651</v>
      </c>
      <c r="H26" s="345">
        <f t="shared" ca="1" si="5"/>
        <v>444237029.350416</v>
      </c>
      <c r="I26" s="6">
        <f t="shared" ca="1" si="6"/>
        <v>53815149.840913534</v>
      </c>
      <c r="J26" s="150">
        <f t="shared" ca="1" si="0"/>
        <v>2.7731502539740285E-2</v>
      </c>
      <c r="K26" s="343">
        <f t="shared" ca="1" si="1"/>
        <v>2.7731502539740285E-2</v>
      </c>
      <c r="L26" s="150">
        <f t="shared" ca="1" si="2"/>
        <v>0.48928195350085563</v>
      </c>
      <c r="M26" s="343">
        <f t="shared" ca="1" si="3"/>
        <v>27.26907254949613</v>
      </c>
      <c r="N26" s="346">
        <f t="shared" ca="1" si="10"/>
        <v>10413788.90635474</v>
      </c>
      <c r="O26" s="139">
        <f ca="1">N26*NPV!C24</f>
        <v>2879499.4108229224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x14ac:dyDescent="0.2">
      <c r="A27" s="19">
        <f t="shared" si="9"/>
        <v>2039</v>
      </c>
      <c r="B27" s="5">
        <f t="shared" ca="1" si="7"/>
        <v>1762534.7107924609</v>
      </c>
      <c r="C27" s="6">
        <f t="shared" si="8"/>
        <v>1112816.5200335672</v>
      </c>
      <c r="D27" s="5">
        <f t="shared" si="4"/>
        <v>182748.60480169387</v>
      </c>
      <c r="E27" s="6">
        <f ca="1">B27*'Ton-miles'!$B$160</f>
        <v>784327946.30264509</v>
      </c>
      <c r="F27" s="5">
        <f>C27*'Ton-miles'!$B$159</f>
        <v>480736736.65450102</v>
      </c>
      <c r="G27" s="6">
        <f>D27*'Ton-miles'!$B$158</f>
        <v>71820201.687065691</v>
      </c>
      <c r="H27" s="345">
        <f t="shared" ca="1" si="5"/>
        <v>490520669.3776058</v>
      </c>
      <c r="I27" s="6">
        <f t="shared" ca="1" si="6"/>
        <v>59423871.99546577</v>
      </c>
      <c r="J27" s="150">
        <f t="shared" ca="1" si="0"/>
        <v>3.0621060597911351E-2</v>
      </c>
      <c r="K27" s="343">
        <f t="shared" ca="1" si="1"/>
        <v>3.0621060597911351E-2</v>
      </c>
      <c r="L27" s="150">
        <f t="shared" ca="1" si="2"/>
        <v>0.54026871102279705</v>
      </c>
      <c r="M27" s="343">
        <f t="shared" ca="1" si="3"/>
        <v>30.11102676063366</v>
      </c>
      <c r="N27" s="346">
        <f t="shared" ca="1" si="10"/>
        <v>11499047.555958318</v>
      </c>
      <c r="O27" s="139">
        <f ca="1">N27*NPV!C25</f>
        <v>2971572.4027200025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x14ac:dyDescent="0.2">
      <c r="A28" s="19">
        <f t="shared" si="9"/>
        <v>2040</v>
      </c>
      <c r="B28" s="5">
        <f t="shared" ca="1" si="7"/>
        <v>1966939.6600787686</v>
      </c>
      <c r="C28" s="6">
        <f t="shared" si="8"/>
        <v>1241872.2503687474</v>
      </c>
      <c r="D28" s="5">
        <f t="shared" si="4"/>
        <v>183662.34782570234</v>
      </c>
      <c r="E28" s="6">
        <f ca="1">B28*'Ton-miles'!$B$160</f>
        <v>875288148.73505199</v>
      </c>
      <c r="F28" s="5">
        <f>C28*'Ton-miles'!$B$159</f>
        <v>536488812.1592989</v>
      </c>
      <c r="G28" s="6">
        <f>D28*'Ton-miles'!$B$158</f>
        <v>72179302.695501015</v>
      </c>
      <c r="H28" s="345">
        <f t="shared" ca="1" si="5"/>
        <v>544477961.70024633</v>
      </c>
      <c r="I28" s="6">
        <f t="shared" ca="1" si="6"/>
        <v>65962514.395731643</v>
      </c>
      <c r="J28" s="150">
        <f t="shared" ca="1" si="0"/>
        <v>3.3989698884304545E-2</v>
      </c>
      <c r="K28" s="343">
        <f t="shared" ca="1" si="1"/>
        <v>3.3989698884304545E-2</v>
      </c>
      <c r="L28" s="150">
        <f t="shared" ca="1" si="2"/>
        <v>0.59970896121965367</v>
      </c>
      <c r="M28" s="343">
        <f t="shared" ca="1" si="3"/>
        <v>33.424173325270623</v>
      </c>
      <c r="N28" s="346">
        <f t="shared" ca="1" si="10"/>
        <v>12764240.244029243</v>
      </c>
      <c r="O28" s="139">
        <f ca="1">N28*NPV!C26</f>
        <v>3082731.0612511113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x14ac:dyDescent="0.2">
      <c r="A29" s="19">
        <f t="shared" si="9"/>
        <v>2041</v>
      </c>
      <c r="B29" s="5">
        <f t="shared" ca="1" si="7"/>
        <v>2206025.1413571006</v>
      </c>
      <c r="C29" s="6">
        <f t="shared" si="8"/>
        <v>1392824.3261704661</v>
      </c>
      <c r="D29" s="5">
        <f t="shared" si="4"/>
        <v>184580.6595648308</v>
      </c>
      <c r="E29" s="6">
        <f ca="1">B29*'Ton-miles'!$B$160</f>
        <v>981681187.9039098</v>
      </c>
      <c r="F29" s="5">
        <f>C29*'Ton-miles'!$B$159</f>
        <v>601700108.90564132</v>
      </c>
      <c r="G29" s="6">
        <f>D29*'Ton-miles'!$B$158</f>
        <v>72540199.208978504</v>
      </c>
      <c r="H29" s="345">
        <f t="shared" ca="1" si="5"/>
        <v>607568227.64555454</v>
      </c>
      <c r="I29" s="6">
        <f t="shared" ca="1" si="6"/>
        <v>73607922.83469148</v>
      </c>
      <c r="J29" s="150">
        <f t="shared" ca="1" si="0"/>
        <v>3.7928525527807087E-2</v>
      </c>
      <c r="K29" s="343">
        <f t="shared" ca="1" si="1"/>
        <v>3.7928525527807087E-2</v>
      </c>
      <c r="L29" s="150">
        <f t="shared" ca="1" si="2"/>
        <v>0.66921033045595291</v>
      </c>
      <c r="M29" s="343">
        <f t="shared" ca="1" si="3"/>
        <v>37.29812033849857</v>
      </c>
      <c r="N29" s="346">
        <f t="shared" ca="1" si="10"/>
        <v>14243585.575959813</v>
      </c>
      <c r="O29" s="139">
        <f ca="1">N29*NPV!C27</f>
        <v>3214964.7838532086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x14ac:dyDescent="0.2">
      <c r="A30" s="19">
        <f t="shared" si="9"/>
        <v>2042</v>
      </c>
      <c r="B30" s="5">
        <f t="shared" ca="1" si="7"/>
        <v>2486542.8046355285</v>
      </c>
      <c r="C30" s="6">
        <f t="shared" si="8"/>
        <v>1569935.5557797225</v>
      </c>
      <c r="D30" s="5">
        <f t="shared" si="4"/>
        <v>185503.56286265497</v>
      </c>
      <c r="E30" s="6">
        <f ca="1">B30*'Ton-miles'!$B$160</f>
        <v>1106511548.0628102</v>
      </c>
      <c r="F30" s="5">
        <f>C30*'Ton-miles'!$B$159</f>
        <v>678212160.09684014</v>
      </c>
      <c r="G30" s="6">
        <f>D30*'Ton-miles'!$B$158</f>
        <v>72902900.205023408</v>
      </c>
      <c r="H30" s="345">
        <f t="shared" ca="1" si="5"/>
        <v>681569360.93578184</v>
      </c>
      <c r="I30" s="6">
        <f t="shared" ca="1" si="6"/>
        <v>82575548.851375788</v>
      </c>
      <c r="J30" s="150">
        <f t="shared" ca="1" si="0"/>
        <v>4.2548537721080956E-2</v>
      </c>
      <c r="K30" s="343">
        <f t="shared" ca="1" si="1"/>
        <v>4.2548537721080956E-2</v>
      </c>
      <c r="L30" s="150">
        <f t="shared" ca="1" si="2"/>
        <v>0.7507313927426732</v>
      </c>
      <c r="M30" s="343">
        <f t="shared" ca="1" si="3"/>
        <v>41.842037499340371</v>
      </c>
      <c r="N30" s="346">
        <f t="shared" ca="1" si="10"/>
        <v>15978772.138551326</v>
      </c>
      <c r="O30" s="139">
        <f ca="1">N30*NPV!C28</f>
        <v>3370672.1823107121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ht="13.5" thickBot="1" x14ac:dyDescent="0.25">
      <c r="A31" s="51">
        <f t="shared" si="9"/>
        <v>2043</v>
      </c>
      <c r="B31" s="12">
        <f t="shared" ca="1" si="7"/>
        <v>2816744.6863540895</v>
      </c>
      <c r="C31" s="13">
        <f t="shared" si="8"/>
        <v>1778416.0507581006</v>
      </c>
      <c r="D31" s="12">
        <f t="shared" si="4"/>
        <v>186431.08067696821</v>
      </c>
      <c r="E31" s="13">
        <f ca="1">B31*'Ton-miles'!$B$160</f>
        <v>1253451385.4275699</v>
      </c>
      <c r="F31" s="12">
        <f>C31*'Ton-miles'!$B$159</f>
        <v>768275733.92749941</v>
      </c>
      <c r="G31" s="13">
        <f>D31*'Ton-miles'!$B$158</f>
        <v>73267414.706048504</v>
      </c>
      <c r="H31" s="349">
        <f t="shared" ca="1" si="5"/>
        <v>768654347.27449346</v>
      </c>
      <c r="I31" s="13">
        <f t="shared" ca="1" si="6"/>
        <v>93128722.648929507</v>
      </c>
      <c r="J31" s="151">
        <f t="shared" ca="1" si="0"/>
        <v>4.798539897984648E-2</v>
      </c>
      <c r="K31" s="344">
        <f t="shared" ca="1" si="1"/>
        <v>4.798539897984648E-2</v>
      </c>
      <c r="L31" s="151">
        <f t="shared" ca="1" si="2"/>
        <v>0.84666596570618435</v>
      </c>
      <c r="M31" s="344">
        <f t="shared" ca="1" si="3"/>
        <v>47.189354715725301</v>
      </c>
      <c r="N31" s="347">
        <f t="shared" ca="1" si="10"/>
        <v>18020752.754305985</v>
      </c>
      <c r="O31" s="139">
        <f ca="1">N31*NPV!C29</f>
        <v>3552730.4944443875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3.5" thickTop="1" x14ac:dyDescent="0.2">
      <c r="A32" s="545" t="s">
        <v>0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348">
        <f ca="1">SUM(N6:N31)</f>
        <v>170323057.19795135</v>
      </c>
      <c r="O32" s="249">
        <f ca="1">SUM(O6:O31)</f>
        <v>58089087.380408064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53" x14ac:dyDescent="0.2">
      <c r="A33" s="559" t="s">
        <v>311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0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41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3" x14ac:dyDescent="0.2">
      <c r="A34" s="245"/>
      <c r="B34" s="245"/>
      <c r="C34" s="245"/>
      <c r="D34" s="245"/>
      <c r="E34" s="245"/>
      <c r="F34" s="245"/>
      <c r="G34" s="245"/>
      <c r="H34" s="35"/>
      <c r="I34" s="35"/>
      <c r="J34" s="35"/>
      <c r="K34" s="35"/>
      <c r="L34" s="35"/>
      <c r="M34" s="3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41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3" x14ac:dyDescent="0.2">
      <c r="A35" s="508" t="s">
        <v>323</v>
      </c>
      <c r="B35" s="510"/>
      <c r="C35" s="245"/>
      <c r="D35" s="245"/>
      <c r="E35" s="245"/>
      <c r="F35" s="245"/>
      <c r="G35" s="245"/>
      <c r="H35" s="245"/>
      <c r="I35" s="245"/>
      <c r="J35" s="35"/>
      <c r="K35" s="35"/>
      <c r="L35" s="35"/>
      <c r="M35" s="3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7"/>
      <c r="Z35" s="41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3" x14ac:dyDescent="0.2">
      <c r="A36" s="156" t="s">
        <v>320</v>
      </c>
      <c r="B36" s="430">
        <v>0.9</v>
      </c>
      <c r="C36" s="245"/>
      <c r="D36" s="245"/>
      <c r="E36" s="245"/>
      <c r="F36" s="245"/>
      <c r="G36" s="245"/>
      <c r="H36" s="245"/>
      <c r="I36" s="245"/>
      <c r="J36" s="35"/>
      <c r="K36" s="35"/>
      <c r="L36" s="35"/>
      <c r="M36" s="3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7"/>
      <c r="Z36" s="41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3" x14ac:dyDescent="0.2">
      <c r="A37" s="157" t="s">
        <v>321</v>
      </c>
      <c r="B37" s="430">
        <f>1-B36</f>
        <v>9.9999999999999978E-2</v>
      </c>
      <c r="C37" s="245"/>
      <c r="D37" s="245"/>
      <c r="E37" s="245"/>
      <c r="F37" s="245"/>
      <c r="G37" s="245"/>
      <c r="H37" s="245"/>
      <c r="I37" s="245"/>
      <c r="J37" s="35"/>
      <c r="K37" s="35"/>
      <c r="L37" s="35"/>
      <c r="M37" s="35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7"/>
      <c r="Z37" s="41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3" x14ac:dyDescent="0.2">
      <c r="A38" s="429" t="s">
        <v>322</v>
      </c>
      <c r="B38" s="431">
        <v>0.25</v>
      </c>
      <c r="C38" s="245"/>
      <c r="D38" s="245"/>
      <c r="E38" s="245"/>
      <c r="F38" s="245"/>
      <c r="G38" s="245"/>
      <c r="H38" s="245"/>
      <c r="I38" s="245"/>
      <c r="J38" s="35"/>
      <c r="K38" s="35"/>
      <c r="L38" s="35"/>
      <c r="M38" s="35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41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3" x14ac:dyDescent="0.2">
      <c r="A39" s="559" t="s">
        <v>121</v>
      </c>
      <c r="B39" s="560"/>
      <c r="C39" s="37"/>
      <c r="D39" s="37"/>
      <c r="E39" s="37"/>
      <c r="F39" s="18"/>
      <c r="G39" s="18"/>
      <c r="H39" s="18"/>
      <c r="I39" s="18"/>
      <c r="J39" s="37"/>
      <c r="K39" s="37"/>
      <c r="L39" s="30"/>
      <c r="M39" s="30"/>
      <c r="N39" s="30"/>
      <c r="O39" s="36"/>
      <c r="P39" s="36"/>
      <c r="Q39" s="36"/>
      <c r="R39" s="36"/>
      <c r="S39" s="36"/>
      <c r="T39" s="36"/>
      <c r="U39" s="36"/>
      <c r="V39" s="3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</row>
    <row r="40" spans="1:53" x14ac:dyDescent="0.2">
      <c r="A40" s="38"/>
      <c r="B40" s="38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x14ac:dyDescent="0.2">
      <c r="A41" s="153" t="s">
        <v>324</v>
      </c>
      <c r="B41" s="153" t="s">
        <v>325</v>
      </c>
      <c r="C41" s="153" t="s">
        <v>326</v>
      </c>
      <c r="D41" s="153" t="s">
        <v>329</v>
      </c>
      <c r="E41" s="153" t="s">
        <v>335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  <row r="42" spans="1:53" x14ac:dyDescent="0.2">
      <c r="A42" s="154" t="s">
        <v>327</v>
      </c>
      <c r="B42" s="426" t="s">
        <v>332</v>
      </c>
      <c r="C42" s="427" t="s">
        <v>333</v>
      </c>
      <c r="D42" s="427" t="s">
        <v>330</v>
      </c>
      <c r="E42" s="427">
        <v>255</v>
      </c>
      <c r="F42" s="30" t="s">
        <v>334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</row>
    <row r="43" spans="1:53" x14ac:dyDescent="0.2">
      <c r="A43" s="154" t="s">
        <v>328</v>
      </c>
      <c r="B43" s="426" t="s">
        <v>332</v>
      </c>
      <c r="C43" s="427" t="s">
        <v>90</v>
      </c>
      <c r="D43" s="427" t="s">
        <v>330</v>
      </c>
      <c r="E43" s="427">
        <v>214</v>
      </c>
      <c r="F43" s="30" t="s">
        <v>334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1:53" x14ac:dyDescent="0.2">
      <c r="A44" s="154" t="s">
        <v>336</v>
      </c>
      <c r="B44" s="426" t="s">
        <v>332</v>
      </c>
      <c r="C44" s="427" t="s">
        <v>91</v>
      </c>
      <c r="D44" s="427"/>
      <c r="E44" s="427">
        <v>279</v>
      </c>
      <c r="F44" s="30" t="s">
        <v>338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</row>
    <row r="45" spans="1:53" x14ac:dyDescent="0.2">
      <c r="A45" s="154" t="s">
        <v>337</v>
      </c>
      <c r="B45" s="426" t="s">
        <v>332</v>
      </c>
      <c r="C45" s="427" t="s">
        <v>90</v>
      </c>
      <c r="D45" s="427"/>
      <c r="E45" s="427">
        <v>232</v>
      </c>
      <c r="F45" s="30" t="s">
        <v>338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</row>
    <row r="46" spans="1:53" x14ac:dyDescent="0.2">
      <c r="A46" s="559" t="s">
        <v>331</v>
      </c>
      <c r="B46" s="561"/>
      <c r="C46" s="561"/>
      <c r="D46" s="561"/>
      <c r="E46" s="56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</row>
    <row r="47" spans="1:53" x14ac:dyDescent="0.2">
      <c r="A47" s="38"/>
      <c r="B47" s="3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</row>
    <row r="48" spans="1:53" x14ac:dyDescent="0.2">
      <c r="A48" s="508" t="s">
        <v>346</v>
      </c>
      <c r="B48" s="51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</row>
    <row r="49" spans="1:53" x14ac:dyDescent="0.2">
      <c r="A49" s="154" t="s">
        <v>347</v>
      </c>
      <c r="B49" s="428">
        <v>5.0000000000000001E-3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</row>
    <row r="50" spans="1:53" x14ac:dyDescent="0.2">
      <c r="A50" s="38"/>
      <c r="B50" s="3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</row>
    <row r="51" spans="1:53" x14ac:dyDescent="0.2">
      <c r="A51" s="508" t="s">
        <v>135</v>
      </c>
      <c r="B51" s="510"/>
      <c r="C51" s="30"/>
      <c r="D51" s="16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</row>
    <row r="52" spans="1:53" x14ac:dyDescent="0.2">
      <c r="A52" s="152"/>
      <c r="B52" s="330" t="s">
        <v>153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</row>
    <row r="53" spans="1:53" x14ac:dyDescent="0.2">
      <c r="A53" s="154" t="s">
        <v>136</v>
      </c>
      <c r="B53" s="454">
        <v>4500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x14ac:dyDescent="0.2">
      <c r="A54" s="546" t="s">
        <v>152</v>
      </c>
      <c r="B54" s="54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</row>
    <row r="55" spans="1:53" x14ac:dyDescent="0.2">
      <c r="A55" s="155"/>
      <c r="B55" s="15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3" x14ac:dyDescent="0.2">
      <c r="A56" s="152" t="s">
        <v>137</v>
      </c>
      <c r="B56" s="15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</row>
    <row r="57" spans="1:53" x14ac:dyDescent="0.2">
      <c r="A57" s="152" t="s">
        <v>138</v>
      </c>
      <c r="B57" s="152" t="s">
        <v>139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</row>
    <row r="58" spans="1:53" x14ac:dyDescent="0.2">
      <c r="A58" s="156" t="s">
        <v>140</v>
      </c>
      <c r="B58" s="455">
        <v>3700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</row>
    <row r="59" spans="1:53" x14ac:dyDescent="0.2">
      <c r="A59" s="157" t="s">
        <v>141</v>
      </c>
      <c r="B59" s="456">
        <v>72500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</row>
    <row r="60" spans="1:53" x14ac:dyDescent="0.2">
      <c r="A60" s="157" t="s">
        <v>142</v>
      </c>
      <c r="B60" s="456">
        <v>142000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</row>
    <row r="61" spans="1:53" x14ac:dyDescent="0.2">
      <c r="A61" s="157" t="s">
        <v>143</v>
      </c>
      <c r="B61" s="456">
        <v>521300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</row>
    <row r="62" spans="1:53" x14ac:dyDescent="0.2">
      <c r="A62" s="157" t="s">
        <v>144</v>
      </c>
      <c r="B62" s="456">
        <v>10900000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spans="1:53" ht="25.5" x14ac:dyDescent="0.2">
      <c r="A63" s="53" t="s">
        <v>145</v>
      </c>
      <c r="B63" s="457">
        <v>197600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</row>
    <row r="64" spans="1:53" ht="38.25" x14ac:dyDescent="0.2">
      <c r="A64" s="158" t="s">
        <v>146</v>
      </c>
      <c r="B64" s="458">
        <v>150200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</row>
    <row r="65" spans="1:53" x14ac:dyDescent="0.2">
      <c r="A65" s="546" t="s">
        <v>152</v>
      </c>
      <c r="B65" s="547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0"/>
      <c r="O66" s="30"/>
      <c r="P66" s="30"/>
      <c r="Q66" s="4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3" x14ac:dyDescent="0.2">
      <c r="A67" s="548" t="s">
        <v>147</v>
      </c>
      <c r="B67" s="549"/>
      <c r="C67" s="548" t="s">
        <v>124</v>
      </c>
      <c r="D67" s="549"/>
      <c r="E67" s="548" t="s">
        <v>134</v>
      </c>
      <c r="F67" s="549"/>
      <c r="G67" s="30"/>
      <c r="H67" s="81"/>
      <c r="I67" s="81"/>
      <c r="J67" s="235"/>
      <c r="K67" s="235"/>
      <c r="L67" s="235"/>
      <c r="M67" s="235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ht="38.25" x14ac:dyDescent="0.2">
      <c r="A68" s="239" t="s">
        <v>1</v>
      </c>
      <c r="B68" s="385" t="s">
        <v>131</v>
      </c>
      <c r="C68" s="239" t="s">
        <v>123</v>
      </c>
      <c r="D68" s="239" t="s">
        <v>122</v>
      </c>
      <c r="E68" s="239" t="s">
        <v>123</v>
      </c>
      <c r="F68" s="239" t="s">
        <v>122</v>
      </c>
      <c r="G68" s="30"/>
      <c r="H68" s="81"/>
      <c r="I68" s="81"/>
      <c r="J68" s="235"/>
      <c r="K68" s="235"/>
      <c r="L68" s="235"/>
      <c r="M68" s="235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x14ac:dyDescent="0.2">
      <c r="A69" s="363">
        <v>2002</v>
      </c>
      <c r="B69" s="84">
        <v>53653000000</v>
      </c>
      <c r="C69" s="84">
        <v>0</v>
      </c>
      <c r="D69" s="84">
        <v>0</v>
      </c>
      <c r="E69" s="146"/>
      <c r="F69" s="146"/>
      <c r="G69" s="30"/>
      <c r="H69" s="168"/>
      <c r="I69" s="168"/>
      <c r="J69" s="168"/>
      <c r="K69" s="168"/>
      <c r="L69" s="168"/>
      <c r="M69" s="168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x14ac:dyDescent="0.2">
      <c r="A70" s="363">
        <v>2003</v>
      </c>
      <c r="B70" s="84">
        <v>47539000000</v>
      </c>
      <c r="C70" s="84">
        <v>2</v>
      </c>
      <c r="D70" s="84">
        <v>2</v>
      </c>
      <c r="E70" s="146"/>
      <c r="F70" s="146"/>
      <c r="G70" s="30"/>
      <c r="H70" s="168"/>
      <c r="I70" s="168"/>
      <c r="J70" s="168"/>
      <c r="K70" s="168"/>
      <c r="L70" s="168"/>
      <c r="M70" s="16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71" spans="1:53" x14ac:dyDescent="0.2">
      <c r="A71" s="363">
        <v>2004</v>
      </c>
      <c r="B71" s="84">
        <v>55733000000</v>
      </c>
      <c r="C71" s="84">
        <v>1</v>
      </c>
      <c r="D71" s="84">
        <v>3</v>
      </c>
      <c r="E71" s="146"/>
      <c r="F71" s="146"/>
      <c r="G71" s="30"/>
      <c r="H71" s="168"/>
      <c r="I71" s="168"/>
      <c r="J71" s="168"/>
      <c r="K71" s="168"/>
      <c r="L71" s="168"/>
      <c r="M71" s="16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</row>
    <row r="72" spans="1:53" x14ac:dyDescent="0.2">
      <c r="A72" s="363">
        <v>2005</v>
      </c>
      <c r="B72" s="84">
        <v>51924000000</v>
      </c>
      <c r="C72" s="84">
        <v>1</v>
      </c>
      <c r="D72" s="84">
        <v>1</v>
      </c>
      <c r="E72" s="146"/>
      <c r="F72" s="146"/>
      <c r="G72" s="30"/>
      <c r="H72" s="168"/>
      <c r="I72" s="168"/>
      <c r="J72" s="168"/>
      <c r="K72" s="168"/>
      <c r="L72" s="168"/>
      <c r="M72" s="16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</row>
    <row r="73" spans="1:53" ht="13.5" thickBot="1" x14ac:dyDescent="0.25">
      <c r="A73" s="364">
        <v>2006</v>
      </c>
      <c r="B73" s="87">
        <v>53105000000</v>
      </c>
      <c r="C73" s="87">
        <v>2</v>
      </c>
      <c r="D73" s="87">
        <v>0</v>
      </c>
      <c r="E73" s="148"/>
      <c r="F73" s="148"/>
      <c r="G73" s="30"/>
      <c r="H73" s="168"/>
      <c r="I73" s="168"/>
      <c r="J73" s="168"/>
      <c r="K73" s="168"/>
      <c r="L73" s="168"/>
      <c r="M73" s="16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</row>
    <row r="74" spans="1:53" ht="13.5" thickTop="1" x14ac:dyDescent="0.2">
      <c r="A74" s="405" t="s">
        <v>125</v>
      </c>
      <c r="B74" s="85">
        <f>AVERAGE(B69:B73)</f>
        <v>52390800000</v>
      </c>
      <c r="C74" s="149">
        <f t="shared" ref="C74:D74" si="11">AVERAGE(C69:C73)</f>
        <v>1.2</v>
      </c>
      <c r="D74" s="149">
        <f t="shared" si="11"/>
        <v>1.2</v>
      </c>
      <c r="E74" s="147">
        <f>C74/$B$74</f>
        <v>2.2904784809546714E-11</v>
      </c>
      <c r="F74" s="147">
        <f>D74/$B$74</f>
        <v>2.2904784809546714E-11</v>
      </c>
      <c r="G74" s="30"/>
      <c r="H74" s="168"/>
      <c r="I74" s="168"/>
      <c r="J74" s="169"/>
      <c r="K74" s="169"/>
      <c r="L74" s="170"/>
      <c r="M74" s="17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</row>
    <row r="75" spans="1:53" x14ac:dyDescent="0.2">
      <c r="A75" s="550" t="s">
        <v>126</v>
      </c>
      <c r="B75" s="551"/>
      <c r="C75" s="551"/>
      <c r="D75" s="551"/>
      <c r="E75" s="551"/>
      <c r="F75" s="55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</row>
    <row r="76" spans="1:53" x14ac:dyDescent="0.2">
      <c r="A76" s="556" t="s">
        <v>439</v>
      </c>
      <c r="B76" s="557"/>
      <c r="C76" s="557"/>
      <c r="D76" s="557"/>
      <c r="E76" s="557"/>
      <c r="F76" s="55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</row>
    <row r="77" spans="1:53" x14ac:dyDescent="0.2">
      <c r="A77" s="18"/>
      <c r="B77" s="18"/>
      <c r="C77" s="18"/>
      <c r="D77" s="18"/>
      <c r="E77" s="18"/>
      <c r="F77" s="1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</row>
    <row r="78" spans="1:53" ht="16.5" x14ac:dyDescent="0.3">
      <c r="A78" s="548" t="s">
        <v>148</v>
      </c>
      <c r="B78" s="549"/>
      <c r="C78" s="548" t="s">
        <v>134</v>
      </c>
      <c r="D78" s="562"/>
      <c r="E78" s="562"/>
      <c r="F78" s="549"/>
      <c r="G78" s="30"/>
      <c r="H78" s="171"/>
      <c r="I78" s="17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1:53" ht="27" x14ac:dyDescent="0.3">
      <c r="A79" s="239" t="s">
        <v>1</v>
      </c>
      <c r="B79" s="384" t="s">
        <v>128</v>
      </c>
      <c r="C79" s="239" t="s">
        <v>123</v>
      </c>
      <c r="D79" s="239" t="s">
        <v>122</v>
      </c>
      <c r="E79" s="239" t="s">
        <v>123</v>
      </c>
      <c r="F79" s="239" t="s">
        <v>122</v>
      </c>
      <c r="G79" s="30"/>
      <c r="H79" s="171"/>
      <c r="I79" s="17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1:53" ht="16.5" x14ac:dyDescent="0.3">
      <c r="A80" s="363">
        <v>2014</v>
      </c>
      <c r="B80" s="84">
        <v>1851229000000</v>
      </c>
      <c r="C80" s="84">
        <f>5+767</f>
        <v>772</v>
      </c>
      <c r="D80" s="84">
        <f>143+8805</f>
        <v>8948</v>
      </c>
      <c r="E80" s="146"/>
      <c r="F80" s="146"/>
      <c r="G80" s="30"/>
      <c r="H80" s="167"/>
      <c r="I80" s="167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1:53" ht="16.5" x14ac:dyDescent="0.3">
      <c r="A81" s="363">
        <v>2015</v>
      </c>
      <c r="B81" s="84">
        <v>1738283000000</v>
      </c>
      <c r="C81" s="84">
        <f>11+749</f>
        <v>760</v>
      </c>
      <c r="D81" s="84">
        <f>564+9130</f>
        <v>9694</v>
      </c>
      <c r="E81" s="146"/>
      <c r="F81" s="146"/>
      <c r="G81" s="30"/>
      <c r="H81" s="167"/>
      <c r="I81" s="167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1:53" ht="16.5" x14ac:dyDescent="0.3">
      <c r="A82" s="363">
        <v>2016</v>
      </c>
      <c r="B82" s="84">
        <v>1585440000000</v>
      </c>
      <c r="C82" s="84">
        <f>760+7</f>
        <v>767</v>
      </c>
      <c r="D82" s="84">
        <f>8702+433</f>
        <v>9135</v>
      </c>
      <c r="E82" s="146"/>
      <c r="F82" s="146"/>
      <c r="G82" s="30"/>
      <c r="H82" s="167"/>
      <c r="I82" s="167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53" x14ac:dyDescent="0.2">
      <c r="A83" s="363">
        <v>2017</v>
      </c>
      <c r="B83" s="84">
        <v>1674784000000</v>
      </c>
      <c r="C83" s="84">
        <f>817+7</f>
        <v>824</v>
      </c>
      <c r="D83" s="84">
        <f>8889+319</f>
        <v>9208</v>
      </c>
      <c r="E83" s="146"/>
      <c r="F83" s="146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1:53" ht="13.5" thickBot="1" x14ac:dyDescent="0.25">
      <c r="A84" s="364">
        <v>2018</v>
      </c>
      <c r="B84" s="87">
        <v>1729638000000</v>
      </c>
      <c r="C84" s="87">
        <f>813+7</f>
        <v>820</v>
      </c>
      <c r="D84" s="87">
        <f>204+8303</f>
        <v>8507</v>
      </c>
      <c r="E84" s="148"/>
      <c r="F84" s="148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1:53" ht="13.5" thickTop="1" x14ac:dyDescent="0.2">
      <c r="A85" s="405" t="s">
        <v>125</v>
      </c>
      <c r="B85" s="85">
        <f>AVERAGE(B80:B84)</f>
        <v>1715874800000</v>
      </c>
      <c r="C85" s="149">
        <f>AVERAGE(C80:C84)</f>
        <v>788.6</v>
      </c>
      <c r="D85" s="149">
        <f t="shared" ref="D85" si="12">AVERAGE(D80:D84)</f>
        <v>9098.4</v>
      </c>
      <c r="E85" s="147">
        <f>C85/$B$85</f>
        <v>4.5959064146171972E-10</v>
      </c>
      <c r="F85" s="147">
        <f>D85/$B$85</f>
        <v>5.3024847733645832E-9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1:53" x14ac:dyDescent="0.2">
      <c r="A86" s="550" t="s">
        <v>126</v>
      </c>
      <c r="B86" s="551"/>
      <c r="C86" s="551"/>
      <c r="D86" s="551"/>
      <c r="E86" s="551"/>
      <c r="F86" s="55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</row>
    <row r="87" spans="1:53" x14ac:dyDescent="0.2">
      <c r="A87" s="553" t="s">
        <v>127</v>
      </c>
      <c r="B87" s="554"/>
      <c r="C87" s="554"/>
      <c r="D87" s="554"/>
      <c r="E87" s="554"/>
      <c r="F87" s="555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</row>
    <row r="88" spans="1:53" x14ac:dyDescent="0.2">
      <c r="A88" s="556" t="s">
        <v>129</v>
      </c>
      <c r="B88" s="557"/>
      <c r="C88" s="557"/>
      <c r="D88" s="557"/>
      <c r="E88" s="557"/>
      <c r="F88" s="558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</row>
    <row r="89" spans="1:53" x14ac:dyDescent="0.2">
      <c r="A89" s="18"/>
      <c r="B89" s="18"/>
      <c r="C89" s="18"/>
      <c r="D89" s="18"/>
      <c r="E89" s="18"/>
      <c r="F89" s="18"/>
      <c r="G89" s="30"/>
      <c r="H89" s="32"/>
      <c r="I89" s="32"/>
      <c r="J89" s="32"/>
      <c r="K89" s="32"/>
      <c r="L89" s="32"/>
      <c r="M89" s="32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</row>
    <row r="90" spans="1:53" x14ac:dyDescent="0.2">
      <c r="A90" s="548" t="s">
        <v>149</v>
      </c>
      <c r="B90" s="549"/>
      <c r="C90" s="548" t="s">
        <v>134</v>
      </c>
      <c r="D90" s="562"/>
      <c r="E90" s="562"/>
      <c r="F90" s="549"/>
      <c r="G90" s="30"/>
      <c r="H90" s="81"/>
      <c r="I90" s="81"/>
      <c r="J90" s="235"/>
      <c r="K90" s="235"/>
      <c r="L90" s="235"/>
      <c r="M90" s="235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</row>
    <row r="91" spans="1:53" x14ac:dyDescent="0.2">
      <c r="A91" s="239" t="s">
        <v>1</v>
      </c>
      <c r="B91" s="239" t="s">
        <v>132</v>
      </c>
      <c r="C91" s="239" t="s">
        <v>123</v>
      </c>
      <c r="D91" s="239" t="s">
        <v>122</v>
      </c>
      <c r="E91" s="239" t="s">
        <v>123</v>
      </c>
      <c r="F91" s="239" t="s">
        <v>122</v>
      </c>
      <c r="G91" s="30"/>
      <c r="H91" s="81"/>
      <c r="I91" s="81"/>
      <c r="J91" s="235"/>
      <c r="K91" s="235"/>
      <c r="L91" s="235"/>
      <c r="M91" s="235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</row>
    <row r="92" spans="1:53" x14ac:dyDescent="0.2">
      <c r="A92" s="363">
        <v>2014</v>
      </c>
      <c r="B92" s="84">
        <v>1956805000000</v>
      </c>
      <c r="C92" s="84">
        <v>9759</v>
      </c>
      <c r="D92" s="84">
        <v>811000</v>
      </c>
      <c r="E92" s="146"/>
      <c r="F92" s="146"/>
      <c r="G92" s="30"/>
      <c r="H92" s="168"/>
      <c r="I92" s="168"/>
      <c r="J92" s="168"/>
      <c r="K92" s="168"/>
      <c r="L92" s="168"/>
      <c r="M92" s="16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</row>
    <row r="93" spans="1:53" x14ac:dyDescent="0.2">
      <c r="A93" s="363">
        <v>2015</v>
      </c>
      <c r="B93" s="84">
        <v>1985827000000</v>
      </c>
      <c r="C93" s="84">
        <v>10543</v>
      </c>
      <c r="D93" s="84">
        <v>839000</v>
      </c>
      <c r="E93" s="146"/>
      <c r="F93" s="146"/>
      <c r="G93" s="30"/>
      <c r="H93" s="168"/>
      <c r="I93" s="168"/>
      <c r="J93" s="168"/>
      <c r="K93" s="168"/>
      <c r="L93" s="168"/>
      <c r="M93" s="16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</row>
    <row r="94" spans="1:53" x14ac:dyDescent="0.2">
      <c r="A94" s="363">
        <v>2016</v>
      </c>
      <c r="B94" s="84">
        <v>2060780000000</v>
      </c>
      <c r="C94" s="84">
        <v>11094</v>
      </c>
      <c r="D94" s="84">
        <v>1071000</v>
      </c>
      <c r="E94" s="146"/>
      <c r="F94" s="146"/>
      <c r="G94" s="30"/>
      <c r="H94" s="168"/>
      <c r="I94" s="168"/>
      <c r="J94" s="168"/>
      <c r="K94" s="168"/>
      <c r="L94" s="168"/>
      <c r="M94" s="16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</row>
    <row r="95" spans="1:53" x14ac:dyDescent="0.2">
      <c r="A95" s="363">
        <v>2017</v>
      </c>
      <c r="B95" s="84">
        <v>2024314000000</v>
      </c>
      <c r="C95" s="84">
        <v>11064</v>
      </c>
      <c r="D95" s="84">
        <v>977000</v>
      </c>
      <c r="E95" s="146"/>
      <c r="F95" s="146"/>
      <c r="G95" s="30"/>
      <c r="H95" s="168"/>
      <c r="I95" s="168"/>
      <c r="J95" s="168"/>
      <c r="K95" s="168"/>
      <c r="L95" s="168"/>
      <c r="M95" s="16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</row>
    <row r="96" spans="1:53" ht="13.5" thickBot="1" x14ac:dyDescent="0.25">
      <c r="A96" s="364">
        <v>2018</v>
      </c>
      <c r="B96" s="87">
        <v>2033921000000</v>
      </c>
      <c r="C96" s="87">
        <v>10847</v>
      </c>
      <c r="D96" s="87">
        <v>960000</v>
      </c>
      <c r="E96" s="148"/>
      <c r="F96" s="148"/>
      <c r="G96" s="30"/>
      <c r="H96" s="168"/>
      <c r="I96" s="168"/>
      <c r="J96" s="168"/>
      <c r="K96" s="168"/>
      <c r="L96" s="168"/>
      <c r="M96" s="168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</row>
    <row r="97" spans="1:53" ht="13.5" thickTop="1" x14ac:dyDescent="0.2">
      <c r="A97" s="405" t="s">
        <v>125</v>
      </c>
      <c r="B97" s="85">
        <f>AVERAGE(B92:B96)</f>
        <v>2012329400000</v>
      </c>
      <c r="C97" s="149">
        <f>AVERAGE(C92:C96)</f>
        <v>10661.4</v>
      </c>
      <c r="D97" s="149">
        <f>AVERAGE(D92:D96)</f>
        <v>931600</v>
      </c>
      <c r="E97" s="147">
        <f>C97/$B$97</f>
        <v>5.2980391778801223E-9</v>
      </c>
      <c r="F97" s="147">
        <f>D97/$B$97</f>
        <v>4.6294607632328982E-7</v>
      </c>
      <c r="G97" s="30"/>
      <c r="H97" s="168"/>
      <c r="I97" s="168"/>
      <c r="J97" s="169"/>
      <c r="K97" s="169"/>
      <c r="L97" s="170"/>
      <c r="M97" s="17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x14ac:dyDescent="0.2">
      <c r="A98" s="563" t="s">
        <v>126</v>
      </c>
      <c r="B98" s="564"/>
      <c r="C98" s="564"/>
      <c r="D98" s="564"/>
      <c r="E98" s="564"/>
      <c r="F98" s="565"/>
      <c r="G98" s="30"/>
      <c r="H98" s="32"/>
      <c r="I98" s="32"/>
      <c r="J98" s="32"/>
      <c r="K98" s="32"/>
      <c r="L98" s="32"/>
      <c r="M98" s="32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</row>
    <row r="99" spans="1:53" x14ac:dyDescent="0.2">
      <c r="A99" s="553" t="s">
        <v>130</v>
      </c>
      <c r="B99" s="554"/>
      <c r="C99" s="554"/>
      <c r="D99" s="554"/>
      <c r="E99" s="554"/>
      <c r="F99" s="555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</row>
    <row r="100" spans="1:53" x14ac:dyDescent="0.2">
      <c r="A100" s="566" t="s">
        <v>174</v>
      </c>
      <c r="B100" s="567"/>
      <c r="C100" s="567"/>
      <c r="D100" s="567"/>
      <c r="E100" s="567"/>
      <c r="F100" s="568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</row>
    <row r="101" spans="1:53" x14ac:dyDescent="0.2">
      <c r="A101" s="569" t="s">
        <v>133</v>
      </c>
      <c r="B101" s="570"/>
      <c r="C101" s="570"/>
      <c r="D101" s="570"/>
      <c r="E101" s="570"/>
      <c r="F101" s="57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</row>
    <row r="102" spans="1:53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</row>
    <row r="103" spans="1:53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</row>
    <row r="104" spans="1:53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</row>
    <row r="105" spans="1:53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</row>
    <row r="106" spans="1:53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</row>
    <row r="107" spans="1:53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</row>
    <row r="108" spans="1:53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</row>
    <row r="109" spans="1:53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</row>
    <row r="110" spans="1:53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</row>
    <row r="111" spans="1:53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</row>
    <row r="112" spans="1:53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</row>
    <row r="113" spans="1:53" s="18" customForma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</row>
    <row r="114" spans="1:53" s="18" customFormat="1" x14ac:dyDescent="0.2"/>
    <row r="115" spans="1:53" s="18" customFormat="1" x14ac:dyDescent="0.2"/>
    <row r="116" spans="1:53" s="18" customFormat="1" x14ac:dyDescent="0.2"/>
    <row r="117" spans="1:53" s="18" customFormat="1" x14ac:dyDescent="0.2"/>
    <row r="118" spans="1:53" s="18" customFormat="1" x14ac:dyDescent="0.2"/>
    <row r="119" spans="1:53" s="18" customFormat="1" x14ac:dyDescent="0.2"/>
    <row r="120" spans="1:53" s="18" customFormat="1" x14ac:dyDescent="0.2"/>
    <row r="121" spans="1:53" s="18" customFormat="1" x14ac:dyDescent="0.2"/>
    <row r="122" spans="1:53" s="18" customFormat="1" x14ac:dyDescent="0.2"/>
    <row r="123" spans="1:53" s="18" customFormat="1" x14ac:dyDescent="0.2"/>
    <row r="124" spans="1:53" s="18" customFormat="1" x14ac:dyDescent="0.2"/>
    <row r="125" spans="1:53" s="18" customFormat="1" x14ac:dyDescent="0.2"/>
    <row r="126" spans="1:53" s="18" customFormat="1" x14ac:dyDescent="0.2"/>
    <row r="127" spans="1:53" s="18" customFormat="1" x14ac:dyDescent="0.2"/>
    <row r="128" spans="1:53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</sheetData>
  <mergeCells count="34">
    <mergeCell ref="A98:F98"/>
    <mergeCell ref="A99:F99"/>
    <mergeCell ref="A100:F100"/>
    <mergeCell ref="A101:F101"/>
    <mergeCell ref="A35:B35"/>
    <mergeCell ref="A39:B39"/>
    <mergeCell ref="A46:E46"/>
    <mergeCell ref="A48:B48"/>
    <mergeCell ref="A33:O33"/>
    <mergeCell ref="A51:B51"/>
    <mergeCell ref="A54:B54"/>
    <mergeCell ref="A65:B65"/>
    <mergeCell ref="A78:B78"/>
    <mergeCell ref="A90:B90"/>
    <mergeCell ref="A86:F86"/>
    <mergeCell ref="A87:F87"/>
    <mergeCell ref="A88:F88"/>
    <mergeCell ref="A67:B67"/>
    <mergeCell ref="C67:D67"/>
    <mergeCell ref="E67:F67"/>
    <mergeCell ref="C78:F78"/>
    <mergeCell ref="A75:F75"/>
    <mergeCell ref="A76:F76"/>
    <mergeCell ref="C90:F90"/>
    <mergeCell ref="B4:D4"/>
    <mergeCell ref="E4:G4"/>
    <mergeCell ref="A3:A5"/>
    <mergeCell ref="B3:O3"/>
    <mergeCell ref="A32:M32"/>
    <mergeCell ref="J4:K4"/>
    <mergeCell ref="L4:M4"/>
    <mergeCell ref="N4:N5"/>
    <mergeCell ref="O4:O5"/>
    <mergeCell ref="H4:I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AD2-2EEF-4417-85B4-603B1A598CB4}">
  <dimension ref="A1:FB331"/>
  <sheetViews>
    <sheetView workbookViewId="0">
      <selection activeCell="J6" sqref="J6"/>
    </sheetView>
  </sheetViews>
  <sheetFormatPr defaultRowHeight="12.75" x14ac:dyDescent="0.2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9" max="158" width="8.85546875" style="18"/>
  </cols>
  <sheetData>
    <row r="1" spans="1:18" ht="20.25" x14ac:dyDescent="0.3">
      <c r="A1" s="29" t="s">
        <v>426</v>
      </c>
      <c r="B1" s="47"/>
      <c r="C1" s="46"/>
      <c r="D1" s="4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573" t="s">
        <v>1</v>
      </c>
      <c r="B3" s="490" t="s">
        <v>400</v>
      </c>
      <c r="C3" s="491"/>
      <c r="D3" s="491"/>
      <c r="E3" s="491"/>
      <c r="F3" s="491"/>
      <c r="G3" s="491"/>
      <c r="H3" s="491"/>
      <c r="I3" s="491"/>
      <c r="J3" s="491"/>
      <c r="K3" s="491"/>
      <c r="L3" s="492"/>
      <c r="M3" s="18"/>
      <c r="N3" s="18"/>
      <c r="O3" s="18"/>
      <c r="P3" s="18"/>
      <c r="Q3" s="18"/>
      <c r="R3" s="18"/>
    </row>
    <row r="4" spans="1:18" x14ac:dyDescent="0.2">
      <c r="A4" s="574"/>
      <c r="B4" s="488" t="s">
        <v>74</v>
      </c>
      <c r="C4" s="490" t="s">
        <v>340</v>
      </c>
      <c r="D4" s="492"/>
      <c r="E4" s="490" t="s">
        <v>402</v>
      </c>
      <c r="F4" s="491"/>
      <c r="G4" s="491"/>
      <c r="H4" s="492"/>
      <c r="I4" s="505" t="s">
        <v>405</v>
      </c>
      <c r="J4" s="505"/>
      <c r="K4" s="505" t="s">
        <v>305</v>
      </c>
      <c r="L4" s="505"/>
      <c r="M4" s="18"/>
      <c r="N4" s="18"/>
      <c r="O4" s="18"/>
      <c r="P4" s="18"/>
      <c r="Q4" s="18"/>
      <c r="R4" s="18"/>
    </row>
    <row r="5" spans="1:18" x14ac:dyDescent="0.2">
      <c r="A5" s="575"/>
      <c r="B5" s="517"/>
      <c r="C5" s="246" t="s">
        <v>69</v>
      </c>
      <c r="D5" s="244" t="s">
        <v>42</v>
      </c>
      <c r="E5" s="246" t="s">
        <v>401</v>
      </c>
      <c r="F5" s="246" t="s">
        <v>403</v>
      </c>
      <c r="G5" s="246" t="s">
        <v>404</v>
      </c>
      <c r="H5" s="246" t="s">
        <v>156</v>
      </c>
      <c r="I5" s="246" t="s">
        <v>406</v>
      </c>
      <c r="J5" s="246" t="s">
        <v>65</v>
      </c>
      <c r="K5" s="246" t="s">
        <v>406</v>
      </c>
      <c r="L5" s="246" t="s">
        <v>65</v>
      </c>
      <c r="M5" s="18"/>
      <c r="N5" s="18"/>
      <c r="O5" s="18"/>
      <c r="P5" s="18"/>
      <c r="Q5" s="18"/>
      <c r="R5" s="18"/>
    </row>
    <row r="6" spans="1:18" x14ac:dyDescent="0.2">
      <c r="A6" s="19">
        <v>2024</v>
      </c>
      <c r="B6" s="335">
        <f ca="1">SUM(Flood_Safety!E12:G12)</f>
        <v>510496793.6509217</v>
      </c>
      <c r="C6" s="6">
        <f ca="1">Flood_Safety!H12</f>
        <v>187334690.08723694</v>
      </c>
      <c r="D6" s="5">
        <f ca="1">Flood_Safety!I12</f>
        <v>22684089.780068327</v>
      </c>
      <c r="E6" s="6">
        <f t="shared" ref="E6:E25" ca="1" si="0">($C6/1000000*$C$70)+($D6/1000000*$D$70)-($B6/1000000*$B$70)</f>
        <v>-2882.4097349725944</v>
      </c>
      <c r="F6" s="5">
        <f t="shared" ref="F6:F25" ca="1" si="1">(($C6/1000000*$C$73)+($D6/1000000*$D$73)-($B6/1000000*$B$73))</f>
        <v>137.41886369893678</v>
      </c>
      <c r="G6" s="6">
        <f t="shared" ref="G6:G25" ca="1" si="2">(($C6/1000000*$C$79)+($D6/1000000*$D$79)-($B6/1000000*$B$79))</f>
        <v>16.878327221191633</v>
      </c>
      <c r="H6" s="5">
        <f t="shared" ref="H6:H25" ca="1" si="3">(($C6/1000000*$C$76)+($D6/1000000*$D$76)-($B6/1000000*$B$76))</f>
        <v>-2.4971737357413879</v>
      </c>
      <c r="I6" s="139">
        <f ca="1">F6*B36+G6*C36+H6*D36</f>
        <v>1067573.8194478787</v>
      </c>
      <c r="J6" s="346">
        <f ca="1">E6*E36</f>
        <v>-158532.53542349269</v>
      </c>
      <c r="K6" s="139">
        <f ca="1">I6*NPV!C10</f>
        <v>761165.37884493067</v>
      </c>
      <c r="L6" s="346">
        <f ca="1">J6*NPV!D10</f>
        <v>-136751.55766699847</v>
      </c>
      <c r="M6" s="18"/>
      <c r="N6" s="18"/>
      <c r="O6" s="18"/>
      <c r="P6" s="18"/>
      <c r="Q6" s="18"/>
      <c r="R6" s="18"/>
    </row>
    <row r="7" spans="1:18" x14ac:dyDescent="0.2">
      <c r="A7" s="19">
        <f t="shared" ref="A7:A25" si="4">A6+1</f>
        <v>2025</v>
      </c>
      <c r="B7" s="335">
        <f ca="1">SUM(Flood_Safety!E13:G13)</f>
        <v>526599860.85823625</v>
      </c>
      <c r="C7" s="6">
        <f ca="1">Flood_Safety!H13</f>
        <v>193242755.48461056</v>
      </c>
      <c r="D7" s="5">
        <f ca="1">Flood_Safety!I13</f>
        <v>23399961.345482022</v>
      </c>
      <c r="E7" s="6">
        <f t="shared" ca="1" si="0"/>
        <v>-2973.3403664685193</v>
      </c>
      <c r="F7" s="5">
        <f t="shared" ca="1" si="1"/>
        <v>141.75409964779612</v>
      </c>
      <c r="G7" s="6">
        <f t="shared" ca="1" si="2"/>
        <v>17.410642347602025</v>
      </c>
      <c r="H7" s="5">
        <f t="shared" ca="1" si="3"/>
        <v>-2.5759580097656567</v>
      </c>
      <c r="I7" s="139">
        <f t="shared" ref="I7:I25" ca="1" si="5">F7*B37+G7*C37+H7*D37</f>
        <v>1111198.5649109837</v>
      </c>
      <c r="J7" s="346">
        <f t="shared" ref="J7:J25" ca="1" si="6">E7*E37</f>
        <v>-166507.06052223709</v>
      </c>
      <c r="K7" s="139">
        <f ca="1">I7*NPV!C11</f>
        <v>740438.52284450224</v>
      </c>
      <c r="L7" s="346">
        <f ca="1">J7*NPV!D11</f>
        <v>-139447.04181404601</v>
      </c>
      <c r="M7" s="18"/>
      <c r="N7" s="18"/>
      <c r="O7" s="18"/>
      <c r="P7" s="18"/>
      <c r="Q7" s="18"/>
      <c r="R7" s="18"/>
    </row>
    <row r="8" spans="1:18" x14ac:dyDescent="0.2">
      <c r="A8" s="19">
        <f t="shared" si="4"/>
        <v>2026</v>
      </c>
      <c r="B8" s="335">
        <f ca="1">SUM(Flood_Safety!E14:G14)</f>
        <v>545644655.51408029</v>
      </c>
      <c r="C8" s="6">
        <f ca="1">Flood_Safety!H14</f>
        <v>200230072.98916405</v>
      </c>
      <c r="D8" s="5">
        <f ca="1">Flood_Safety!I14</f>
        <v>24246620.109252051</v>
      </c>
      <c r="E8" s="6">
        <f t="shared" ca="1" si="0"/>
        <v>-3080.8825863723087</v>
      </c>
      <c r="F8" s="5">
        <f t="shared" ca="1" si="1"/>
        <v>146.88131862125942</v>
      </c>
      <c r="G8" s="6">
        <f t="shared" ca="1" si="2"/>
        <v>18.040198308213554</v>
      </c>
      <c r="H8" s="5">
        <f t="shared" ca="1" si="3"/>
        <v>-2.6691351450630085</v>
      </c>
      <c r="I8" s="139">
        <f t="shared" ca="1" si="5"/>
        <v>1162484.8099467475</v>
      </c>
      <c r="J8" s="346">
        <f t="shared" ca="1" si="6"/>
        <v>-175610.30742322159</v>
      </c>
      <c r="K8" s="139">
        <f ca="1">I8*NPV!C12</f>
        <v>723937.11533909489</v>
      </c>
      <c r="L8" s="346">
        <f ca="1">J8*NPV!D12</f>
        <v>-142787.25027021821</v>
      </c>
      <c r="M8" s="18"/>
      <c r="N8" s="18"/>
      <c r="O8" s="18"/>
      <c r="P8" s="18"/>
      <c r="Q8" s="18"/>
      <c r="R8" s="18"/>
    </row>
    <row r="9" spans="1:18" x14ac:dyDescent="0.2">
      <c r="A9" s="19">
        <f t="shared" si="4"/>
        <v>2027</v>
      </c>
      <c r="B9" s="335">
        <f ca="1">SUM(Flood_Safety!E15:G15)</f>
        <v>567941774.40923715</v>
      </c>
      <c r="C9" s="6">
        <f ca="1">Flood_Safety!H15</f>
        <v>208410593.30206186</v>
      </c>
      <c r="D9" s="5">
        <f ca="1">Flood_Safety!I15</f>
        <v>25237875.024045035</v>
      </c>
      <c r="E9" s="6">
        <f t="shared" ca="1" si="0"/>
        <v>-3206.7902989492177</v>
      </c>
      <c r="F9" s="5">
        <f t="shared" ca="1" si="1"/>
        <v>152.88414071378088</v>
      </c>
      <c r="G9" s="6">
        <f t="shared" ca="1" si="2"/>
        <v>18.777262085790731</v>
      </c>
      <c r="H9" s="5">
        <f t="shared" ca="1" si="3"/>
        <v>-2.7782247862642873</v>
      </c>
      <c r="I9" s="139">
        <f t="shared" ca="1" si="5"/>
        <v>1238150.3326759958</v>
      </c>
      <c r="J9" s="346">
        <f t="shared" ca="1" si="6"/>
        <v>-185993.83733905462</v>
      </c>
      <c r="K9" s="139">
        <f ca="1">I9*NPV!C13</f>
        <v>720614.76643766067</v>
      </c>
      <c r="L9" s="346">
        <f ca="1">J9*NPV!D13</f>
        <v>-146825.25272093381</v>
      </c>
      <c r="M9" s="18"/>
      <c r="N9" s="18"/>
      <c r="O9" s="18"/>
      <c r="P9" s="18"/>
      <c r="Q9" s="18"/>
      <c r="R9" s="18"/>
    </row>
    <row r="10" spans="1:18" x14ac:dyDescent="0.2">
      <c r="A10" s="19">
        <f t="shared" si="4"/>
        <v>2028</v>
      </c>
      <c r="B10" s="335">
        <f ca="1">SUM(Flood_Safety!E16:G16)</f>
        <v>593865111.86794078</v>
      </c>
      <c r="C10" s="6">
        <f ca="1">Flood_Safety!H16</f>
        <v>217921489.50854513</v>
      </c>
      <c r="D10" s="5">
        <f ca="1">Flood_Safety!I16</f>
        <v>26390349.214354955</v>
      </c>
      <c r="E10" s="6">
        <f t="shared" ca="1" si="0"/>
        <v>-3353.1748423452264</v>
      </c>
      <c r="F10" s="5">
        <f t="shared" ca="1" si="1"/>
        <v>159.86322723218467</v>
      </c>
      <c r="G10" s="6">
        <f t="shared" ca="1" si="2"/>
        <v>19.634193004928644</v>
      </c>
      <c r="H10" s="5">
        <f t="shared" ca="1" si="3"/>
        <v>-2.9050562713509249</v>
      </c>
      <c r="I10" s="139">
        <f t="shared" ca="1" si="5"/>
        <v>1307834.4345273874</v>
      </c>
      <c r="J10" s="346">
        <f t="shared" ca="1" si="6"/>
        <v>-197837.31569836836</v>
      </c>
      <c r="K10" s="139">
        <f ca="1">I10*NPV!C14</f>
        <v>711375.27865290479</v>
      </c>
      <c r="L10" s="346">
        <f ca="1">J10*NPV!D14</f>
        <v>-151625.82903317802</v>
      </c>
      <c r="M10" s="18"/>
      <c r="N10" s="18"/>
      <c r="O10" s="18"/>
      <c r="P10" s="18"/>
      <c r="Q10" s="18"/>
      <c r="R10" s="18"/>
    </row>
    <row r="11" spans="1:18" x14ac:dyDescent="0.2">
      <c r="A11" s="19">
        <f t="shared" si="4"/>
        <v>2029</v>
      </c>
      <c r="B11" s="335">
        <f ca="1">SUM(Flood_Safety!E17:G17)</f>
        <v>623862428.65210223</v>
      </c>
      <c r="C11" s="6">
        <f ca="1">Flood_Safety!H17</f>
        <v>228927034.56161165</v>
      </c>
      <c r="D11" s="5">
        <f ca="1">Flood_Safety!I17</f>
        <v>27723949.863890208</v>
      </c>
      <c r="E11" s="6">
        <f t="shared" ca="1" si="0"/>
        <v>-3522.5646699718882</v>
      </c>
      <c r="F11" s="5">
        <f t="shared" ca="1" si="1"/>
        <v>167.93912609787566</v>
      </c>
      <c r="G11" s="6">
        <f t="shared" ca="1" si="2"/>
        <v>20.625792094171761</v>
      </c>
      <c r="H11" s="5">
        <f t="shared" ca="1" si="3"/>
        <v>-3.0518203417167209</v>
      </c>
      <c r="I11" s="139">
        <f t="shared" ca="1" si="5"/>
        <v>1387118.9641628694</v>
      </c>
      <c r="J11" s="346">
        <f t="shared" ca="1" si="6"/>
        <v>-211353.8801983133</v>
      </c>
      <c r="K11" s="139">
        <f ca="1">I11*NPV!C15</f>
        <v>705140.9435388376</v>
      </c>
      <c r="L11" s="346">
        <f ca="1">J11*NPV!D15</f>
        <v>-157267.1361453764</v>
      </c>
      <c r="M11" s="18"/>
      <c r="N11" s="18"/>
      <c r="O11" s="18"/>
      <c r="P11" s="18"/>
      <c r="Q11" s="18"/>
      <c r="R11" s="18"/>
    </row>
    <row r="12" spans="1:18" x14ac:dyDescent="0.2">
      <c r="A12" s="19">
        <f t="shared" si="4"/>
        <v>2030</v>
      </c>
      <c r="B12" s="335">
        <f ca="1">SUM(Flood_Safety!E18:G18)</f>
        <v>658468329.92709994</v>
      </c>
      <c r="C12" s="6">
        <f ca="1">Flood_Safety!H18</f>
        <v>241623362.59401834</v>
      </c>
      <c r="D12" s="5">
        <f ca="1">Flood_Safety!I18</f>
        <v>29262445.208448473</v>
      </c>
      <c r="E12" s="6">
        <f t="shared" ca="1" si="0"/>
        <v>-3717.9786355843717</v>
      </c>
      <c r="F12" s="5">
        <f t="shared" ca="1" si="1"/>
        <v>177.255765826134</v>
      </c>
      <c r="G12" s="6">
        <f t="shared" ca="1" si="2"/>
        <v>21.769731081255728</v>
      </c>
      <c r="H12" s="5">
        <f t="shared" ca="1" si="3"/>
        <v>-3.2211326389503334</v>
      </c>
      <c r="I12" s="139">
        <f t="shared" ca="1" si="5"/>
        <v>1493245.0217539887</v>
      </c>
      <c r="J12" s="346">
        <f t="shared" ca="1" si="6"/>
        <v>-226796.69677064667</v>
      </c>
      <c r="K12" s="139">
        <f ca="1">I12*NPV!C16</f>
        <v>709429.95307694515</v>
      </c>
      <c r="L12" s="346">
        <f ca="1">J12*NPV!D16</f>
        <v>-163842.75920943296</v>
      </c>
      <c r="M12" s="18"/>
      <c r="N12" s="18"/>
      <c r="O12" s="18"/>
      <c r="P12" s="18"/>
      <c r="Q12" s="18"/>
      <c r="R12" s="18"/>
    </row>
    <row r="13" spans="1:18" x14ac:dyDescent="0.2">
      <c r="A13" s="19">
        <f t="shared" si="4"/>
        <v>2031</v>
      </c>
      <c r="B13" s="335">
        <f ca="1">SUM(Flood_Safety!E19:G19)</f>
        <v>698320176.2066648</v>
      </c>
      <c r="C13" s="6">
        <f ca="1">Flood_Safety!H19</f>
        <v>256244306.27169114</v>
      </c>
      <c r="D13" s="5">
        <f ca="1">Flood_Safety!I19</f>
        <v>31034171.927350871</v>
      </c>
      <c r="E13" s="6">
        <f t="shared" ca="1" si="0"/>
        <v>-3943.0158405546335</v>
      </c>
      <c r="F13" s="5">
        <f t="shared" ca="1" si="1"/>
        <v>187.98473913364694</v>
      </c>
      <c r="G13" s="6">
        <f t="shared" ca="1" si="2"/>
        <v>23.087078339912907</v>
      </c>
      <c r="H13" s="5">
        <f t="shared" ca="1" si="3"/>
        <v>-3.4161115516891485</v>
      </c>
      <c r="I13" s="139">
        <f t="shared" ca="1" si="5"/>
        <v>1583604.1602641102</v>
      </c>
      <c r="J13" s="346">
        <f t="shared" ca="1" si="6"/>
        <v>-244466.98211438727</v>
      </c>
      <c r="K13" s="139">
        <f ca="1">I13*NPV!C17</f>
        <v>703139.18586064689</v>
      </c>
      <c r="L13" s="346">
        <f ca="1">J13*NPV!D17</f>
        <v>-171464.22262652667</v>
      </c>
      <c r="M13" s="18"/>
      <c r="N13" s="18"/>
      <c r="O13" s="18"/>
      <c r="P13" s="18"/>
      <c r="Q13" s="18"/>
      <c r="R13" s="18"/>
    </row>
    <row r="14" spans="1:18" x14ac:dyDescent="0.2">
      <c r="A14" s="19">
        <f t="shared" si="4"/>
        <v>2032</v>
      </c>
      <c r="B14" s="335">
        <f ca="1">SUM(Flood_Safety!E20:G20)</f>
        <v>744177585.24074125</v>
      </c>
      <c r="C14" s="6">
        <f ca="1">Flood_Safety!H20</f>
        <v>273068551.58009452</v>
      </c>
      <c r="D14" s="5">
        <f ca="1">Flood_Safety!I20</f>
        <v>33072902.186129913</v>
      </c>
      <c r="E14" s="6">
        <f t="shared" ca="1" si="0"/>
        <v>-4201.9657587859856</v>
      </c>
      <c r="F14" s="5">
        <f t="shared" ca="1" si="1"/>
        <v>200.33055331391412</v>
      </c>
      <c r="G14" s="6">
        <f t="shared" ca="1" si="2"/>
        <v>24.602943537672637</v>
      </c>
      <c r="H14" s="5">
        <f t="shared" ca="1" si="3"/>
        <v>-3.6404736317385575</v>
      </c>
      <c r="I14" s="139">
        <f t="shared" ca="1" si="5"/>
        <v>1687579.9723828072</v>
      </c>
      <c r="J14" s="346">
        <f t="shared" ca="1" si="6"/>
        <v>-264723.84280351707</v>
      </c>
      <c r="K14" s="139">
        <f ca="1">I14*NPV!C18</f>
        <v>700285.69150758511</v>
      </c>
      <c r="L14" s="346">
        <f ca="1">J14*NPV!D18</f>
        <v>-180264.05548519833</v>
      </c>
      <c r="M14" s="18"/>
      <c r="N14" s="18"/>
      <c r="O14" s="18"/>
      <c r="P14" s="18"/>
      <c r="Q14" s="18"/>
      <c r="R14" s="18"/>
    </row>
    <row r="15" spans="1:18" x14ac:dyDescent="0.2">
      <c r="A15" s="19">
        <f t="shared" si="4"/>
        <v>2033</v>
      </c>
      <c r="B15" s="335">
        <f ca="1">SUM(Flood_Safety!E21:G21)</f>
        <v>796946351.62277877</v>
      </c>
      <c r="C15" s="6">
        <f ca="1">Flood_Safety!H21</f>
        <v>292428413.36849946</v>
      </c>
      <c r="D15" s="5">
        <f ca="1">Flood_Safety!I21</f>
        <v>35418907.088475779</v>
      </c>
      <c r="E15" s="6">
        <f t="shared" ca="1" si="0"/>
        <v>-4499.9433079804512</v>
      </c>
      <c r="F15" s="5">
        <f t="shared" ca="1" si="1"/>
        <v>214.53706996855689</v>
      </c>
      <c r="G15" s="6">
        <f t="shared" ca="1" si="2"/>
        <v>26.347268314299001</v>
      </c>
      <c r="H15" s="5">
        <f t="shared" ca="1" si="3"/>
        <v>-3.8986506245932047</v>
      </c>
      <c r="I15" s="139">
        <f t="shared" ca="1" si="5"/>
        <v>1807226.2045926102</v>
      </c>
      <c r="J15" s="346">
        <f t="shared" ca="1" si="6"/>
        <v>-287996.37171074888</v>
      </c>
      <c r="K15" s="139">
        <f ca="1">I15*NPV!C19</f>
        <v>700873.48055931763</v>
      </c>
      <c r="L15" s="346">
        <f ca="1">J15*NPV!D19</f>
        <v>-190399.52934913375</v>
      </c>
      <c r="M15" s="18"/>
      <c r="N15" s="18"/>
      <c r="O15" s="18"/>
      <c r="P15" s="18"/>
      <c r="Q15" s="18"/>
      <c r="R15" s="18"/>
    </row>
    <row r="16" spans="1:18" x14ac:dyDescent="0.2">
      <c r="A16" s="19">
        <f t="shared" si="4"/>
        <v>2034</v>
      </c>
      <c r="B16" s="335">
        <f ca="1">SUM(Flood_Safety!E22:G22)</f>
        <v>857707824.39399731</v>
      </c>
      <c r="C16" s="6">
        <f ca="1">Flood_Safety!H22</f>
        <v>314720613.30563939</v>
      </c>
      <c r="D16" s="5">
        <f ca="1">Flood_Safety!I22</f>
        <v>38120262.787580602</v>
      </c>
      <c r="E16" s="6">
        <f t="shared" ca="1" si="0"/>
        <v>-4843.0547415863894</v>
      </c>
      <c r="F16" s="5">
        <f t="shared" ca="1" si="1"/>
        <v>230.89541416216684</v>
      </c>
      <c r="G16" s="6">
        <f t="shared" ca="1" si="2"/>
        <v>28.355797377927878</v>
      </c>
      <c r="H16" s="5">
        <f t="shared" ca="1" si="3"/>
        <v>-4.1959332040852635</v>
      </c>
      <c r="I16" s="139">
        <f t="shared" ca="1" si="5"/>
        <v>1944994.6454116227</v>
      </c>
      <c r="J16" s="346">
        <f t="shared" ca="1" si="6"/>
        <v>-319641.61294470169</v>
      </c>
      <c r="K16" s="139">
        <f ca="1">I16*NPV!C20</f>
        <v>704955.56745514541</v>
      </c>
      <c r="L16" s="346">
        <f ca="1">J16*NPV!D20</f>
        <v>-205165.78815371409</v>
      </c>
      <c r="M16" s="18"/>
      <c r="N16" s="18"/>
      <c r="O16" s="18"/>
      <c r="P16" s="18"/>
      <c r="Q16" s="18"/>
      <c r="R16" s="18"/>
    </row>
    <row r="17" spans="1:18" x14ac:dyDescent="0.2">
      <c r="A17" s="19">
        <f t="shared" si="4"/>
        <v>2035</v>
      </c>
      <c r="B17" s="335">
        <f ca="1">SUM(Flood_Safety!E23:G23)</f>
        <v>927755053.96602535</v>
      </c>
      <c r="C17" s="6">
        <f ca="1">Flood_Safety!H23</f>
        <v>340419541.33989567</v>
      </c>
      <c r="D17" s="5">
        <f ca="1">Flood_Safety!I23</f>
        <v>41234457.557473816</v>
      </c>
      <c r="E17" s="6">
        <f t="shared" ca="1" si="0"/>
        <v>-5238.6017663073144</v>
      </c>
      <c r="F17" s="5">
        <f t="shared" ca="1" si="1"/>
        <v>249.75370603982745</v>
      </c>
      <c r="G17" s="6">
        <f t="shared" ca="1" si="2"/>
        <v>30.67127336549968</v>
      </c>
      <c r="H17" s="5">
        <f t="shared" ca="1" si="3"/>
        <v>-4.5386478270102977</v>
      </c>
      <c r="I17" s="139">
        <f t="shared" ca="1" si="5"/>
        <v>2103817.0828422988</v>
      </c>
      <c r="J17" s="346">
        <f t="shared" ca="1" si="6"/>
        <v>-350986.31834259006</v>
      </c>
      <c r="K17" s="139">
        <f ca="1">I17*NPV!C21</f>
        <v>712635.63339419791</v>
      </c>
      <c r="L17" s="346">
        <f ca="1">J17*NPV!D21</f>
        <v>-218723.06970968854</v>
      </c>
      <c r="M17" s="18"/>
      <c r="N17" s="18"/>
      <c r="O17" s="18"/>
      <c r="P17" s="18"/>
      <c r="Q17" s="18"/>
      <c r="R17" s="18"/>
    </row>
    <row r="18" spans="1:18" x14ac:dyDescent="0.2">
      <c r="A18" s="19">
        <f t="shared" si="4"/>
        <v>2036</v>
      </c>
      <c r="B18" s="335">
        <f ca="1">SUM(Flood_Safety!E24:G24)</f>
        <v>1008637364.9804912</v>
      </c>
      <c r="C18" s="6">
        <f ca="1">Flood_Safety!H24</f>
        <v>370093608.43860888</v>
      </c>
      <c r="D18" s="5">
        <f ca="1">Flood_Safety!I24</f>
        <v>44830373.476655453</v>
      </c>
      <c r="E18" s="6">
        <f t="shared" ca="1" si="0"/>
        <v>-5695.3332399061601</v>
      </c>
      <c r="F18" s="5">
        <f t="shared" ca="1" si="1"/>
        <v>271.52906090871892</v>
      </c>
      <c r="G18" s="6">
        <f t="shared" ca="1" si="2"/>
        <v>33.344910228110251</v>
      </c>
      <c r="H18" s="5">
        <f t="shared" ca="1" si="3"/>
        <v>-4.9343748130032701</v>
      </c>
      <c r="I18" s="139">
        <f t="shared" ca="1" si="5"/>
        <v>2287206.3663039664</v>
      </c>
      <c r="J18" s="346">
        <f t="shared" ca="1" si="6"/>
        <v>-387282.66031361889</v>
      </c>
      <c r="K18" s="139">
        <f ca="1">I18*NPV!C22</f>
        <v>724070.96127831051</v>
      </c>
      <c r="L18" s="346">
        <f ca="1">J18*NPV!D22</f>
        <v>-234312.37868025352</v>
      </c>
      <c r="M18" s="18"/>
      <c r="N18" s="18"/>
      <c r="O18" s="18"/>
      <c r="P18" s="18"/>
      <c r="Q18" s="18"/>
      <c r="R18" s="18"/>
    </row>
    <row r="19" spans="1:18" x14ac:dyDescent="0.2">
      <c r="A19" s="19">
        <f t="shared" si="4"/>
        <v>2037</v>
      </c>
      <c r="B19" s="335">
        <f ca="1">SUM(Flood_Safety!E25:G25)</f>
        <v>1102215453.06897</v>
      </c>
      <c r="C19" s="6">
        <f ca="1">Flood_Safety!H25</f>
        <v>404425460.30020273</v>
      </c>
      <c r="D19" s="5">
        <f ca="1">Flood_Safety!I25</f>
        <v>48990735.9982704</v>
      </c>
      <c r="E19" s="6">
        <f t="shared" ca="1" si="0"/>
        <v>-6223.7562962628108</v>
      </c>
      <c r="F19" s="5">
        <f t="shared" ca="1" si="1"/>
        <v>296.72242260581277</v>
      </c>
      <c r="G19" s="6">
        <f t="shared" ca="1" si="2"/>
        <v>36.438214490847791</v>
      </c>
      <c r="H19" s="5">
        <f t="shared" ca="1" si="3"/>
        <v>-5.3922179142876567</v>
      </c>
      <c r="I19" s="139">
        <f t="shared" ca="1" si="5"/>
        <v>2499381.3298504082</v>
      </c>
      <c r="J19" s="346">
        <f t="shared" ca="1" si="6"/>
        <v>-429439.18444213393</v>
      </c>
      <c r="K19" s="139">
        <f ca="1">I19*NPV!C23</f>
        <v>739476.74863062613</v>
      </c>
      <c r="L19" s="346">
        <f ca="1">J19*NPV!D23</f>
        <v>-252250.26124044371</v>
      </c>
      <c r="M19" s="18"/>
      <c r="N19" s="18"/>
      <c r="O19" s="18"/>
      <c r="P19" s="18"/>
      <c r="Q19" s="18"/>
      <c r="R19" s="18"/>
    </row>
    <row r="20" spans="1:18" x14ac:dyDescent="0.2">
      <c r="A20" s="19">
        <f t="shared" si="4"/>
        <v>2038</v>
      </c>
      <c r="B20" s="335">
        <f ca="1">SUM(Flood_Safety!E26:G26)</f>
        <v>1210729669.3825212</v>
      </c>
      <c r="C20" s="6">
        <f ca="1">Flood_Safety!H26</f>
        <v>444237029.350416</v>
      </c>
      <c r="D20" s="5">
        <f ca="1">Flood_Safety!I26</f>
        <v>53815149.840913534</v>
      </c>
      <c r="E20" s="6">
        <f t="shared" ca="1" si="0"/>
        <v>-6836.521940247465</v>
      </c>
      <c r="F20" s="5">
        <f t="shared" ca="1" si="1"/>
        <v>325.93694732907062</v>
      </c>
      <c r="G20" s="6">
        <f t="shared" ca="1" si="2"/>
        <v>40.025242443075044</v>
      </c>
      <c r="H20" s="5">
        <f t="shared" ca="1" si="3"/>
        <v>-5.9231384087058601</v>
      </c>
      <c r="I20" s="139">
        <f t="shared" ca="1" si="5"/>
        <v>2745421.616576002</v>
      </c>
      <c r="J20" s="346">
        <f t="shared" ca="1" si="6"/>
        <v>-478556.53581732255</v>
      </c>
      <c r="K20" s="139">
        <f ca="1">I20*NPV!C24</f>
        <v>759131.95461135439</v>
      </c>
      <c r="L20" s="346">
        <f ca="1">J20*NPV!D24</f>
        <v>-272914.10541613953</v>
      </c>
      <c r="M20" s="18"/>
      <c r="N20" s="18"/>
      <c r="O20" s="18"/>
      <c r="P20" s="18"/>
      <c r="Q20" s="18"/>
      <c r="R20" s="18"/>
    </row>
    <row r="21" spans="1:18" x14ac:dyDescent="0.2">
      <c r="A21" s="19">
        <f t="shared" si="4"/>
        <v>2039</v>
      </c>
      <c r="B21" s="335">
        <f ca="1">SUM(Flood_Safety!E27:G27)</f>
        <v>1336884884.6442118</v>
      </c>
      <c r="C21" s="6">
        <f ca="1">Flood_Safety!H27</f>
        <v>490520669.3776058</v>
      </c>
      <c r="D21" s="5">
        <f ca="1">Flood_Safety!I27</f>
        <v>59423871.99546577</v>
      </c>
      <c r="E21" s="6">
        <f t="shared" ca="1" si="0"/>
        <v>-7548.9042652508051</v>
      </c>
      <c r="F21" s="5">
        <f t="shared" ca="1" si="1"/>
        <v>359.90085107341542</v>
      </c>
      <c r="G21" s="6">
        <f t="shared" ca="1" si="2"/>
        <v>44.195405375808008</v>
      </c>
      <c r="H21" s="5">
        <f t="shared" ca="1" si="3"/>
        <v>-6.5403703107292515</v>
      </c>
      <c r="I21" s="139">
        <f t="shared" ca="1" si="5"/>
        <v>3031460.0944765909</v>
      </c>
      <c r="J21" s="346">
        <f t="shared" ca="1" si="6"/>
        <v>-535972.2028328072</v>
      </c>
      <c r="K21" s="139">
        <f ca="1">I21*NPV!C25</f>
        <v>783386.89468467678</v>
      </c>
      <c r="L21" s="346">
        <f ca="1">J21*NPV!D25</f>
        <v>-296754.81362636585</v>
      </c>
      <c r="M21" s="18"/>
      <c r="N21" s="18"/>
      <c r="O21" s="18"/>
      <c r="P21" s="18"/>
      <c r="Q21" s="18"/>
      <c r="R21" s="18"/>
    </row>
    <row r="22" spans="1:18" x14ac:dyDescent="0.2">
      <c r="A22" s="19">
        <f t="shared" si="4"/>
        <v>2040</v>
      </c>
      <c r="B22" s="335">
        <f ca="1">SUM(Flood_Safety!E28:G28)</f>
        <v>1483956263.5898521</v>
      </c>
      <c r="C22" s="6">
        <f ca="1">Flood_Safety!H28</f>
        <v>544477961.70024633</v>
      </c>
      <c r="D22" s="5">
        <f ca="1">Flood_Safety!I28</f>
        <v>65962514.395731643</v>
      </c>
      <c r="E22" s="6">
        <f t="shared" ca="1" si="0"/>
        <v>-8379.3977492678896</v>
      </c>
      <c r="F22" s="5">
        <f t="shared" ca="1" si="1"/>
        <v>399.49588664414722</v>
      </c>
      <c r="G22" s="6">
        <f t="shared" ca="1" si="2"/>
        <v>49.056966025805934</v>
      </c>
      <c r="H22" s="5">
        <f t="shared" ca="1" si="3"/>
        <v>-7.2599378899017175</v>
      </c>
      <c r="I22" s="139">
        <f t="shared" ca="1" si="5"/>
        <v>3364922.6833193013</v>
      </c>
      <c r="J22" s="346">
        <f t="shared" ca="1" si="6"/>
        <v>-603316.63794728811</v>
      </c>
      <c r="K22" s="139">
        <f ca="1">I22*NPV!C26</f>
        <v>812672.86389639357</v>
      </c>
      <c r="L22" s="346">
        <f ca="1">J22*NPV!D26</f>
        <v>-324312.4218724551</v>
      </c>
      <c r="M22" s="18"/>
      <c r="N22" s="18"/>
      <c r="O22" s="18"/>
      <c r="P22" s="18"/>
      <c r="Q22" s="18"/>
      <c r="R22" s="18"/>
    </row>
    <row r="23" spans="1:18" x14ac:dyDescent="0.2">
      <c r="A23" s="19">
        <f t="shared" si="4"/>
        <v>2041</v>
      </c>
      <c r="B23" s="335">
        <f ca="1">SUM(Flood_Safety!E29:G29)</f>
        <v>1655921496.0185297</v>
      </c>
      <c r="C23" s="6">
        <f ca="1">Flood_Safety!H29</f>
        <v>607568227.64555454</v>
      </c>
      <c r="D23" s="5">
        <f ca="1">Flood_Safety!I29</f>
        <v>73607922.83469148</v>
      </c>
      <c r="E23" s="6">
        <f t="shared" ca="1" si="0"/>
        <v>-9350.4639484104337</v>
      </c>
      <c r="F23" s="5">
        <f t="shared" ca="1" si="1"/>
        <v>445.79294342351807</v>
      </c>
      <c r="G23" s="6">
        <f t="shared" ca="1" si="2"/>
        <v>54.741409560394359</v>
      </c>
      <c r="H23" s="5">
        <f t="shared" ca="1" si="3"/>
        <v>-8.1013026324968003</v>
      </c>
      <c r="I23" s="139">
        <f t="shared" ca="1" si="5"/>
        <v>3754828.1677043121</v>
      </c>
      <c r="J23" s="346">
        <f t="shared" ca="1" si="6"/>
        <v>-682583.86823396164</v>
      </c>
      <c r="K23" s="139">
        <f ca="1">I23*NPV!C27</f>
        <v>847514.15043722081</v>
      </c>
      <c r="L23" s="346">
        <f ca="1">J23*NPV!D27</f>
        <v>-356235.4020547315</v>
      </c>
      <c r="M23" s="18"/>
      <c r="N23" s="18"/>
      <c r="O23" s="18"/>
      <c r="P23" s="18"/>
      <c r="Q23" s="18"/>
      <c r="R23" s="18"/>
    </row>
    <row r="24" spans="1:18" x14ac:dyDescent="0.2">
      <c r="A24" s="19">
        <f t="shared" si="4"/>
        <v>2042</v>
      </c>
      <c r="B24" s="335">
        <f ca="1">SUM(Flood_Safety!E30:G30)</f>
        <v>1857626608.3646736</v>
      </c>
      <c r="C24" s="6">
        <f ca="1">Flood_Safety!H30</f>
        <v>681569360.93578184</v>
      </c>
      <c r="D24" s="5">
        <f ca="1">Flood_Safety!I30</f>
        <v>82575548.851375788</v>
      </c>
      <c r="E24" s="6">
        <f t="shared" ca="1" si="0"/>
        <v>-10489.467815756387</v>
      </c>
      <c r="F24" s="5">
        <f t="shared" ca="1" si="1"/>
        <v>500.09668781817066</v>
      </c>
      <c r="G24" s="6">
        <f t="shared" ca="1" si="2"/>
        <v>61.408924588634889</v>
      </c>
      <c r="H24" s="5">
        <f t="shared" ca="1" si="3"/>
        <v>-9.0881745012710109</v>
      </c>
      <c r="I24" s="139">
        <f t="shared" ca="1" si="5"/>
        <v>4212164.1486654812</v>
      </c>
      <c r="J24" s="346">
        <f t="shared" ca="1" si="6"/>
        <v>-786710.08618172898</v>
      </c>
      <c r="K24" s="139">
        <f ca="1">I24*NPV!C28</f>
        <v>888542.89929942193</v>
      </c>
      <c r="L24" s="346">
        <f ca="1">J24*NPV!D28</f>
        <v>-398619.50907469605</v>
      </c>
      <c r="M24" s="18"/>
      <c r="N24" s="18"/>
      <c r="O24" s="18"/>
      <c r="P24" s="18"/>
      <c r="Q24" s="18"/>
      <c r="R24" s="18"/>
    </row>
    <row r="25" spans="1:18" ht="13.5" thickBot="1" x14ac:dyDescent="0.25">
      <c r="A25" s="19">
        <f t="shared" si="4"/>
        <v>2043</v>
      </c>
      <c r="B25" s="335">
        <f ca="1">SUM(Flood_Safety!E31:G31)</f>
        <v>2094994534.0611176</v>
      </c>
      <c r="C25" s="6">
        <f ca="1">Flood_Safety!H31</f>
        <v>768654347.27449346</v>
      </c>
      <c r="D25" s="5">
        <f ca="1">Flood_Safety!I31</f>
        <v>93128722.648929507</v>
      </c>
      <c r="E25" s="6">
        <f t="shared" ca="1" si="0"/>
        <v>-11829.855474167438</v>
      </c>
      <c r="F25" s="5">
        <f t="shared" ca="1" si="1"/>
        <v>564.00171539745816</v>
      </c>
      <c r="G25" s="6">
        <f t="shared" ca="1" si="2"/>
        <v>69.255297592609153</v>
      </c>
      <c r="H25" s="5">
        <f t="shared" ca="1" si="3"/>
        <v>-10.249532399471136</v>
      </c>
      <c r="I25" s="441">
        <f t="shared" ca="1" si="5"/>
        <v>4750359.9440889694</v>
      </c>
      <c r="J25" s="347">
        <f t="shared" ca="1" si="6"/>
        <v>-899069.01603672525</v>
      </c>
      <c r="K25" s="441">
        <f ca="1">I25*NPV!C29</f>
        <v>936517.40651729365</v>
      </c>
      <c r="L25" s="347">
        <f ca="1">J25*NPV!D29</f>
        <v>-442282.38028603257</v>
      </c>
      <c r="M25" s="18"/>
      <c r="N25" s="18"/>
      <c r="O25" s="18"/>
      <c r="P25" s="18"/>
      <c r="Q25" s="18"/>
      <c r="R25" s="18"/>
    </row>
    <row r="26" spans="1:18" ht="13.5" thickTop="1" x14ac:dyDescent="0.2">
      <c r="A26" s="541" t="s">
        <v>0</v>
      </c>
      <c r="B26" s="542"/>
      <c r="C26" s="542"/>
      <c r="D26" s="542"/>
      <c r="E26" s="542"/>
      <c r="F26" s="542"/>
      <c r="G26" s="542"/>
      <c r="H26" s="543"/>
      <c r="I26" s="249">
        <f ca="1">SUM(I6:I25)</f>
        <v>44540572.363904327</v>
      </c>
      <c r="J26" s="348">
        <f ca="1">SUM(J6:J25)</f>
        <v>-7593376.9530968666</v>
      </c>
      <c r="K26" s="249">
        <f ca="1">SUM(K6:K25)</f>
        <v>15085305.396867065</v>
      </c>
      <c r="L26" s="348">
        <f ca="1">SUM(L6:L25)</f>
        <v>-4582244.7644355632</v>
      </c>
      <c r="M26" s="18"/>
      <c r="N26" s="18"/>
      <c r="O26" s="18"/>
      <c r="P26" s="18"/>
      <c r="Q26" s="18"/>
      <c r="R26" s="18"/>
    </row>
    <row r="27" spans="1:18" x14ac:dyDescent="0.2">
      <c r="A27" s="559" t="s">
        <v>100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0"/>
      <c r="M27" s="18"/>
      <c r="N27" s="18"/>
      <c r="O27" s="18"/>
      <c r="P27" s="18"/>
      <c r="Q27" s="18"/>
      <c r="R27" s="18"/>
    </row>
    <row r="28" spans="1:18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">
      <c r="A29" s="572" t="s">
        <v>13</v>
      </c>
      <c r="B29" s="572"/>
      <c r="C29" s="572"/>
      <c r="D29" s="572"/>
      <c r="E29" s="57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">
      <c r="A30" s="503" t="s">
        <v>1</v>
      </c>
      <c r="B30" s="572" t="s">
        <v>160</v>
      </c>
      <c r="C30" s="572"/>
      <c r="D30" s="572"/>
      <c r="E30" s="57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">
      <c r="A31" s="576"/>
      <c r="B31" s="162" t="s">
        <v>154</v>
      </c>
      <c r="C31" s="246" t="s">
        <v>155</v>
      </c>
      <c r="D31" s="246" t="s">
        <v>156</v>
      </c>
      <c r="E31" s="246" t="s">
        <v>65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">
      <c r="A32" s="358">
        <v>2020</v>
      </c>
      <c r="B32" s="442">
        <v>15700</v>
      </c>
      <c r="C32" s="443">
        <v>40400</v>
      </c>
      <c r="D32" s="442">
        <v>729300</v>
      </c>
      <c r="E32" s="443">
        <v>50</v>
      </c>
      <c r="F32" s="18"/>
      <c r="G32" s="18"/>
      <c r="H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">
      <c r="A33" s="48">
        <v>2021</v>
      </c>
      <c r="B33" s="444">
        <v>15900</v>
      </c>
      <c r="C33" s="445">
        <v>41300</v>
      </c>
      <c r="D33" s="444">
        <v>742300</v>
      </c>
      <c r="E33" s="445">
        <v>52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">
      <c r="A34" s="48">
        <v>2022</v>
      </c>
      <c r="B34" s="444">
        <v>16100</v>
      </c>
      <c r="C34" s="445">
        <v>42100</v>
      </c>
      <c r="D34" s="444">
        <v>755500</v>
      </c>
      <c r="E34" s="445">
        <v>53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">
      <c r="A35" s="48">
        <v>2023</v>
      </c>
      <c r="B35" s="444">
        <v>16400</v>
      </c>
      <c r="C35" s="445">
        <v>43000</v>
      </c>
      <c r="D35" s="444">
        <v>769000</v>
      </c>
      <c r="E35" s="445">
        <v>54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">
      <c r="A36" s="48">
        <v>2024</v>
      </c>
      <c r="B36" s="444">
        <v>16600</v>
      </c>
      <c r="C36" s="445">
        <v>43900</v>
      </c>
      <c r="D36" s="444">
        <v>782700</v>
      </c>
      <c r="E36" s="445">
        <v>55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">
      <c r="A37" s="48">
        <v>2025</v>
      </c>
      <c r="B37" s="444">
        <v>16800</v>
      </c>
      <c r="C37" s="445">
        <v>44900</v>
      </c>
      <c r="D37" s="444">
        <v>796600</v>
      </c>
      <c r="E37" s="445">
        <v>56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">
      <c r="A38" s="48">
        <v>2026</v>
      </c>
      <c r="B38" s="444">
        <v>17000</v>
      </c>
      <c r="C38" s="445">
        <v>45500</v>
      </c>
      <c r="D38" s="444">
        <v>807500</v>
      </c>
      <c r="E38" s="445">
        <v>57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">
      <c r="A39" s="48">
        <v>2027</v>
      </c>
      <c r="B39" s="444">
        <v>17300</v>
      </c>
      <c r="C39" s="445">
        <v>46200</v>
      </c>
      <c r="D39" s="444">
        <v>818600</v>
      </c>
      <c r="E39" s="445">
        <v>58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">
      <c r="A40" s="48">
        <v>2028</v>
      </c>
      <c r="B40" s="444">
        <v>17500</v>
      </c>
      <c r="C40" s="445">
        <v>46900</v>
      </c>
      <c r="D40" s="444">
        <v>829800</v>
      </c>
      <c r="E40" s="445">
        <v>59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">
      <c r="A41" s="48">
        <v>2029</v>
      </c>
      <c r="B41" s="444">
        <v>17700</v>
      </c>
      <c r="C41" s="445">
        <v>47600</v>
      </c>
      <c r="D41" s="444">
        <v>841200</v>
      </c>
      <c r="E41" s="445">
        <v>60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">
      <c r="A42" s="48">
        <v>2030</v>
      </c>
      <c r="B42" s="444">
        <v>18000</v>
      </c>
      <c r="C42" s="445">
        <v>48200</v>
      </c>
      <c r="D42" s="444">
        <v>852700</v>
      </c>
      <c r="E42" s="445">
        <v>61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">
      <c r="A43" s="48">
        <v>2031</v>
      </c>
      <c r="B43" s="444">
        <v>18000</v>
      </c>
      <c r="C43" s="445">
        <v>48200</v>
      </c>
      <c r="D43" s="444">
        <v>852700</v>
      </c>
      <c r="E43" s="445">
        <v>62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">
      <c r="A44" s="48">
        <v>2032</v>
      </c>
      <c r="B44" s="444">
        <v>18000</v>
      </c>
      <c r="C44" s="445">
        <v>48200</v>
      </c>
      <c r="D44" s="444">
        <v>852700</v>
      </c>
      <c r="E44" s="445">
        <v>63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">
      <c r="A45" s="48">
        <v>2033</v>
      </c>
      <c r="B45" s="444">
        <v>18000</v>
      </c>
      <c r="C45" s="445">
        <v>48200</v>
      </c>
      <c r="D45" s="444">
        <v>852700</v>
      </c>
      <c r="E45" s="445">
        <v>64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">
      <c r="A46" s="48">
        <v>2034</v>
      </c>
      <c r="B46" s="444">
        <v>18000</v>
      </c>
      <c r="C46" s="445">
        <v>48200</v>
      </c>
      <c r="D46" s="444">
        <v>852700</v>
      </c>
      <c r="E46" s="445">
        <v>66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">
      <c r="A47" s="48">
        <v>2035</v>
      </c>
      <c r="B47" s="444">
        <v>18000</v>
      </c>
      <c r="C47" s="445">
        <v>48200</v>
      </c>
      <c r="D47" s="444">
        <v>852700</v>
      </c>
      <c r="E47" s="445">
        <v>67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">
      <c r="A48" s="48">
        <v>2036</v>
      </c>
      <c r="B48" s="444">
        <v>18000</v>
      </c>
      <c r="C48" s="445">
        <v>48200</v>
      </c>
      <c r="D48" s="444">
        <v>852700</v>
      </c>
      <c r="E48" s="445">
        <v>68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">
      <c r="A49" s="48">
        <v>2037</v>
      </c>
      <c r="B49" s="444">
        <v>18000</v>
      </c>
      <c r="C49" s="445">
        <v>48200</v>
      </c>
      <c r="D49" s="444">
        <v>852700</v>
      </c>
      <c r="E49" s="445">
        <v>69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">
      <c r="A50" s="48">
        <v>2038</v>
      </c>
      <c r="B50" s="444">
        <v>18000</v>
      </c>
      <c r="C50" s="445">
        <v>48200</v>
      </c>
      <c r="D50" s="444">
        <v>852700</v>
      </c>
      <c r="E50" s="445">
        <v>70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">
      <c r="A51" s="48">
        <v>2039</v>
      </c>
      <c r="B51" s="444">
        <v>18000</v>
      </c>
      <c r="C51" s="445">
        <v>48200</v>
      </c>
      <c r="D51" s="444">
        <v>852700</v>
      </c>
      <c r="E51" s="445">
        <v>71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">
      <c r="A52" s="48">
        <v>2040</v>
      </c>
      <c r="B52" s="444">
        <v>18000</v>
      </c>
      <c r="C52" s="445">
        <v>48200</v>
      </c>
      <c r="D52" s="444">
        <v>852700</v>
      </c>
      <c r="E52" s="445">
        <v>72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">
      <c r="A53" s="48">
        <v>2041</v>
      </c>
      <c r="B53" s="444">
        <v>18000</v>
      </c>
      <c r="C53" s="445">
        <v>48200</v>
      </c>
      <c r="D53" s="444">
        <v>852700</v>
      </c>
      <c r="E53" s="445">
        <v>73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">
      <c r="A54" s="48">
        <v>2042</v>
      </c>
      <c r="B54" s="444">
        <v>18000</v>
      </c>
      <c r="C54" s="445">
        <v>48200</v>
      </c>
      <c r="D54" s="444">
        <v>852700</v>
      </c>
      <c r="E54" s="445">
        <v>75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">
      <c r="A55" s="48">
        <v>2043</v>
      </c>
      <c r="B55" s="444">
        <v>18000</v>
      </c>
      <c r="C55" s="445">
        <v>48200</v>
      </c>
      <c r="D55" s="444">
        <v>852700</v>
      </c>
      <c r="E55" s="445">
        <v>76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A56" s="48">
        <v>2044</v>
      </c>
      <c r="B56" s="444">
        <v>18000</v>
      </c>
      <c r="C56" s="445">
        <v>48200</v>
      </c>
      <c r="D56" s="444">
        <v>852700</v>
      </c>
      <c r="E56" s="445">
        <v>77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">
      <c r="A57" s="48">
        <v>2045</v>
      </c>
      <c r="B57" s="444">
        <v>18000</v>
      </c>
      <c r="C57" s="445">
        <v>48200</v>
      </c>
      <c r="D57" s="444">
        <v>852700</v>
      </c>
      <c r="E57" s="445">
        <v>78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">
      <c r="A58" s="48">
        <v>2046</v>
      </c>
      <c r="B58" s="444">
        <v>18000</v>
      </c>
      <c r="C58" s="445">
        <v>48200</v>
      </c>
      <c r="D58" s="444">
        <v>852700</v>
      </c>
      <c r="E58" s="445">
        <v>79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">
      <c r="A59" s="48">
        <v>2047</v>
      </c>
      <c r="B59" s="444">
        <v>18000</v>
      </c>
      <c r="C59" s="445">
        <v>48200</v>
      </c>
      <c r="D59" s="444">
        <v>852700</v>
      </c>
      <c r="E59" s="445">
        <v>80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">
      <c r="A60" s="48">
        <v>2048</v>
      </c>
      <c r="B60" s="444">
        <v>18000</v>
      </c>
      <c r="C60" s="445">
        <v>48200</v>
      </c>
      <c r="D60" s="444">
        <v>852700</v>
      </c>
      <c r="E60" s="445">
        <v>81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">
      <c r="A61" s="48">
        <v>2049</v>
      </c>
      <c r="B61" s="444">
        <v>18000</v>
      </c>
      <c r="C61" s="445">
        <v>48200</v>
      </c>
      <c r="D61" s="444">
        <v>852700</v>
      </c>
      <c r="E61" s="445">
        <v>83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">
      <c r="A62" s="359">
        <v>2050</v>
      </c>
      <c r="B62" s="446">
        <v>18000</v>
      </c>
      <c r="C62" s="447">
        <v>48200</v>
      </c>
      <c r="D62" s="446">
        <v>852700</v>
      </c>
      <c r="E62" s="447">
        <v>84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">
      <c r="A63" s="577" t="s">
        <v>159</v>
      </c>
      <c r="B63" s="578"/>
      <c r="C63" s="578"/>
      <c r="D63" s="578"/>
      <c r="E63" s="57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">
      <c r="A64" s="553" t="s">
        <v>157</v>
      </c>
      <c r="B64" s="554"/>
      <c r="C64" s="554"/>
      <c r="D64" s="554"/>
      <c r="E64" s="555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">
      <c r="A65" s="556" t="s">
        <v>158</v>
      </c>
      <c r="B65" s="557"/>
      <c r="C65" s="557"/>
      <c r="D65" s="557"/>
      <c r="E65" s="55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">
      <c r="A67" s="237"/>
      <c r="B67" s="239" t="s">
        <v>116</v>
      </c>
      <c r="C67" s="239" t="s">
        <v>69</v>
      </c>
      <c r="D67" s="239" t="s">
        <v>42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">
      <c r="A68" s="238"/>
      <c r="B68" s="548" t="s">
        <v>65</v>
      </c>
      <c r="C68" s="562"/>
      <c r="D68" s="54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">
      <c r="A69" s="15" t="s">
        <v>66</v>
      </c>
      <c r="B69" s="73">
        <v>19.27</v>
      </c>
      <c r="C69" s="73">
        <v>26.88</v>
      </c>
      <c r="D69" s="73">
        <v>71.61</v>
      </c>
      <c r="E69" s="163" t="s">
        <v>161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">
      <c r="A70" s="15" t="s">
        <v>163</v>
      </c>
      <c r="B70" s="165">
        <f>B69/1.10231</f>
        <v>17.481470729649555</v>
      </c>
      <c r="C70" s="165">
        <f t="shared" ref="C70:D70" si="7">C69/1.10231</f>
        <v>24.385154811259991</v>
      </c>
      <c r="D70" s="165">
        <f t="shared" si="7"/>
        <v>64.963576489372329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">
      <c r="A71" s="15"/>
      <c r="B71" s="548" t="s">
        <v>72</v>
      </c>
      <c r="C71" s="562"/>
      <c r="D71" s="54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">
      <c r="A72" s="15" t="s">
        <v>71</v>
      </c>
      <c r="B72" s="73">
        <v>0.53</v>
      </c>
      <c r="C72" s="73">
        <v>1.83</v>
      </c>
      <c r="D72" s="73">
        <v>10.17</v>
      </c>
      <c r="E72" s="76" t="s">
        <v>70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">
      <c r="A73" s="15" t="s">
        <v>163</v>
      </c>
      <c r="B73" s="165">
        <f>B72*1000/2204.62</f>
        <v>0.24040424200088906</v>
      </c>
      <c r="C73" s="165">
        <f t="shared" ref="C73:D73" si="8">C72*1000/2204.62</f>
        <v>0.83007502426722068</v>
      </c>
      <c r="D73" s="165">
        <f t="shared" si="8"/>
        <v>4.613039888960456</v>
      </c>
      <c r="E73" s="16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">
      <c r="A74" s="15"/>
      <c r="B74" s="548" t="s">
        <v>15</v>
      </c>
      <c r="C74" s="562"/>
      <c r="D74" s="549"/>
      <c r="E74" s="163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">
      <c r="A75" s="15" t="s">
        <v>162</v>
      </c>
      <c r="B75" s="73">
        <v>1.1639999999999999E-2</v>
      </c>
      <c r="C75" s="73">
        <v>1.6209999999999999E-2</v>
      </c>
      <c r="D75" s="73">
        <v>1.7999999999999999E-2</v>
      </c>
      <c r="E75" s="163" t="s">
        <v>166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">
      <c r="A76" s="15" t="s">
        <v>163</v>
      </c>
      <c r="B76" s="73">
        <f>B75/1000000*1000000</f>
        <v>1.1639999999999999E-2</v>
      </c>
      <c r="C76" s="73">
        <f t="shared" ref="C76:D76" si="9">C75/1000000*1000000</f>
        <v>1.6209999999999999E-2</v>
      </c>
      <c r="D76" s="73">
        <f t="shared" si="9"/>
        <v>1.7999999999999999E-2</v>
      </c>
      <c r="E76" s="16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">
      <c r="A77" s="15"/>
      <c r="B77" s="548" t="s">
        <v>16</v>
      </c>
      <c r="C77" s="562"/>
      <c r="D77" s="549"/>
      <c r="E77" s="16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">
      <c r="A78" s="15" t="s">
        <v>170</v>
      </c>
      <c r="B78" s="73">
        <v>3.5000000000000003E-2</v>
      </c>
      <c r="C78" s="73">
        <v>0.125</v>
      </c>
      <c r="D78" s="73">
        <v>0.26500000000000001</v>
      </c>
      <c r="E78" s="163" t="s">
        <v>168</v>
      </c>
      <c r="F78" s="18"/>
      <c r="G78" s="18"/>
      <c r="H78" s="18"/>
      <c r="I78" s="39" t="s">
        <v>169</v>
      </c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">
      <c r="A79" s="15" t="s">
        <v>163</v>
      </c>
      <c r="B79" s="164">
        <f>B78*1.60934/1.10231</f>
        <v>5.1098964900980676E-2</v>
      </c>
      <c r="C79" s="164">
        <f t="shared" ref="C79:D79" si="10">C78*1.60934/1.10231</f>
        <v>0.18249630321778812</v>
      </c>
      <c r="D79" s="164">
        <f t="shared" si="10"/>
        <v>0.38689216282171079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">
      <c r="A80" s="15"/>
      <c r="B80" s="548" t="s">
        <v>14</v>
      </c>
      <c r="C80" s="562"/>
      <c r="D80" s="54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">
      <c r="A81" s="15" t="s">
        <v>172</v>
      </c>
      <c r="B81" s="73">
        <v>7.4999999999999997E-2</v>
      </c>
      <c r="C81" s="73">
        <v>0.08</v>
      </c>
      <c r="D81" s="73">
        <v>1.1000000000000001</v>
      </c>
      <c r="E81" s="163" t="s">
        <v>168</v>
      </c>
      <c r="F81" s="18"/>
      <c r="G81" s="18"/>
      <c r="H81" s="18"/>
      <c r="I81" s="39" t="s">
        <v>169</v>
      </c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">
      <c r="A82" s="15" t="s">
        <v>163</v>
      </c>
      <c r="B82" s="165">
        <f>B81*1.60934/1.10231</f>
        <v>0.10949778193067286</v>
      </c>
      <c r="C82" s="165">
        <f>C81*1.60934/1.10231</f>
        <v>0.1167976340593844</v>
      </c>
      <c r="D82" s="165">
        <f>D81*1.60934/1.10231</f>
        <v>1.6059674683165355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">
      <c r="A83" s="580" t="s">
        <v>165</v>
      </c>
      <c r="B83" s="581"/>
      <c r="C83" s="581"/>
      <c r="D83" s="58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">
      <c r="A84" s="553" t="s">
        <v>164</v>
      </c>
      <c r="B84" s="554"/>
      <c r="C84" s="554"/>
      <c r="D84" s="555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">
      <c r="A85" s="553" t="s">
        <v>167</v>
      </c>
      <c r="B85" s="554"/>
      <c r="C85" s="554"/>
      <c r="D85" s="555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">
      <c r="A86" s="553" t="s">
        <v>171</v>
      </c>
      <c r="B86" s="554"/>
      <c r="C86" s="554"/>
      <c r="D86" s="555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">
      <c r="A87" s="556" t="s">
        <v>173</v>
      </c>
      <c r="B87" s="557"/>
      <c r="C87" s="557"/>
      <c r="D87" s="55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pans="11:18" s="18" customFormat="1" x14ac:dyDescent="0.2"/>
    <row r="322" spans="11:18" s="18" customFormat="1" x14ac:dyDescent="0.2"/>
    <row r="323" spans="11:18" s="18" customFormat="1" x14ac:dyDescent="0.2"/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</sheetData>
  <mergeCells count="25">
    <mergeCell ref="A85:D85"/>
    <mergeCell ref="A86:D86"/>
    <mergeCell ref="A87:D87"/>
    <mergeCell ref="A64:E64"/>
    <mergeCell ref="A65:E65"/>
    <mergeCell ref="A63:E63"/>
    <mergeCell ref="A83:D83"/>
    <mergeCell ref="A84:D84"/>
    <mergeCell ref="B80:D80"/>
    <mergeCell ref="B77:D77"/>
    <mergeCell ref="B74:D74"/>
    <mergeCell ref="B71:D71"/>
    <mergeCell ref="B68:D68"/>
    <mergeCell ref="A29:E29"/>
    <mergeCell ref="B30:E30"/>
    <mergeCell ref="A3:A5"/>
    <mergeCell ref="B3:L3"/>
    <mergeCell ref="C4:D4"/>
    <mergeCell ref="E4:H4"/>
    <mergeCell ref="I4:J4"/>
    <mergeCell ref="K4:L4"/>
    <mergeCell ref="A26:H26"/>
    <mergeCell ref="B4:B5"/>
    <mergeCell ref="A30:A31"/>
    <mergeCell ref="A27:L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A425-FDC4-416F-A147-3446607F5BE6}">
  <sheetPr>
    <pageSetUpPr fitToPage="1"/>
  </sheetPr>
  <dimension ref="A1:SJ404"/>
  <sheetViews>
    <sheetView zoomScale="85" zoomScaleNormal="85" workbookViewId="0"/>
  </sheetViews>
  <sheetFormatPr defaultColWidth="8.85546875" defaultRowHeight="12.75" x14ac:dyDescent="0.2"/>
  <cols>
    <col min="1" max="1" width="34.85546875" style="284" customWidth="1"/>
    <col min="2" max="2" width="14" style="284" customWidth="1"/>
    <col min="3" max="3" width="11.5703125" style="284" bestFit="1" customWidth="1"/>
    <col min="4" max="4" width="14" style="284" customWidth="1"/>
    <col min="5" max="5" width="10.5703125" style="284" customWidth="1"/>
    <col min="6" max="6" width="13.7109375" style="284" customWidth="1"/>
    <col min="7" max="8" width="12.5703125" style="284" customWidth="1"/>
    <col min="9" max="9" width="12.7109375" style="284" bestFit="1" customWidth="1"/>
    <col min="10" max="10" width="15.7109375" style="284" customWidth="1"/>
    <col min="11" max="11" width="14.85546875" style="284" bestFit="1" customWidth="1"/>
    <col min="12" max="12" width="19.28515625" style="284" customWidth="1"/>
    <col min="13" max="13" width="18.5703125" style="284" customWidth="1"/>
    <col min="14" max="14" width="14.140625" style="284" customWidth="1"/>
    <col min="15" max="15" width="13" style="284" bestFit="1" customWidth="1"/>
    <col min="16" max="16" width="14.42578125" style="284" customWidth="1"/>
    <col min="17" max="17" width="11" style="284" bestFit="1" customWidth="1"/>
    <col min="18" max="18" width="20.7109375" style="284" bestFit="1" customWidth="1"/>
    <col min="19" max="19" width="19.28515625" style="284" customWidth="1"/>
    <col min="20" max="20" width="11.140625" style="284" customWidth="1"/>
    <col min="21" max="21" width="19" style="284" bestFit="1" customWidth="1"/>
    <col min="22" max="23" width="11.7109375" style="284" customWidth="1"/>
    <col min="24" max="25" width="18.140625" style="284" bestFit="1" customWidth="1"/>
    <col min="26" max="26" width="12.42578125" style="284" customWidth="1"/>
    <col min="27" max="27" width="10.7109375" style="284" customWidth="1"/>
    <col min="28" max="28" width="16.140625" style="284" customWidth="1"/>
    <col min="29" max="31" width="15.7109375" style="284" customWidth="1"/>
    <col min="32" max="504" width="8.85546875" style="25"/>
    <col min="505" max="16384" width="8.85546875" style="284"/>
  </cols>
  <sheetData>
    <row r="1" spans="1:504" s="25" customFormat="1" ht="20.25" x14ac:dyDescent="0.3">
      <c r="A1" s="29" t="s">
        <v>423</v>
      </c>
    </row>
    <row r="2" spans="1:50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504" ht="18" x14ac:dyDescent="0.25">
      <c r="A3" s="285" t="s">
        <v>22</v>
      </c>
      <c r="B3" s="25"/>
      <c r="C3" s="28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504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504" ht="13.15" customHeight="1" x14ac:dyDescent="0.2">
      <c r="A5" s="593" t="s">
        <v>1</v>
      </c>
      <c r="B5" s="603" t="s">
        <v>369</v>
      </c>
      <c r="C5" s="604"/>
      <c r="D5" s="548" t="s">
        <v>370</v>
      </c>
      <c r="E5" s="562"/>
      <c r="F5" s="562"/>
      <c r="G5" s="549"/>
      <c r="H5" s="603" t="s">
        <v>371</v>
      </c>
      <c r="I5" s="604"/>
      <c r="J5" s="607" t="s">
        <v>372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SC5" s="284"/>
      <c r="SD5" s="284"/>
      <c r="SE5" s="284"/>
      <c r="SF5" s="284"/>
      <c r="SG5" s="284"/>
      <c r="SH5" s="284"/>
      <c r="SI5" s="284"/>
      <c r="SJ5" s="284"/>
    </row>
    <row r="6" spans="1:504" ht="26.45" customHeight="1" x14ac:dyDescent="0.2">
      <c r="A6" s="594"/>
      <c r="B6" s="605"/>
      <c r="C6" s="606"/>
      <c r="D6" s="610" t="s">
        <v>416</v>
      </c>
      <c r="E6" s="611"/>
      <c r="F6" s="612" t="s">
        <v>373</v>
      </c>
      <c r="G6" s="612"/>
      <c r="H6" s="605"/>
      <c r="I6" s="606"/>
      <c r="J6" s="60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SC6" s="284"/>
      <c r="SD6" s="284"/>
      <c r="SE6" s="284"/>
      <c r="SF6" s="284"/>
      <c r="SG6" s="284"/>
      <c r="SH6" s="284"/>
      <c r="SI6" s="284"/>
      <c r="SJ6" s="284"/>
    </row>
    <row r="7" spans="1:504" ht="40.5" customHeight="1" thickBot="1" x14ac:dyDescent="0.25">
      <c r="A7" s="602"/>
      <c r="B7" s="287" t="s">
        <v>374</v>
      </c>
      <c r="C7" s="287" t="s">
        <v>149</v>
      </c>
      <c r="D7" s="287" t="s">
        <v>374</v>
      </c>
      <c r="E7" s="287" t="s">
        <v>149</v>
      </c>
      <c r="F7" s="287" t="s">
        <v>374</v>
      </c>
      <c r="G7" s="287" t="s">
        <v>149</v>
      </c>
      <c r="H7" s="288" t="s">
        <v>374</v>
      </c>
      <c r="I7" s="288" t="s">
        <v>149</v>
      </c>
      <c r="J7" s="60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SC7" s="284"/>
      <c r="SD7" s="284"/>
      <c r="SE7" s="284"/>
      <c r="SF7" s="284"/>
      <c r="SG7" s="284"/>
      <c r="SH7" s="284"/>
      <c r="SI7" s="284"/>
      <c r="SJ7" s="284"/>
    </row>
    <row r="8" spans="1:504" ht="13.5" thickTop="1" x14ac:dyDescent="0.2">
      <c r="A8" s="289">
        <v>2024</v>
      </c>
      <c r="B8" s="290">
        <f>D66</f>
        <v>22138</v>
      </c>
      <c r="C8" s="291">
        <f>C66</f>
        <v>685</v>
      </c>
      <c r="D8" s="290">
        <f>G66</f>
        <v>8486.8166666666675</v>
      </c>
      <c r="E8" s="291">
        <f>F66</f>
        <v>262</v>
      </c>
      <c r="F8" s="290">
        <f>M66</f>
        <v>1844.9166666666665</v>
      </c>
      <c r="G8" s="291">
        <f>L66</f>
        <v>57</v>
      </c>
      <c r="H8" s="290">
        <f>F8-D8</f>
        <v>-6641.9000000000015</v>
      </c>
      <c r="I8" s="292">
        <f>G8-E8</f>
        <v>-205</v>
      </c>
      <c r="J8" s="448">
        <f t="shared" ref="J8:J27" si="0">(H8*$B$112)+(I8*$B$111)</f>
        <v>-125204.01000000002</v>
      </c>
      <c r="K8" s="28"/>
      <c r="L8" s="28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SC8" s="284"/>
      <c r="SD8" s="284"/>
      <c r="SE8" s="284"/>
      <c r="SF8" s="284"/>
      <c r="SG8" s="284"/>
      <c r="SH8" s="284"/>
      <c r="SI8" s="284"/>
      <c r="SJ8" s="284"/>
    </row>
    <row r="9" spans="1:504" x14ac:dyDescent="0.2">
      <c r="A9" s="289">
        <f t="shared" ref="A9:A26" si="1">A8+1</f>
        <v>2025</v>
      </c>
      <c r="B9" s="290">
        <f t="shared" ref="B9:B27" si="2">D67</f>
        <v>22281</v>
      </c>
      <c r="C9" s="291">
        <f t="shared" ref="C9:C27" si="3">C67</f>
        <v>689</v>
      </c>
      <c r="D9" s="290">
        <f t="shared" ref="D9:D27" si="4">G67</f>
        <v>8541.1666666666679</v>
      </c>
      <c r="E9" s="291">
        <f t="shared" ref="E9:E27" si="5">F67</f>
        <v>264</v>
      </c>
      <c r="F9" s="290">
        <f t="shared" ref="F9:F27" si="6">M67</f>
        <v>1857.1666666666665</v>
      </c>
      <c r="G9" s="291">
        <f t="shared" ref="G9:G27" si="7">L67</f>
        <v>57</v>
      </c>
      <c r="H9" s="290">
        <f t="shared" ref="H9:I27" si="8">F9-D9</f>
        <v>-6684.0000000000018</v>
      </c>
      <c r="I9" s="292">
        <f t="shared" si="8"/>
        <v>-207</v>
      </c>
      <c r="J9" s="448">
        <f t="shared" si="0"/>
        <v>-126019.20000000003</v>
      </c>
      <c r="K9" s="28"/>
      <c r="L9" s="28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SC9" s="284"/>
      <c r="SD9" s="284"/>
      <c r="SE9" s="284"/>
      <c r="SF9" s="284"/>
      <c r="SG9" s="284"/>
      <c r="SH9" s="284"/>
      <c r="SI9" s="284"/>
      <c r="SJ9" s="284"/>
    </row>
    <row r="10" spans="1:504" x14ac:dyDescent="0.2">
      <c r="A10" s="289">
        <f t="shared" si="1"/>
        <v>2026</v>
      </c>
      <c r="B10" s="290">
        <f t="shared" si="2"/>
        <v>22425</v>
      </c>
      <c r="C10" s="291">
        <f t="shared" si="3"/>
        <v>694</v>
      </c>
      <c r="D10" s="290">
        <f t="shared" si="4"/>
        <v>8596.2833333333347</v>
      </c>
      <c r="E10" s="291">
        <f t="shared" si="5"/>
        <v>266</v>
      </c>
      <c r="F10" s="290">
        <f t="shared" si="6"/>
        <v>1868.5833333333333</v>
      </c>
      <c r="G10" s="291">
        <f t="shared" si="7"/>
        <v>58</v>
      </c>
      <c r="H10" s="290">
        <f t="shared" si="8"/>
        <v>-6727.7000000000016</v>
      </c>
      <c r="I10" s="292">
        <f t="shared" si="8"/>
        <v>-208</v>
      </c>
      <c r="J10" s="448">
        <f t="shared" si="0"/>
        <v>-126832.23000000001</v>
      </c>
      <c r="K10" s="28"/>
      <c r="L10" s="2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SC10" s="284"/>
      <c r="SD10" s="284"/>
      <c r="SE10" s="284"/>
      <c r="SF10" s="284"/>
      <c r="SG10" s="284"/>
      <c r="SH10" s="284"/>
      <c r="SI10" s="284"/>
      <c r="SJ10" s="284"/>
    </row>
    <row r="11" spans="1:504" x14ac:dyDescent="0.2">
      <c r="A11" s="289">
        <f t="shared" si="1"/>
        <v>2027</v>
      </c>
      <c r="B11" s="290">
        <f t="shared" si="2"/>
        <v>22570</v>
      </c>
      <c r="C11" s="291">
        <f t="shared" si="3"/>
        <v>698</v>
      </c>
      <c r="D11" s="290">
        <f t="shared" si="4"/>
        <v>8651.4000000000015</v>
      </c>
      <c r="E11" s="291">
        <f t="shared" si="5"/>
        <v>268</v>
      </c>
      <c r="F11" s="290">
        <f t="shared" si="6"/>
        <v>1881</v>
      </c>
      <c r="G11" s="291">
        <f t="shared" si="7"/>
        <v>58</v>
      </c>
      <c r="H11" s="290">
        <f>F11-D11</f>
        <v>-6770.4000000000015</v>
      </c>
      <c r="I11" s="292">
        <f t="shared" si="8"/>
        <v>-210</v>
      </c>
      <c r="J11" s="448">
        <f t="shared" si="0"/>
        <v>-127658.16000000002</v>
      </c>
      <c r="K11" s="28"/>
      <c r="L11" s="2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SC11" s="284"/>
      <c r="SD11" s="284"/>
      <c r="SE11" s="284"/>
      <c r="SF11" s="284"/>
      <c r="SG11" s="284"/>
      <c r="SH11" s="284"/>
      <c r="SI11" s="284"/>
      <c r="SJ11" s="284"/>
    </row>
    <row r="12" spans="1:504" x14ac:dyDescent="0.2">
      <c r="A12" s="289">
        <f t="shared" si="1"/>
        <v>2028</v>
      </c>
      <c r="B12" s="290">
        <f t="shared" si="2"/>
        <v>22715</v>
      </c>
      <c r="C12" s="291">
        <f t="shared" si="3"/>
        <v>703</v>
      </c>
      <c r="D12" s="290">
        <f t="shared" si="4"/>
        <v>8707.9000000000015</v>
      </c>
      <c r="E12" s="291">
        <f t="shared" si="5"/>
        <v>269</v>
      </c>
      <c r="F12" s="290">
        <f t="shared" si="6"/>
        <v>1892.5</v>
      </c>
      <c r="G12" s="291">
        <f t="shared" si="7"/>
        <v>59</v>
      </c>
      <c r="H12" s="290">
        <f t="shared" si="8"/>
        <v>-6815.4000000000015</v>
      </c>
      <c r="I12" s="292">
        <f t="shared" si="8"/>
        <v>-210</v>
      </c>
      <c r="J12" s="448">
        <f t="shared" si="0"/>
        <v>-128463.66000000002</v>
      </c>
      <c r="K12" s="28"/>
      <c r="L12" s="28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SC12" s="284"/>
      <c r="SD12" s="284"/>
      <c r="SE12" s="284"/>
      <c r="SF12" s="284"/>
      <c r="SG12" s="284"/>
      <c r="SH12" s="284"/>
      <c r="SI12" s="284"/>
      <c r="SJ12" s="284"/>
    </row>
    <row r="13" spans="1:504" x14ac:dyDescent="0.2">
      <c r="A13" s="289">
        <f t="shared" si="1"/>
        <v>2029</v>
      </c>
      <c r="B13" s="290">
        <f t="shared" si="2"/>
        <v>22862</v>
      </c>
      <c r="C13" s="291">
        <f t="shared" si="3"/>
        <v>707</v>
      </c>
      <c r="D13" s="290">
        <f t="shared" si="4"/>
        <v>8763.7833333333347</v>
      </c>
      <c r="E13" s="291">
        <f t="shared" si="5"/>
        <v>271</v>
      </c>
      <c r="F13" s="290">
        <f t="shared" si="6"/>
        <v>1905.0833333333333</v>
      </c>
      <c r="G13" s="291">
        <f t="shared" si="7"/>
        <v>59</v>
      </c>
      <c r="H13" s="290">
        <f t="shared" si="8"/>
        <v>-6858.7000000000016</v>
      </c>
      <c r="I13" s="292">
        <f t="shared" si="8"/>
        <v>-212</v>
      </c>
      <c r="J13" s="448">
        <f t="shared" si="0"/>
        <v>-129300.33000000003</v>
      </c>
      <c r="K13" s="28"/>
      <c r="L13" s="2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SC13" s="284"/>
      <c r="SD13" s="284"/>
      <c r="SE13" s="284"/>
      <c r="SF13" s="284"/>
      <c r="SG13" s="284"/>
      <c r="SH13" s="284"/>
      <c r="SI13" s="284"/>
      <c r="SJ13" s="284"/>
    </row>
    <row r="14" spans="1:504" x14ac:dyDescent="0.2">
      <c r="A14" s="289">
        <f t="shared" si="1"/>
        <v>2030</v>
      </c>
      <c r="B14" s="290">
        <f t="shared" si="2"/>
        <v>23010</v>
      </c>
      <c r="C14" s="291">
        <f t="shared" si="3"/>
        <v>712</v>
      </c>
      <c r="D14" s="290">
        <f t="shared" si="4"/>
        <v>8820.4333333333343</v>
      </c>
      <c r="E14" s="291">
        <f t="shared" si="5"/>
        <v>273</v>
      </c>
      <c r="F14" s="290">
        <f t="shared" si="6"/>
        <v>1917.8333333333333</v>
      </c>
      <c r="G14" s="291">
        <f t="shared" si="7"/>
        <v>59</v>
      </c>
      <c r="H14" s="290">
        <f t="shared" si="8"/>
        <v>-6902.6000000000013</v>
      </c>
      <c r="I14" s="292">
        <f t="shared" si="8"/>
        <v>-214</v>
      </c>
      <c r="J14" s="448">
        <f t="shared" si="0"/>
        <v>-130147.74</v>
      </c>
      <c r="K14" s="28"/>
      <c r="L14" s="28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SC14" s="284"/>
      <c r="SD14" s="284"/>
      <c r="SE14" s="284"/>
      <c r="SF14" s="284"/>
      <c r="SG14" s="284"/>
      <c r="SH14" s="284"/>
      <c r="SI14" s="284"/>
      <c r="SJ14" s="284"/>
    </row>
    <row r="15" spans="1:504" x14ac:dyDescent="0.2">
      <c r="A15" s="289">
        <f t="shared" si="1"/>
        <v>2031</v>
      </c>
      <c r="B15" s="290">
        <f t="shared" si="2"/>
        <v>23159</v>
      </c>
      <c r="C15" s="291">
        <f t="shared" si="3"/>
        <v>716</v>
      </c>
      <c r="D15" s="290">
        <f t="shared" si="4"/>
        <v>8877.0833333333339</v>
      </c>
      <c r="E15" s="291">
        <f t="shared" si="5"/>
        <v>275</v>
      </c>
      <c r="F15" s="290">
        <f t="shared" si="6"/>
        <v>1929.5833333333333</v>
      </c>
      <c r="G15" s="291">
        <f t="shared" si="7"/>
        <v>60</v>
      </c>
      <c r="H15" s="290">
        <f t="shared" si="8"/>
        <v>-6947.5000000000009</v>
      </c>
      <c r="I15" s="292">
        <f t="shared" si="8"/>
        <v>-215</v>
      </c>
      <c r="J15" s="448">
        <f t="shared" si="0"/>
        <v>-130982.25</v>
      </c>
      <c r="K15" s="28"/>
      <c r="L15" s="28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SC15" s="284"/>
      <c r="SD15" s="284"/>
      <c r="SE15" s="284"/>
      <c r="SF15" s="284"/>
      <c r="SG15" s="284"/>
      <c r="SH15" s="284"/>
      <c r="SI15" s="284"/>
      <c r="SJ15" s="284"/>
    </row>
    <row r="16" spans="1:504" x14ac:dyDescent="0.2">
      <c r="A16" s="289">
        <f t="shared" si="1"/>
        <v>2032</v>
      </c>
      <c r="B16" s="290">
        <f t="shared" si="2"/>
        <v>23308</v>
      </c>
      <c r="C16" s="291">
        <f t="shared" si="3"/>
        <v>721</v>
      </c>
      <c r="D16" s="290">
        <f t="shared" si="4"/>
        <v>8935.1166666666668</v>
      </c>
      <c r="E16" s="291">
        <f t="shared" si="5"/>
        <v>276</v>
      </c>
      <c r="F16" s="290">
        <f t="shared" si="6"/>
        <v>1942.4166666666665</v>
      </c>
      <c r="G16" s="291">
        <f t="shared" si="7"/>
        <v>60</v>
      </c>
      <c r="H16" s="290">
        <f t="shared" si="8"/>
        <v>-6992.7000000000007</v>
      </c>
      <c r="I16" s="292">
        <f t="shared" si="8"/>
        <v>-216</v>
      </c>
      <c r="J16" s="448">
        <f t="shared" si="0"/>
        <v>-131822.13</v>
      </c>
      <c r="K16" s="28"/>
      <c r="L16" s="28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SC16" s="284"/>
      <c r="SD16" s="284"/>
      <c r="SE16" s="284"/>
      <c r="SF16" s="284"/>
      <c r="SG16" s="284"/>
      <c r="SH16" s="284"/>
      <c r="SI16" s="284"/>
      <c r="SJ16" s="284"/>
    </row>
    <row r="17" spans="1:504" x14ac:dyDescent="0.2">
      <c r="A17" s="289">
        <f t="shared" si="1"/>
        <v>2033</v>
      </c>
      <c r="B17" s="290">
        <f t="shared" si="2"/>
        <v>23458</v>
      </c>
      <c r="C17" s="291">
        <f t="shared" si="3"/>
        <v>726</v>
      </c>
      <c r="D17" s="290">
        <f t="shared" si="4"/>
        <v>8992.5333333333347</v>
      </c>
      <c r="E17" s="291">
        <f t="shared" si="5"/>
        <v>278</v>
      </c>
      <c r="F17" s="290">
        <f t="shared" si="6"/>
        <v>1955.3333333333333</v>
      </c>
      <c r="G17" s="291">
        <f t="shared" si="7"/>
        <v>60</v>
      </c>
      <c r="H17" s="290">
        <f t="shared" si="8"/>
        <v>-7037.2000000000016</v>
      </c>
      <c r="I17" s="292">
        <f t="shared" si="8"/>
        <v>-218</v>
      </c>
      <c r="J17" s="448">
        <f t="shared" si="0"/>
        <v>-132680.28000000003</v>
      </c>
      <c r="K17" s="28"/>
      <c r="L17" s="2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SC17" s="284"/>
      <c r="SD17" s="284"/>
      <c r="SE17" s="284"/>
      <c r="SF17" s="284"/>
      <c r="SG17" s="284"/>
      <c r="SH17" s="284"/>
      <c r="SI17" s="284"/>
      <c r="SJ17" s="284"/>
    </row>
    <row r="18" spans="1:504" x14ac:dyDescent="0.2">
      <c r="A18" s="289">
        <f t="shared" si="1"/>
        <v>2034</v>
      </c>
      <c r="B18" s="290">
        <f t="shared" si="2"/>
        <v>23610</v>
      </c>
      <c r="C18" s="291">
        <f t="shared" si="3"/>
        <v>730</v>
      </c>
      <c r="D18" s="290">
        <f t="shared" si="4"/>
        <v>9050.3333333333339</v>
      </c>
      <c r="E18" s="291">
        <f t="shared" si="5"/>
        <v>280</v>
      </c>
      <c r="F18" s="290">
        <f t="shared" si="6"/>
        <v>1967.3333333333333</v>
      </c>
      <c r="G18" s="291">
        <f t="shared" si="7"/>
        <v>61</v>
      </c>
      <c r="H18" s="290">
        <f t="shared" si="8"/>
        <v>-7083.0000000000009</v>
      </c>
      <c r="I18" s="292">
        <f t="shared" si="8"/>
        <v>-219</v>
      </c>
      <c r="J18" s="448">
        <f t="shared" si="0"/>
        <v>-133530.90000000002</v>
      </c>
      <c r="K18" s="28"/>
      <c r="L18" s="28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SC18" s="284"/>
      <c r="SD18" s="284"/>
      <c r="SE18" s="284"/>
      <c r="SF18" s="284"/>
      <c r="SG18" s="284"/>
      <c r="SH18" s="284"/>
      <c r="SI18" s="284"/>
      <c r="SJ18" s="284"/>
    </row>
    <row r="19" spans="1:504" x14ac:dyDescent="0.2">
      <c r="A19" s="289">
        <f t="shared" si="1"/>
        <v>2035</v>
      </c>
      <c r="B19" s="290">
        <f t="shared" si="2"/>
        <v>23763</v>
      </c>
      <c r="C19" s="291">
        <f t="shared" si="3"/>
        <v>735</v>
      </c>
      <c r="D19" s="290">
        <f t="shared" si="4"/>
        <v>9108.9000000000015</v>
      </c>
      <c r="E19" s="291">
        <f t="shared" si="5"/>
        <v>282</v>
      </c>
      <c r="F19" s="290">
        <f t="shared" si="6"/>
        <v>1980.5</v>
      </c>
      <c r="G19" s="291">
        <f t="shared" si="7"/>
        <v>61</v>
      </c>
      <c r="H19" s="290">
        <f t="shared" si="8"/>
        <v>-7128.4000000000015</v>
      </c>
      <c r="I19" s="292">
        <f t="shared" si="8"/>
        <v>-221</v>
      </c>
      <c r="J19" s="448">
        <f t="shared" si="0"/>
        <v>-134405.16</v>
      </c>
      <c r="K19" s="28"/>
      <c r="L19" s="2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SC19" s="284"/>
      <c r="SD19" s="284"/>
      <c r="SE19" s="284"/>
      <c r="SF19" s="284"/>
      <c r="SG19" s="284"/>
      <c r="SH19" s="284"/>
      <c r="SI19" s="284"/>
      <c r="SJ19" s="284"/>
    </row>
    <row r="20" spans="1:504" x14ac:dyDescent="0.2">
      <c r="A20" s="289">
        <f t="shared" si="1"/>
        <v>2036</v>
      </c>
      <c r="B20" s="290">
        <f t="shared" si="2"/>
        <v>23916</v>
      </c>
      <c r="C20" s="291">
        <f t="shared" si="3"/>
        <v>740</v>
      </c>
      <c r="D20" s="290">
        <f t="shared" si="4"/>
        <v>9167.4666666666672</v>
      </c>
      <c r="E20" s="291">
        <f t="shared" si="5"/>
        <v>284</v>
      </c>
      <c r="F20" s="290">
        <f t="shared" si="6"/>
        <v>1992.6666666666665</v>
      </c>
      <c r="G20" s="291">
        <f t="shared" si="7"/>
        <v>62</v>
      </c>
      <c r="H20" s="290">
        <f t="shared" si="8"/>
        <v>-7174.8000000000011</v>
      </c>
      <c r="I20" s="292">
        <f t="shared" si="8"/>
        <v>-222</v>
      </c>
      <c r="J20" s="448">
        <f t="shared" si="0"/>
        <v>-135266.52000000002</v>
      </c>
      <c r="K20" s="28"/>
      <c r="L20" s="2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SC20" s="284"/>
      <c r="SD20" s="284"/>
      <c r="SE20" s="284"/>
      <c r="SF20" s="284"/>
      <c r="SG20" s="284"/>
      <c r="SH20" s="284"/>
      <c r="SI20" s="284"/>
      <c r="SJ20" s="284"/>
    </row>
    <row r="21" spans="1:504" x14ac:dyDescent="0.2">
      <c r="A21" s="289">
        <f t="shared" si="1"/>
        <v>2037</v>
      </c>
      <c r="B21" s="290">
        <f t="shared" si="2"/>
        <v>24071</v>
      </c>
      <c r="C21" s="291">
        <f t="shared" si="3"/>
        <v>744</v>
      </c>
      <c r="D21" s="290">
        <f t="shared" si="4"/>
        <v>9227.4166666666679</v>
      </c>
      <c r="E21" s="291">
        <f t="shared" si="5"/>
        <v>285</v>
      </c>
      <c r="F21" s="290">
        <f t="shared" si="6"/>
        <v>2005.9166666666665</v>
      </c>
      <c r="G21" s="291">
        <f t="shared" si="7"/>
        <v>62</v>
      </c>
      <c r="H21" s="290">
        <f t="shared" si="8"/>
        <v>-7221.5000000000018</v>
      </c>
      <c r="I21" s="292">
        <f t="shared" si="8"/>
        <v>-223</v>
      </c>
      <c r="J21" s="448">
        <f t="shared" si="0"/>
        <v>-136133.25000000003</v>
      </c>
      <c r="K21" s="28"/>
      <c r="L21" s="2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SC21" s="284"/>
      <c r="SD21" s="284"/>
      <c r="SE21" s="284"/>
      <c r="SF21" s="284"/>
      <c r="SG21" s="284"/>
      <c r="SH21" s="284"/>
      <c r="SI21" s="284"/>
      <c r="SJ21" s="284"/>
    </row>
    <row r="22" spans="1:504" x14ac:dyDescent="0.2">
      <c r="A22" s="289">
        <f t="shared" si="1"/>
        <v>2038</v>
      </c>
      <c r="B22" s="290">
        <f t="shared" si="2"/>
        <v>24226</v>
      </c>
      <c r="C22" s="291">
        <f t="shared" si="3"/>
        <v>749</v>
      </c>
      <c r="D22" s="290">
        <f t="shared" si="4"/>
        <v>9286.75</v>
      </c>
      <c r="E22" s="291">
        <f t="shared" si="5"/>
        <v>287</v>
      </c>
      <c r="F22" s="290">
        <f t="shared" si="6"/>
        <v>2019.25</v>
      </c>
      <c r="G22" s="291">
        <f t="shared" si="7"/>
        <v>62</v>
      </c>
      <c r="H22" s="290">
        <f t="shared" si="8"/>
        <v>-7267.5</v>
      </c>
      <c r="I22" s="292">
        <f t="shared" si="8"/>
        <v>-225</v>
      </c>
      <c r="J22" s="448">
        <f t="shared" si="0"/>
        <v>-137018.25</v>
      </c>
      <c r="K22" s="28"/>
      <c r="L22" s="2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SC22" s="284"/>
      <c r="SD22" s="284"/>
      <c r="SE22" s="284"/>
      <c r="SF22" s="284"/>
      <c r="SG22" s="284"/>
      <c r="SH22" s="284"/>
      <c r="SI22" s="284"/>
      <c r="SJ22" s="284"/>
    </row>
    <row r="23" spans="1:504" x14ac:dyDescent="0.2">
      <c r="A23" s="289">
        <f t="shared" si="1"/>
        <v>2039</v>
      </c>
      <c r="B23" s="290">
        <f t="shared" si="2"/>
        <v>24383</v>
      </c>
      <c r="C23" s="291">
        <f t="shared" si="3"/>
        <v>754</v>
      </c>
      <c r="D23" s="290">
        <f t="shared" si="4"/>
        <v>9346.85</v>
      </c>
      <c r="E23" s="291">
        <f t="shared" si="5"/>
        <v>289</v>
      </c>
      <c r="F23" s="290">
        <f t="shared" si="6"/>
        <v>2031.75</v>
      </c>
      <c r="G23" s="291">
        <f t="shared" si="7"/>
        <v>63</v>
      </c>
      <c r="H23" s="290">
        <f t="shared" si="8"/>
        <v>-7315.1</v>
      </c>
      <c r="I23" s="292">
        <f t="shared" si="8"/>
        <v>-226</v>
      </c>
      <c r="J23" s="448">
        <f t="shared" si="0"/>
        <v>-137901.09</v>
      </c>
      <c r="K23" s="28"/>
      <c r="L23" s="2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SC23" s="284"/>
      <c r="SD23" s="284"/>
      <c r="SE23" s="284"/>
      <c r="SF23" s="284"/>
      <c r="SG23" s="284"/>
      <c r="SH23" s="284"/>
      <c r="SI23" s="284"/>
      <c r="SJ23" s="284"/>
    </row>
    <row r="24" spans="1:504" x14ac:dyDescent="0.2">
      <c r="A24" s="289">
        <f t="shared" si="1"/>
        <v>2040</v>
      </c>
      <c r="B24" s="290">
        <f t="shared" si="2"/>
        <v>24540</v>
      </c>
      <c r="C24" s="291">
        <f t="shared" si="3"/>
        <v>759</v>
      </c>
      <c r="D24" s="290">
        <f t="shared" si="4"/>
        <v>9406.9500000000007</v>
      </c>
      <c r="E24" s="291">
        <f t="shared" si="5"/>
        <v>291</v>
      </c>
      <c r="F24" s="290">
        <f t="shared" si="6"/>
        <v>2045.25</v>
      </c>
      <c r="G24" s="291">
        <f t="shared" si="7"/>
        <v>63</v>
      </c>
      <c r="H24" s="290">
        <f t="shared" si="8"/>
        <v>-7361.7000000000007</v>
      </c>
      <c r="I24" s="292">
        <f t="shared" si="8"/>
        <v>-228</v>
      </c>
      <c r="J24" s="448">
        <f t="shared" si="0"/>
        <v>-138796.82999999999</v>
      </c>
      <c r="K24" s="28"/>
      <c r="L24" s="2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SC24" s="284"/>
      <c r="SD24" s="284"/>
      <c r="SE24" s="284"/>
      <c r="SF24" s="284"/>
      <c r="SG24" s="284"/>
      <c r="SH24" s="284"/>
      <c r="SI24" s="284"/>
      <c r="SJ24" s="284"/>
    </row>
    <row r="25" spans="1:504" x14ac:dyDescent="0.2">
      <c r="A25" s="289">
        <f t="shared" si="1"/>
        <v>2041</v>
      </c>
      <c r="B25" s="290">
        <f t="shared" si="2"/>
        <v>24698</v>
      </c>
      <c r="C25" s="291">
        <f t="shared" si="3"/>
        <v>764</v>
      </c>
      <c r="D25" s="290">
        <f t="shared" si="4"/>
        <v>9467.4333333333343</v>
      </c>
      <c r="E25" s="291">
        <f t="shared" si="5"/>
        <v>293</v>
      </c>
      <c r="F25" s="290">
        <f t="shared" si="6"/>
        <v>2057.833333333333</v>
      </c>
      <c r="G25" s="291">
        <f t="shared" si="7"/>
        <v>64</v>
      </c>
      <c r="H25" s="290">
        <f t="shared" si="8"/>
        <v>-7409.6000000000013</v>
      </c>
      <c r="I25" s="292">
        <f t="shared" si="8"/>
        <v>-229</v>
      </c>
      <c r="J25" s="448">
        <f t="shared" si="0"/>
        <v>-139685.04000000004</v>
      </c>
      <c r="K25" s="28"/>
      <c r="L25" s="2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SC25" s="284"/>
      <c r="SD25" s="284"/>
      <c r="SE25" s="284"/>
      <c r="SF25" s="284"/>
      <c r="SG25" s="284"/>
      <c r="SH25" s="284"/>
      <c r="SI25" s="284"/>
      <c r="SJ25" s="284"/>
    </row>
    <row r="26" spans="1:504" x14ac:dyDescent="0.2">
      <c r="A26" s="289">
        <f t="shared" si="1"/>
        <v>2042</v>
      </c>
      <c r="B26" s="290">
        <f t="shared" si="2"/>
        <v>24858</v>
      </c>
      <c r="C26" s="291">
        <f t="shared" si="3"/>
        <v>769</v>
      </c>
      <c r="D26" s="290">
        <f t="shared" si="4"/>
        <v>9528.6833333333343</v>
      </c>
      <c r="E26" s="291">
        <f t="shared" si="5"/>
        <v>295</v>
      </c>
      <c r="F26" s="290">
        <f t="shared" si="6"/>
        <v>2071.583333333333</v>
      </c>
      <c r="G26" s="291">
        <f t="shared" si="7"/>
        <v>64</v>
      </c>
      <c r="H26" s="290">
        <f t="shared" si="8"/>
        <v>-7457.1000000000013</v>
      </c>
      <c r="I26" s="292">
        <f t="shared" si="8"/>
        <v>-231</v>
      </c>
      <c r="J26" s="448">
        <f t="shared" si="0"/>
        <v>-140596.89000000001</v>
      </c>
      <c r="K26" s="28"/>
      <c r="L26" s="2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SC26" s="284"/>
      <c r="SD26" s="284"/>
      <c r="SE26" s="284"/>
      <c r="SF26" s="284"/>
      <c r="SG26" s="284"/>
      <c r="SH26" s="284"/>
      <c r="SI26" s="284"/>
      <c r="SJ26" s="284"/>
    </row>
    <row r="27" spans="1:504" ht="13.5" thickBot="1" x14ac:dyDescent="0.25">
      <c r="A27" s="434">
        <f>A26+1</f>
        <v>2043</v>
      </c>
      <c r="B27" s="435">
        <f t="shared" si="2"/>
        <v>25018</v>
      </c>
      <c r="C27" s="436">
        <f t="shared" si="3"/>
        <v>774</v>
      </c>
      <c r="D27" s="435">
        <f t="shared" si="4"/>
        <v>9589.9333333333343</v>
      </c>
      <c r="E27" s="436">
        <f t="shared" si="5"/>
        <v>297</v>
      </c>
      <c r="F27" s="435">
        <f t="shared" si="6"/>
        <v>2085.333333333333</v>
      </c>
      <c r="G27" s="436">
        <f t="shared" si="7"/>
        <v>64</v>
      </c>
      <c r="H27" s="435">
        <f t="shared" si="8"/>
        <v>-7504.6000000000013</v>
      </c>
      <c r="I27" s="436">
        <f t="shared" si="8"/>
        <v>-233</v>
      </c>
      <c r="J27" s="449">
        <f t="shared" si="0"/>
        <v>-141508.74000000002</v>
      </c>
      <c r="K27" s="28"/>
      <c r="L27" s="28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SC27" s="284"/>
      <c r="SD27" s="284"/>
      <c r="SE27" s="284"/>
      <c r="SF27" s="284"/>
      <c r="SG27" s="284"/>
      <c r="SH27" s="284"/>
      <c r="SI27" s="284"/>
      <c r="SJ27" s="284"/>
    </row>
    <row r="28" spans="1:504" ht="13.5" thickTop="1" x14ac:dyDescent="0.2">
      <c r="A28" s="587" t="s">
        <v>0</v>
      </c>
      <c r="B28" s="588"/>
      <c r="C28" s="588"/>
      <c r="D28" s="588"/>
      <c r="E28" s="588"/>
      <c r="F28" s="588"/>
      <c r="G28" s="588"/>
      <c r="H28" s="588"/>
      <c r="I28" s="589"/>
      <c r="J28" s="450">
        <f>SUM(J8:J27)</f>
        <v>-2663952.6600000006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SC28" s="284"/>
      <c r="SD28" s="284"/>
      <c r="SE28" s="284"/>
      <c r="SF28" s="284"/>
      <c r="SG28" s="284"/>
      <c r="SH28" s="284"/>
      <c r="SI28" s="284"/>
      <c r="SJ28" s="284"/>
    </row>
    <row r="29" spans="1:504" s="25" customFormat="1" x14ac:dyDescent="0.2">
      <c r="A29" s="439"/>
      <c r="B29" s="439"/>
      <c r="C29" s="439"/>
      <c r="D29" s="439"/>
      <c r="E29" s="439"/>
      <c r="F29" s="439"/>
      <c r="G29" s="439"/>
      <c r="H29" s="439"/>
      <c r="I29" s="439"/>
      <c r="J29" s="440"/>
    </row>
    <row r="30" spans="1:504" ht="18" x14ac:dyDescent="0.25">
      <c r="A30" s="285" t="s">
        <v>375</v>
      </c>
      <c r="B30" s="25"/>
      <c r="C30" s="25"/>
      <c r="D30" s="25"/>
      <c r="E30" s="25"/>
      <c r="F30" s="293"/>
      <c r="G30" s="293"/>
      <c r="H30" s="25"/>
      <c r="I30" s="25"/>
      <c r="J30" s="25"/>
      <c r="K30" s="25"/>
      <c r="L30" s="25"/>
      <c r="M30" s="25"/>
      <c r="N30" s="28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50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504" ht="13.15" customHeight="1" x14ac:dyDescent="0.2">
      <c r="A32" s="613" t="s">
        <v>1</v>
      </c>
      <c r="B32" s="603" t="s">
        <v>369</v>
      </c>
      <c r="C32" s="604"/>
      <c r="D32" s="548" t="s">
        <v>376</v>
      </c>
      <c r="E32" s="562"/>
      <c r="F32" s="562"/>
      <c r="G32" s="549"/>
      <c r="H32" s="603" t="s">
        <v>377</v>
      </c>
      <c r="I32" s="604"/>
      <c r="J32" s="607" t="s">
        <v>378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SI32" s="284"/>
      <c r="SJ32" s="284"/>
    </row>
    <row r="33" spans="1:504" ht="26.45" customHeight="1" x14ac:dyDescent="0.2">
      <c r="A33" s="613"/>
      <c r="B33" s="605"/>
      <c r="C33" s="606"/>
      <c r="D33" s="610" t="s">
        <v>416</v>
      </c>
      <c r="E33" s="611"/>
      <c r="F33" s="612" t="s">
        <v>373</v>
      </c>
      <c r="G33" s="612"/>
      <c r="H33" s="605"/>
      <c r="I33" s="606"/>
      <c r="J33" s="60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SI33" s="284"/>
      <c r="SJ33" s="284"/>
    </row>
    <row r="34" spans="1:504" ht="26.25" thickBot="1" x14ac:dyDescent="0.25">
      <c r="A34" s="613"/>
      <c r="B34" s="287" t="s">
        <v>374</v>
      </c>
      <c r="C34" s="287" t="s">
        <v>149</v>
      </c>
      <c r="D34" s="287" t="s">
        <v>374</v>
      </c>
      <c r="E34" s="287" t="s">
        <v>149</v>
      </c>
      <c r="F34" s="287" t="s">
        <v>374</v>
      </c>
      <c r="G34" s="287" t="s">
        <v>149</v>
      </c>
      <c r="H34" s="294" t="s">
        <v>374</v>
      </c>
      <c r="I34" s="294" t="s">
        <v>149</v>
      </c>
      <c r="J34" s="60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SI34" s="284"/>
      <c r="SJ34" s="284"/>
    </row>
    <row r="35" spans="1:504" ht="13.5" thickTop="1" x14ac:dyDescent="0.2">
      <c r="A35" s="289">
        <v>2024</v>
      </c>
      <c r="B35" s="290">
        <f>D66</f>
        <v>22138</v>
      </c>
      <c r="C35" s="291">
        <f>C66</f>
        <v>685</v>
      </c>
      <c r="D35" s="290">
        <f>J66</f>
        <v>327646.98800000001</v>
      </c>
      <c r="E35" s="291">
        <f>I66</f>
        <v>10133.412</v>
      </c>
      <c r="F35" s="290">
        <f>P66</f>
        <v>97408.564000000013</v>
      </c>
      <c r="G35" s="291">
        <f>O66</f>
        <v>3012.6360000000004</v>
      </c>
      <c r="H35" s="290">
        <f>F35-D35</f>
        <v>-230238.424</v>
      </c>
      <c r="I35" s="291">
        <f>G35-E35</f>
        <v>-7120.7759999999998</v>
      </c>
      <c r="J35" s="448">
        <f t="shared" ref="J35:J54" si="9">(H35*$B$117)+(I35*$B$116)</f>
        <v>-105624.844</v>
      </c>
      <c r="K35" s="28"/>
      <c r="L35" s="28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SI35" s="284"/>
      <c r="SJ35" s="284"/>
    </row>
    <row r="36" spans="1:504" x14ac:dyDescent="0.2">
      <c r="A36" s="289">
        <f t="shared" ref="A36:A53" si="10">A35+1</f>
        <v>2025</v>
      </c>
      <c r="B36" s="290">
        <f t="shared" ref="B36:B54" si="11">D67</f>
        <v>22281</v>
      </c>
      <c r="C36" s="291">
        <f t="shared" ref="C36:C54" si="12">C67</f>
        <v>689</v>
      </c>
      <c r="D36" s="290">
        <f t="shared" ref="D36:D54" si="13">J67</f>
        <v>329757.32</v>
      </c>
      <c r="E36" s="291">
        <f t="shared" ref="E36:E54" si="14">I67</f>
        <v>10198.68</v>
      </c>
      <c r="F36" s="290">
        <f t="shared" ref="F36:F54" si="15">P67</f>
        <v>98035.960000000021</v>
      </c>
      <c r="G36" s="291">
        <f t="shared" ref="G36:G54" si="16">O67</f>
        <v>3032.0400000000004</v>
      </c>
      <c r="H36" s="290">
        <f t="shared" ref="H36:I54" si="17">F36-D36</f>
        <v>-231721.36</v>
      </c>
      <c r="I36" s="291">
        <f t="shared" si="17"/>
        <v>-7166.6399999999994</v>
      </c>
      <c r="J36" s="448">
        <f t="shared" si="9"/>
        <v>-106305.15999999999</v>
      </c>
      <c r="K36" s="28"/>
      <c r="L36" s="28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SI36" s="284"/>
      <c r="SJ36" s="284"/>
    </row>
    <row r="37" spans="1:504" x14ac:dyDescent="0.2">
      <c r="A37" s="289">
        <f t="shared" si="10"/>
        <v>2026</v>
      </c>
      <c r="B37" s="290">
        <f t="shared" si="11"/>
        <v>22425</v>
      </c>
      <c r="C37" s="291">
        <f t="shared" si="12"/>
        <v>694</v>
      </c>
      <c r="D37" s="290">
        <f t="shared" si="13"/>
        <v>331896.364</v>
      </c>
      <c r="E37" s="291">
        <f t="shared" si="14"/>
        <v>10264.835999999999</v>
      </c>
      <c r="F37" s="290">
        <f t="shared" si="15"/>
        <v>98671.892000000007</v>
      </c>
      <c r="G37" s="291">
        <f t="shared" si="16"/>
        <v>3051.7080000000001</v>
      </c>
      <c r="H37" s="290">
        <f t="shared" si="17"/>
        <v>-233224.47200000001</v>
      </c>
      <c r="I37" s="291">
        <f t="shared" si="17"/>
        <v>-7213.1279999999988</v>
      </c>
      <c r="J37" s="448">
        <f t="shared" si="9"/>
        <v>-106994.732</v>
      </c>
      <c r="K37" s="28"/>
      <c r="L37" s="2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SI37" s="284"/>
      <c r="SJ37" s="284"/>
    </row>
    <row r="38" spans="1:504" x14ac:dyDescent="0.2">
      <c r="A38" s="289">
        <f t="shared" si="10"/>
        <v>2027</v>
      </c>
      <c r="B38" s="290">
        <f t="shared" si="11"/>
        <v>22570</v>
      </c>
      <c r="C38" s="291">
        <f t="shared" si="12"/>
        <v>698</v>
      </c>
      <c r="D38" s="290">
        <f t="shared" si="13"/>
        <v>334035.408</v>
      </c>
      <c r="E38" s="291">
        <f t="shared" si="14"/>
        <v>10330.992</v>
      </c>
      <c r="F38" s="290">
        <f t="shared" si="15"/>
        <v>99307.824000000008</v>
      </c>
      <c r="G38" s="291">
        <f t="shared" si="16"/>
        <v>3071.3760000000002</v>
      </c>
      <c r="H38" s="290">
        <f t="shared" si="17"/>
        <v>-234727.58399999997</v>
      </c>
      <c r="I38" s="291">
        <f t="shared" si="17"/>
        <v>-7259.616</v>
      </c>
      <c r="J38" s="448">
        <f t="shared" si="9"/>
        <v>-107684.30399999999</v>
      </c>
      <c r="K38" s="28"/>
      <c r="L38" s="28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SI38" s="284"/>
      <c r="SJ38" s="284"/>
    </row>
    <row r="39" spans="1:504" x14ac:dyDescent="0.2">
      <c r="A39" s="289">
        <f t="shared" si="10"/>
        <v>2028</v>
      </c>
      <c r="B39" s="290">
        <f t="shared" si="11"/>
        <v>22715</v>
      </c>
      <c r="C39" s="291">
        <f t="shared" si="12"/>
        <v>703</v>
      </c>
      <c r="D39" s="290">
        <f t="shared" si="13"/>
        <v>336188.80800000002</v>
      </c>
      <c r="E39" s="291">
        <f t="shared" si="14"/>
        <v>10397.592000000001</v>
      </c>
      <c r="F39" s="290">
        <f t="shared" si="15"/>
        <v>99948.024000000005</v>
      </c>
      <c r="G39" s="291">
        <f t="shared" si="16"/>
        <v>3091.1760000000004</v>
      </c>
      <c r="H39" s="290">
        <f t="shared" si="17"/>
        <v>-236240.78400000001</v>
      </c>
      <c r="I39" s="291">
        <f t="shared" si="17"/>
        <v>-7306.4160000000002</v>
      </c>
      <c r="J39" s="448">
        <f t="shared" si="9"/>
        <v>-108378.50400000002</v>
      </c>
      <c r="K39" s="28"/>
      <c r="L39" s="2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SI39" s="284"/>
      <c r="SJ39" s="284"/>
    </row>
    <row r="40" spans="1:504" x14ac:dyDescent="0.2">
      <c r="A40" s="289">
        <f t="shared" si="10"/>
        <v>2029</v>
      </c>
      <c r="B40" s="290">
        <f t="shared" si="11"/>
        <v>22862</v>
      </c>
      <c r="C40" s="291">
        <f t="shared" si="12"/>
        <v>707</v>
      </c>
      <c r="D40" s="290">
        <f t="shared" si="13"/>
        <v>338356.56400000001</v>
      </c>
      <c r="E40" s="291">
        <f t="shared" si="14"/>
        <v>10464.636</v>
      </c>
      <c r="F40" s="290">
        <f t="shared" si="15"/>
        <v>100592.492</v>
      </c>
      <c r="G40" s="291">
        <f t="shared" si="16"/>
        <v>3111.1080000000002</v>
      </c>
      <c r="H40" s="290">
        <f t="shared" si="17"/>
        <v>-237764.07200000001</v>
      </c>
      <c r="I40" s="291">
        <f t="shared" si="17"/>
        <v>-7353.5280000000002</v>
      </c>
      <c r="J40" s="448">
        <f t="shared" si="9"/>
        <v>-109077.33200000001</v>
      </c>
      <c r="K40" s="28"/>
      <c r="L40" s="2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SI40" s="284"/>
      <c r="SJ40" s="284"/>
    </row>
    <row r="41" spans="1:504" x14ac:dyDescent="0.2">
      <c r="A41" s="289">
        <f t="shared" si="10"/>
        <v>2030</v>
      </c>
      <c r="B41" s="290">
        <f t="shared" si="11"/>
        <v>23010</v>
      </c>
      <c r="C41" s="291">
        <f t="shared" si="12"/>
        <v>712</v>
      </c>
      <c r="D41" s="290">
        <f t="shared" si="13"/>
        <v>340553.03200000001</v>
      </c>
      <c r="E41" s="291">
        <f t="shared" si="14"/>
        <v>10532.568000000001</v>
      </c>
      <c r="F41" s="290">
        <f t="shared" si="15"/>
        <v>101245.496</v>
      </c>
      <c r="G41" s="291">
        <f t="shared" si="16"/>
        <v>3131.3040000000001</v>
      </c>
      <c r="H41" s="290">
        <f t="shared" si="17"/>
        <v>-239307.53600000002</v>
      </c>
      <c r="I41" s="291">
        <f t="shared" si="17"/>
        <v>-7401.264000000001</v>
      </c>
      <c r="J41" s="448">
        <f t="shared" si="9"/>
        <v>-109785.41600000001</v>
      </c>
      <c r="K41" s="28"/>
      <c r="L41" s="28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SI41" s="284"/>
      <c r="SJ41" s="284"/>
    </row>
    <row r="42" spans="1:504" x14ac:dyDescent="0.2">
      <c r="A42" s="289">
        <f t="shared" si="10"/>
        <v>2031</v>
      </c>
      <c r="B42" s="290">
        <f t="shared" si="11"/>
        <v>23159</v>
      </c>
      <c r="C42" s="291">
        <f t="shared" si="12"/>
        <v>716</v>
      </c>
      <c r="D42" s="290">
        <f t="shared" si="13"/>
        <v>342749.5</v>
      </c>
      <c r="E42" s="291">
        <f t="shared" si="14"/>
        <v>10600.5</v>
      </c>
      <c r="F42" s="290">
        <f t="shared" si="15"/>
        <v>101898.50000000001</v>
      </c>
      <c r="G42" s="291">
        <f t="shared" si="16"/>
        <v>3151.5000000000005</v>
      </c>
      <c r="H42" s="290">
        <f t="shared" si="17"/>
        <v>-240851</v>
      </c>
      <c r="I42" s="291">
        <f t="shared" si="17"/>
        <v>-7449</v>
      </c>
      <c r="J42" s="448">
        <f t="shared" si="9"/>
        <v>-110493.5</v>
      </c>
      <c r="K42" s="28"/>
      <c r="L42" s="28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SI42" s="284"/>
      <c r="SJ42" s="284"/>
    </row>
    <row r="43" spans="1:504" x14ac:dyDescent="0.2">
      <c r="A43" s="289">
        <f t="shared" si="10"/>
        <v>2032</v>
      </c>
      <c r="B43" s="290">
        <f t="shared" si="11"/>
        <v>23308</v>
      </c>
      <c r="C43" s="291">
        <f t="shared" si="12"/>
        <v>721</v>
      </c>
      <c r="D43" s="290">
        <f t="shared" si="13"/>
        <v>344960.32400000002</v>
      </c>
      <c r="E43" s="291">
        <f t="shared" si="14"/>
        <v>10668.876</v>
      </c>
      <c r="F43" s="290">
        <f t="shared" si="15"/>
        <v>102555.77200000001</v>
      </c>
      <c r="G43" s="291">
        <f t="shared" si="16"/>
        <v>3171.828</v>
      </c>
      <c r="H43" s="290">
        <f t="shared" si="17"/>
        <v>-242404.55200000003</v>
      </c>
      <c r="I43" s="291">
        <f t="shared" si="17"/>
        <v>-7497.0480000000007</v>
      </c>
      <c r="J43" s="448">
        <f t="shared" si="9"/>
        <v>-111206.21200000001</v>
      </c>
      <c r="K43" s="28"/>
      <c r="L43" s="28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SI43" s="284"/>
      <c r="SJ43" s="284"/>
    </row>
    <row r="44" spans="1:504" x14ac:dyDescent="0.2">
      <c r="A44" s="289">
        <f t="shared" si="10"/>
        <v>2033</v>
      </c>
      <c r="B44" s="290">
        <f t="shared" si="11"/>
        <v>23458</v>
      </c>
      <c r="C44" s="291">
        <f t="shared" si="12"/>
        <v>726</v>
      </c>
      <c r="D44" s="290">
        <f t="shared" si="13"/>
        <v>347185.50400000002</v>
      </c>
      <c r="E44" s="291">
        <f t="shared" si="14"/>
        <v>10737.696</v>
      </c>
      <c r="F44" s="290">
        <f t="shared" si="15"/>
        <v>103217.31200000001</v>
      </c>
      <c r="G44" s="291">
        <f t="shared" si="16"/>
        <v>3192.288</v>
      </c>
      <c r="H44" s="290">
        <f t="shared" si="17"/>
        <v>-243968.19200000001</v>
      </c>
      <c r="I44" s="291">
        <f t="shared" si="17"/>
        <v>-7545.4079999999994</v>
      </c>
      <c r="J44" s="448">
        <f t="shared" si="9"/>
        <v>-111923.552</v>
      </c>
      <c r="K44" s="28"/>
      <c r="L44" s="28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SI44" s="284"/>
      <c r="SJ44" s="284"/>
    </row>
    <row r="45" spans="1:504" x14ac:dyDescent="0.2">
      <c r="A45" s="289">
        <f t="shared" si="10"/>
        <v>2034</v>
      </c>
      <c r="B45" s="290">
        <f t="shared" si="11"/>
        <v>23610</v>
      </c>
      <c r="C45" s="291">
        <f t="shared" si="12"/>
        <v>730</v>
      </c>
      <c r="D45" s="290">
        <f t="shared" si="13"/>
        <v>349425.04</v>
      </c>
      <c r="E45" s="291">
        <f t="shared" si="14"/>
        <v>10806.96</v>
      </c>
      <c r="F45" s="290">
        <f t="shared" si="15"/>
        <v>103883.12000000001</v>
      </c>
      <c r="G45" s="291">
        <f t="shared" si="16"/>
        <v>3212.88</v>
      </c>
      <c r="H45" s="290">
        <f t="shared" si="17"/>
        <v>-245541.91999999998</v>
      </c>
      <c r="I45" s="291">
        <f t="shared" si="17"/>
        <v>-7594.079999999999</v>
      </c>
      <c r="J45" s="448">
        <f t="shared" si="9"/>
        <v>-112645.51999999999</v>
      </c>
      <c r="K45" s="28"/>
      <c r="L45" s="28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SI45" s="284"/>
      <c r="SJ45" s="284"/>
    </row>
    <row r="46" spans="1:504" x14ac:dyDescent="0.2">
      <c r="A46" s="289">
        <f t="shared" si="10"/>
        <v>2035</v>
      </c>
      <c r="B46" s="290">
        <f t="shared" si="11"/>
        <v>23763</v>
      </c>
      <c r="C46" s="291">
        <f t="shared" si="12"/>
        <v>735</v>
      </c>
      <c r="D46" s="290">
        <f t="shared" si="13"/>
        <v>351693.288</v>
      </c>
      <c r="E46" s="291">
        <f t="shared" si="14"/>
        <v>10877.112000000001</v>
      </c>
      <c r="F46" s="290">
        <f t="shared" si="15"/>
        <v>104557.46400000001</v>
      </c>
      <c r="G46" s="291">
        <f t="shared" si="16"/>
        <v>3233.7360000000003</v>
      </c>
      <c r="H46" s="290">
        <f t="shared" si="17"/>
        <v>-247135.82399999999</v>
      </c>
      <c r="I46" s="291">
        <f t="shared" si="17"/>
        <v>-7643.3760000000002</v>
      </c>
      <c r="J46" s="448">
        <f t="shared" si="9"/>
        <v>-113376.74400000001</v>
      </c>
      <c r="K46" s="28"/>
      <c r="L46" s="2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SI46" s="284"/>
      <c r="SJ46" s="284"/>
    </row>
    <row r="47" spans="1:504" x14ac:dyDescent="0.2">
      <c r="A47" s="289">
        <f t="shared" si="10"/>
        <v>2036</v>
      </c>
      <c r="B47" s="290">
        <f t="shared" si="11"/>
        <v>23916</v>
      </c>
      <c r="C47" s="291">
        <f t="shared" si="12"/>
        <v>740</v>
      </c>
      <c r="D47" s="290">
        <f t="shared" si="13"/>
        <v>353961.53600000002</v>
      </c>
      <c r="E47" s="291">
        <f t="shared" si="14"/>
        <v>10947.264000000001</v>
      </c>
      <c r="F47" s="290">
        <f t="shared" si="15"/>
        <v>105231.808</v>
      </c>
      <c r="G47" s="291">
        <f t="shared" si="16"/>
        <v>3254.5920000000001</v>
      </c>
      <c r="H47" s="290">
        <f t="shared" si="17"/>
        <v>-248729.728</v>
      </c>
      <c r="I47" s="291">
        <f t="shared" si="17"/>
        <v>-7692.6720000000005</v>
      </c>
      <c r="J47" s="448">
        <f t="shared" si="9"/>
        <v>-114107.96799999999</v>
      </c>
      <c r="K47" s="28"/>
      <c r="L47" s="2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SI47" s="284"/>
      <c r="SJ47" s="284"/>
    </row>
    <row r="48" spans="1:504" x14ac:dyDescent="0.2">
      <c r="A48" s="289">
        <f t="shared" si="10"/>
        <v>2037</v>
      </c>
      <c r="B48" s="290">
        <f t="shared" si="11"/>
        <v>24071</v>
      </c>
      <c r="C48" s="291">
        <f t="shared" si="12"/>
        <v>744</v>
      </c>
      <c r="D48" s="290">
        <f t="shared" si="13"/>
        <v>356244.14</v>
      </c>
      <c r="E48" s="291">
        <f t="shared" si="14"/>
        <v>11017.859999999999</v>
      </c>
      <c r="F48" s="290">
        <f t="shared" si="15"/>
        <v>105910.42000000001</v>
      </c>
      <c r="G48" s="291">
        <f t="shared" si="16"/>
        <v>3275.5800000000004</v>
      </c>
      <c r="H48" s="290">
        <f t="shared" si="17"/>
        <v>-250333.72</v>
      </c>
      <c r="I48" s="291">
        <f t="shared" si="17"/>
        <v>-7742.2799999999988</v>
      </c>
      <c r="J48" s="448">
        <f t="shared" si="9"/>
        <v>-114843.81999999999</v>
      </c>
      <c r="K48" s="28"/>
      <c r="L48" s="28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SI48" s="284"/>
      <c r="SJ48" s="284"/>
    </row>
    <row r="49" spans="1:504" x14ac:dyDescent="0.2">
      <c r="A49" s="289">
        <f t="shared" si="10"/>
        <v>2038</v>
      </c>
      <c r="B49" s="290">
        <f t="shared" si="11"/>
        <v>24226</v>
      </c>
      <c r="C49" s="291">
        <f t="shared" si="12"/>
        <v>749</v>
      </c>
      <c r="D49" s="290">
        <f t="shared" si="13"/>
        <v>358541.1</v>
      </c>
      <c r="E49" s="291">
        <f t="shared" si="14"/>
        <v>11088.9</v>
      </c>
      <c r="F49" s="290">
        <f t="shared" si="15"/>
        <v>106593.30000000002</v>
      </c>
      <c r="G49" s="291">
        <f t="shared" si="16"/>
        <v>3296.7000000000003</v>
      </c>
      <c r="H49" s="290">
        <f t="shared" si="17"/>
        <v>-251947.79999999996</v>
      </c>
      <c r="I49" s="291">
        <f t="shared" si="17"/>
        <v>-7792.1999999999989</v>
      </c>
      <c r="J49" s="448">
        <f t="shared" si="9"/>
        <v>-115584.29999999997</v>
      </c>
      <c r="K49" s="28"/>
      <c r="L49" s="28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SI49" s="284"/>
      <c r="SJ49" s="284"/>
    </row>
    <row r="50" spans="1:504" x14ac:dyDescent="0.2">
      <c r="A50" s="289">
        <f t="shared" si="10"/>
        <v>2039</v>
      </c>
      <c r="B50" s="290">
        <f t="shared" si="11"/>
        <v>24383</v>
      </c>
      <c r="C50" s="291">
        <f t="shared" si="12"/>
        <v>754</v>
      </c>
      <c r="D50" s="290">
        <f t="shared" si="13"/>
        <v>360866.77200000006</v>
      </c>
      <c r="E50" s="291">
        <f t="shared" si="14"/>
        <v>11160.828000000001</v>
      </c>
      <c r="F50" s="290">
        <f t="shared" si="15"/>
        <v>107284.716</v>
      </c>
      <c r="G50" s="291">
        <f t="shared" si="16"/>
        <v>3318.0839999999998</v>
      </c>
      <c r="H50" s="290">
        <f t="shared" si="17"/>
        <v>-253582.05600000004</v>
      </c>
      <c r="I50" s="291">
        <f t="shared" si="17"/>
        <v>-7842.7440000000015</v>
      </c>
      <c r="J50" s="448">
        <f t="shared" si="9"/>
        <v>-116334.03600000001</v>
      </c>
      <c r="K50" s="28"/>
      <c r="L50" s="2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SI50" s="284"/>
      <c r="SJ50" s="284"/>
    </row>
    <row r="51" spans="1:504" x14ac:dyDescent="0.2">
      <c r="A51" s="289">
        <f t="shared" si="10"/>
        <v>2040</v>
      </c>
      <c r="B51" s="290">
        <f t="shared" si="11"/>
        <v>24540</v>
      </c>
      <c r="C51" s="291">
        <f t="shared" si="12"/>
        <v>759</v>
      </c>
      <c r="D51" s="290">
        <f t="shared" si="13"/>
        <v>363192.44400000002</v>
      </c>
      <c r="E51" s="291">
        <f t="shared" si="14"/>
        <v>11232.755999999999</v>
      </c>
      <c r="F51" s="290">
        <f t="shared" si="15"/>
        <v>107976.13200000001</v>
      </c>
      <c r="G51" s="291">
        <f t="shared" si="16"/>
        <v>3339.4679999999998</v>
      </c>
      <c r="H51" s="290">
        <f t="shared" si="17"/>
        <v>-255216.31200000001</v>
      </c>
      <c r="I51" s="291">
        <f t="shared" si="17"/>
        <v>-7893.2879999999996</v>
      </c>
      <c r="J51" s="448">
        <f t="shared" si="9"/>
        <v>-117083.77200000001</v>
      </c>
      <c r="K51" s="28"/>
      <c r="L51" s="28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SI51" s="284"/>
      <c r="SJ51" s="284"/>
    </row>
    <row r="52" spans="1:504" x14ac:dyDescent="0.2">
      <c r="A52" s="289">
        <f t="shared" si="10"/>
        <v>2041</v>
      </c>
      <c r="B52" s="290">
        <f t="shared" si="11"/>
        <v>24698</v>
      </c>
      <c r="C52" s="291">
        <f t="shared" si="12"/>
        <v>764</v>
      </c>
      <c r="D52" s="290">
        <f t="shared" si="13"/>
        <v>365532.47200000001</v>
      </c>
      <c r="E52" s="291">
        <f t="shared" si="14"/>
        <v>11305.128000000001</v>
      </c>
      <c r="F52" s="290">
        <f t="shared" si="15"/>
        <v>108671.81600000001</v>
      </c>
      <c r="G52" s="291">
        <f t="shared" si="16"/>
        <v>3360.9839999999999</v>
      </c>
      <c r="H52" s="290">
        <f t="shared" si="17"/>
        <v>-256860.65600000002</v>
      </c>
      <c r="I52" s="291">
        <f t="shared" si="17"/>
        <v>-7944.1440000000002</v>
      </c>
      <c r="J52" s="448">
        <f t="shared" si="9"/>
        <v>-117838.13600000001</v>
      </c>
      <c r="K52" s="28"/>
      <c r="L52" s="28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SI52" s="284"/>
      <c r="SJ52" s="284"/>
    </row>
    <row r="53" spans="1:504" x14ac:dyDescent="0.2">
      <c r="A53" s="289">
        <f t="shared" si="10"/>
        <v>2042</v>
      </c>
      <c r="B53" s="295">
        <f t="shared" si="11"/>
        <v>24858</v>
      </c>
      <c r="C53" s="296">
        <f t="shared" si="12"/>
        <v>769</v>
      </c>
      <c r="D53" s="290">
        <f t="shared" si="13"/>
        <v>367901.21200000006</v>
      </c>
      <c r="E53" s="291">
        <f t="shared" si="14"/>
        <v>11378.388000000001</v>
      </c>
      <c r="F53" s="290">
        <f t="shared" si="15"/>
        <v>109376.03600000001</v>
      </c>
      <c r="G53" s="291">
        <f t="shared" si="16"/>
        <v>3382.7640000000001</v>
      </c>
      <c r="H53" s="290">
        <f t="shared" si="17"/>
        <v>-258525.17600000004</v>
      </c>
      <c r="I53" s="291">
        <f t="shared" si="17"/>
        <v>-7995.6240000000007</v>
      </c>
      <c r="J53" s="448">
        <f t="shared" si="9"/>
        <v>-118601.75600000001</v>
      </c>
      <c r="K53" s="28"/>
      <c r="L53" s="28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SI53" s="284"/>
      <c r="SJ53" s="284"/>
    </row>
    <row r="54" spans="1:504" ht="13.5" thickBot="1" x14ac:dyDescent="0.25">
      <c r="A54" s="434">
        <f>A53+1</f>
        <v>2043</v>
      </c>
      <c r="B54" s="437">
        <f t="shared" si="11"/>
        <v>25018</v>
      </c>
      <c r="C54" s="438">
        <f t="shared" si="12"/>
        <v>774</v>
      </c>
      <c r="D54" s="437">
        <f t="shared" si="13"/>
        <v>370269.95200000005</v>
      </c>
      <c r="E54" s="438">
        <f t="shared" si="14"/>
        <v>11451.648000000001</v>
      </c>
      <c r="F54" s="437">
        <f t="shared" si="15"/>
        <v>110080.25600000001</v>
      </c>
      <c r="G54" s="438">
        <f t="shared" si="16"/>
        <v>3404.5439999999999</v>
      </c>
      <c r="H54" s="437">
        <f t="shared" si="17"/>
        <v>-260189.69600000005</v>
      </c>
      <c r="I54" s="438">
        <f t="shared" si="17"/>
        <v>-8047.1040000000012</v>
      </c>
      <c r="J54" s="449">
        <f t="shared" si="9"/>
        <v>-119365.37600000003</v>
      </c>
      <c r="K54" s="28"/>
      <c r="L54" s="28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SI54" s="284"/>
      <c r="SJ54" s="284"/>
    </row>
    <row r="55" spans="1:504" ht="13.5" thickTop="1" x14ac:dyDescent="0.2">
      <c r="A55" s="587" t="s">
        <v>0</v>
      </c>
      <c r="B55" s="588"/>
      <c r="C55" s="588"/>
      <c r="D55" s="588"/>
      <c r="E55" s="588"/>
      <c r="F55" s="588"/>
      <c r="G55" s="588"/>
      <c r="H55" s="588"/>
      <c r="I55" s="589"/>
      <c r="J55" s="450">
        <f>SUM(J35:J54)</f>
        <v>-2247254.9840000006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SI55" s="284"/>
      <c r="SJ55" s="284"/>
    </row>
    <row r="56" spans="1:504" x14ac:dyDescent="0.2">
      <c r="A56" s="25"/>
      <c r="B56" s="25"/>
      <c r="C56" s="25"/>
      <c r="D56" s="25"/>
      <c r="E56" s="25"/>
      <c r="F56" s="25"/>
      <c r="G56" s="25"/>
      <c r="H56" s="25"/>
      <c r="I56" s="172"/>
      <c r="J56" s="297"/>
      <c r="K56" s="297"/>
      <c r="L56" s="298"/>
      <c r="M56" s="298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504" x14ac:dyDescent="0.2">
      <c r="A57" s="25"/>
      <c r="B57" s="25"/>
      <c r="C57" s="25"/>
      <c r="D57" s="25"/>
      <c r="E57" s="25"/>
      <c r="F57" s="25"/>
      <c r="G57" s="25"/>
      <c r="H57" s="25"/>
      <c r="I57" s="172"/>
      <c r="J57" s="297"/>
      <c r="K57" s="297"/>
      <c r="L57" s="298"/>
      <c r="M57" s="29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504" x14ac:dyDescent="0.2">
      <c r="A58" s="593" t="s">
        <v>1</v>
      </c>
      <c r="B58" s="596" t="s">
        <v>379</v>
      </c>
      <c r="C58" s="597"/>
      <c r="D58" s="598"/>
      <c r="E58" s="590" t="s">
        <v>415</v>
      </c>
      <c r="F58" s="591"/>
      <c r="G58" s="591"/>
      <c r="H58" s="591"/>
      <c r="I58" s="591"/>
      <c r="J58" s="592"/>
      <c r="K58" s="590" t="s">
        <v>380</v>
      </c>
      <c r="L58" s="591"/>
      <c r="M58" s="591"/>
      <c r="N58" s="591"/>
      <c r="O58" s="591"/>
      <c r="P58" s="592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504" x14ac:dyDescent="0.2">
      <c r="A59" s="594"/>
      <c r="B59" s="599"/>
      <c r="C59" s="600"/>
      <c r="D59" s="601"/>
      <c r="E59" s="590" t="s">
        <v>381</v>
      </c>
      <c r="F59" s="591"/>
      <c r="G59" s="592"/>
      <c r="H59" s="590" t="s">
        <v>382</v>
      </c>
      <c r="I59" s="591"/>
      <c r="J59" s="592"/>
      <c r="K59" s="590" t="s">
        <v>381</v>
      </c>
      <c r="L59" s="591"/>
      <c r="M59" s="592"/>
      <c r="N59" s="590" t="s">
        <v>382</v>
      </c>
      <c r="O59" s="591"/>
      <c r="P59" s="592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RZ59" s="284"/>
      <c r="SA59" s="284"/>
      <c r="SB59" s="284"/>
      <c r="SC59" s="284"/>
      <c r="SD59" s="284"/>
      <c r="SE59" s="284"/>
      <c r="SF59" s="284"/>
      <c r="SG59" s="284"/>
      <c r="SH59" s="284"/>
      <c r="SI59" s="284"/>
      <c r="SJ59" s="284"/>
    </row>
    <row r="60" spans="1:504" ht="25.5" x14ac:dyDescent="0.2">
      <c r="A60" s="595"/>
      <c r="B60" s="299" t="s">
        <v>379</v>
      </c>
      <c r="C60" s="299" t="s">
        <v>42</v>
      </c>
      <c r="D60" s="294" t="s">
        <v>374</v>
      </c>
      <c r="E60" s="299" t="s">
        <v>381</v>
      </c>
      <c r="F60" s="299" t="s">
        <v>383</v>
      </c>
      <c r="G60" s="294" t="s">
        <v>384</v>
      </c>
      <c r="H60" s="299" t="s">
        <v>382</v>
      </c>
      <c r="I60" s="299" t="s">
        <v>385</v>
      </c>
      <c r="J60" s="294" t="s">
        <v>386</v>
      </c>
      <c r="K60" s="299" t="s">
        <v>381</v>
      </c>
      <c r="L60" s="299" t="s">
        <v>383</v>
      </c>
      <c r="M60" s="294" t="s">
        <v>384</v>
      </c>
      <c r="N60" s="299" t="s">
        <v>382</v>
      </c>
      <c r="O60" s="299" t="s">
        <v>385</v>
      </c>
      <c r="P60" s="294" t="s">
        <v>386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RZ60" s="284"/>
      <c r="SA60" s="284"/>
      <c r="SB60" s="284"/>
      <c r="SC60" s="284"/>
      <c r="SD60" s="284"/>
      <c r="SE60" s="284"/>
      <c r="SF60" s="284"/>
      <c r="SG60" s="284"/>
      <c r="SH60" s="284"/>
      <c r="SI60" s="284"/>
      <c r="SJ60" s="284"/>
    </row>
    <row r="61" spans="1:504" x14ac:dyDescent="0.2">
      <c r="A61" s="300">
        <v>2019</v>
      </c>
      <c r="B61" s="290">
        <f>B95</f>
        <v>22100</v>
      </c>
      <c r="C61" s="291">
        <f t="shared" ref="C61:C85" si="18">ROUND(B61*$B$90,0)</f>
        <v>663</v>
      </c>
      <c r="D61" s="290">
        <f>B61-C61</f>
        <v>21437</v>
      </c>
      <c r="E61" s="291"/>
      <c r="F61" s="301"/>
      <c r="G61" s="291"/>
      <c r="H61" s="290"/>
      <c r="I61" s="291"/>
      <c r="J61" s="290"/>
      <c r="K61" s="291"/>
      <c r="L61" s="301"/>
      <c r="M61" s="291"/>
      <c r="N61" s="290"/>
      <c r="O61" s="291"/>
      <c r="P61" s="290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RZ61" s="284"/>
      <c r="SA61" s="284"/>
      <c r="SB61" s="284"/>
      <c r="SC61" s="284"/>
      <c r="SD61" s="284"/>
      <c r="SE61" s="284"/>
      <c r="SF61" s="284"/>
      <c r="SG61" s="284"/>
      <c r="SH61" s="284"/>
      <c r="SI61" s="284"/>
      <c r="SJ61" s="284"/>
    </row>
    <row r="62" spans="1:504" x14ac:dyDescent="0.2">
      <c r="A62" s="289">
        <f>A61+1</f>
        <v>2020</v>
      </c>
      <c r="B62" s="295">
        <f t="shared" ref="B62:B85" si="19">ROUND($B$61*(1+$B$89)^(A62-$A$61),0)</f>
        <v>22243</v>
      </c>
      <c r="C62" s="296">
        <f t="shared" si="18"/>
        <v>667</v>
      </c>
      <c r="D62" s="295">
        <f t="shared" ref="D62:D85" si="20">B62-C62</f>
        <v>21576</v>
      </c>
      <c r="E62" s="296"/>
      <c r="F62" s="302"/>
      <c r="G62" s="296"/>
      <c r="H62" s="295"/>
      <c r="I62" s="296"/>
      <c r="J62" s="295"/>
      <c r="K62" s="296"/>
      <c r="L62" s="302"/>
      <c r="M62" s="296"/>
      <c r="N62" s="295"/>
      <c r="O62" s="296"/>
      <c r="P62" s="29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RZ62" s="284"/>
      <c r="SA62" s="284"/>
      <c r="SB62" s="284"/>
      <c r="SC62" s="284"/>
      <c r="SD62" s="284"/>
      <c r="SE62" s="284"/>
      <c r="SF62" s="284"/>
      <c r="SG62" s="284"/>
      <c r="SH62" s="284"/>
      <c r="SI62" s="284"/>
      <c r="SJ62" s="284"/>
    </row>
    <row r="63" spans="1:504" x14ac:dyDescent="0.2">
      <c r="A63" s="289">
        <f t="shared" ref="A63:A85" si="21">A62+1</f>
        <v>2021</v>
      </c>
      <c r="B63" s="295">
        <f t="shared" si="19"/>
        <v>22386</v>
      </c>
      <c r="C63" s="296">
        <f t="shared" si="18"/>
        <v>672</v>
      </c>
      <c r="D63" s="295">
        <f t="shared" si="20"/>
        <v>21714</v>
      </c>
      <c r="E63" s="296"/>
      <c r="F63" s="302"/>
      <c r="G63" s="296"/>
      <c r="H63" s="295"/>
      <c r="I63" s="296"/>
      <c r="J63" s="295"/>
      <c r="K63" s="296"/>
      <c r="L63" s="302"/>
      <c r="M63" s="296"/>
      <c r="N63" s="295"/>
      <c r="O63" s="296"/>
      <c r="P63" s="29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RZ63" s="284"/>
      <c r="SA63" s="284"/>
      <c r="SB63" s="284"/>
      <c r="SC63" s="284"/>
      <c r="SD63" s="284"/>
      <c r="SE63" s="284"/>
      <c r="SF63" s="284"/>
      <c r="SG63" s="284"/>
      <c r="SH63" s="284"/>
      <c r="SI63" s="284"/>
      <c r="SJ63" s="284"/>
    </row>
    <row r="64" spans="1:504" x14ac:dyDescent="0.2">
      <c r="A64" s="289">
        <f t="shared" si="21"/>
        <v>2022</v>
      </c>
      <c r="B64" s="295">
        <f t="shared" si="19"/>
        <v>22531</v>
      </c>
      <c r="C64" s="296">
        <f t="shared" si="18"/>
        <v>676</v>
      </c>
      <c r="D64" s="295">
        <f t="shared" si="20"/>
        <v>21855</v>
      </c>
      <c r="E64" s="296"/>
      <c r="F64" s="302"/>
      <c r="G64" s="296"/>
      <c r="H64" s="295"/>
      <c r="I64" s="296"/>
      <c r="J64" s="295"/>
      <c r="K64" s="296"/>
      <c r="L64" s="302"/>
      <c r="M64" s="296"/>
      <c r="N64" s="295"/>
      <c r="O64" s="296"/>
      <c r="P64" s="29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RZ64" s="284"/>
      <c r="SA64" s="284"/>
      <c r="SB64" s="284"/>
      <c r="SC64" s="284"/>
      <c r="SD64" s="284"/>
      <c r="SE64" s="284"/>
      <c r="SF64" s="284"/>
      <c r="SG64" s="284"/>
      <c r="SH64" s="284"/>
      <c r="SI64" s="284"/>
      <c r="SJ64" s="284"/>
    </row>
    <row r="65" spans="1:504" x14ac:dyDescent="0.2">
      <c r="A65" s="289">
        <f t="shared" si="21"/>
        <v>2023</v>
      </c>
      <c r="B65" s="295">
        <f t="shared" si="19"/>
        <v>22676</v>
      </c>
      <c r="C65" s="296">
        <f t="shared" si="18"/>
        <v>680</v>
      </c>
      <c r="D65" s="295">
        <f t="shared" si="20"/>
        <v>21996</v>
      </c>
      <c r="E65" s="296"/>
      <c r="F65" s="302"/>
      <c r="G65" s="296"/>
      <c r="H65" s="295"/>
      <c r="I65" s="296"/>
      <c r="J65" s="295"/>
      <c r="K65" s="296"/>
      <c r="L65" s="302"/>
      <c r="M65" s="296"/>
      <c r="N65" s="295"/>
      <c r="O65" s="296"/>
      <c r="P65" s="29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RZ65" s="284"/>
      <c r="SA65" s="284"/>
      <c r="SB65" s="284"/>
      <c r="SC65" s="284"/>
      <c r="SD65" s="284"/>
      <c r="SE65" s="284"/>
      <c r="SF65" s="284"/>
      <c r="SG65" s="284"/>
      <c r="SH65" s="284"/>
      <c r="SI65" s="284"/>
      <c r="SJ65" s="284"/>
    </row>
    <row r="66" spans="1:504" x14ac:dyDescent="0.2">
      <c r="A66" s="289">
        <f t="shared" si="21"/>
        <v>2024</v>
      </c>
      <c r="B66" s="295">
        <f t="shared" si="19"/>
        <v>22823</v>
      </c>
      <c r="C66" s="296">
        <f t="shared" si="18"/>
        <v>685</v>
      </c>
      <c r="D66" s="295">
        <f t="shared" si="20"/>
        <v>22138</v>
      </c>
      <c r="E66" s="296">
        <f>B66*$B$101</f>
        <v>8748.8166666666675</v>
      </c>
      <c r="F66" s="302">
        <f>ROUND(E66*$B$90,0)</f>
        <v>262</v>
      </c>
      <c r="G66" s="296">
        <f>E66-F66</f>
        <v>8486.8166666666675</v>
      </c>
      <c r="H66" s="295">
        <f>B66*$B$99</f>
        <v>337780.4</v>
      </c>
      <c r="I66" s="296">
        <f>H66*$B$90</f>
        <v>10133.412</v>
      </c>
      <c r="J66" s="295">
        <f>H66-I66</f>
        <v>327646.98800000001</v>
      </c>
      <c r="K66" s="296">
        <f>B66*$B$107</f>
        <v>1901.9166666666665</v>
      </c>
      <c r="L66" s="302">
        <f>ROUND(K66*$B$90,0)</f>
        <v>57</v>
      </c>
      <c r="M66" s="296">
        <f>K66-L66</f>
        <v>1844.9166666666665</v>
      </c>
      <c r="N66" s="295">
        <f>B66*$B$105</f>
        <v>100421.20000000001</v>
      </c>
      <c r="O66" s="296">
        <f>N66*$B$90</f>
        <v>3012.6360000000004</v>
      </c>
      <c r="P66" s="295">
        <f>N66-O66</f>
        <v>97408.564000000013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RZ66" s="284"/>
      <c r="SA66" s="284"/>
      <c r="SB66" s="284"/>
      <c r="SC66" s="284"/>
      <c r="SD66" s="284"/>
      <c r="SE66" s="284"/>
      <c r="SF66" s="284"/>
      <c r="SG66" s="284"/>
      <c r="SH66" s="284"/>
      <c r="SI66" s="284"/>
      <c r="SJ66" s="284"/>
    </row>
    <row r="67" spans="1:504" x14ac:dyDescent="0.2">
      <c r="A67" s="289">
        <f t="shared" si="21"/>
        <v>2025</v>
      </c>
      <c r="B67" s="295">
        <f t="shared" si="19"/>
        <v>22970</v>
      </c>
      <c r="C67" s="296">
        <f t="shared" si="18"/>
        <v>689</v>
      </c>
      <c r="D67" s="295">
        <f t="shared" si="20"/>
        <v>22281</v>
      </c>
      <c r="E67" s="296">
        <f>B67*$B$101</f>
        <v>8805.1666666666679</v>
      </c>
      <c r="F67" s="302">
        <f t="shared" ref="F67:F85" si="22">ROUND(E67*$B$90,0)</f>
        <v>264</v>
      </c>
      <c r="G67" s="296">
        <f t="shared" ref="G67:G85" si="23">E67-F67</f>
        <v>8541.1666666666679</v>
      </c>
      <c r="H67" s="295">
        <f t="shared" ref="H67:H85" si="24">B67*$B$99</f>
        <v>339956</v>
      </c>
      <c r="I67" s="296">
        <f t="shared" ref="I67:I85" si="25">H67*$B$90</f>
        <v>10198.68</v>
      </c>
      <c r="J67" s="295">
        <f t="shared" ref="J67:J85" si="26">H67-I67</f>
        <v>329757.32</v>
      </c>
      <c r="K67" s="296">
        <f t="shared" ref="K67:K85" si="27">B67*$B$107</f>
        <v>1914.1666666666665</v>
      </c>
      <c r="L67" s="302">
        <f t="shared" ref="L67:L85" si="28">ROUND(K67*$B$90,0)</f>
        <v>57</v>
      </c>
      <c r="M67" s="296">
        <f t="shared" ref="M67:M85" si="29">K67-L67</f>
        <v>1857.1666666666665</v>
      </c>
      <c r="N67" s="295">
        <f t="shared" ref="N67:N85" si="30">B67*$B$105</f>
        <v>101068.00000000001</v>
      </c>
      <c r="O67" s="296">
        <f t="shared" ref="O67:O85" si="31">N67*$B$90</f>
        <v>3032.0400000000004</v>
      </c>
      <c r="P67" s="295">
        <f t="shared" ref="P67:P85" si="32">N67-O67</f>
        <v>98035.960000000021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RZ67" s="284"/>
      <c r="SA67" s="284"/>
      <c r="SB67" s="284"/>
      <c r="SC67" s="284"/>
      <c r="SD67" s="284"/>
      <c r="SE67" s="284"/>
      <c r="SF67" s="284"/>
      <c r="SG67" s="284"/>
      <c r="SH67" s="284"/>
      <c r="SI67" s="284"/>
      <c r="SJ67" s="284"/>
    </row>
    <row r="68" spans="1:504" x14ac:dyDescent="0.2">
      <c r="A68" s="289">
        <f t="shared" si="21"/>
        <v>2026</v>
      </c>
      <c r="B68" s="295">
        <f t="shared" si="19"/>
        <v>23119</v>
      </c>
      <c r="C68" s="296">
        <f t="shared" si="18"/>
        <v>694</v>
      </c>
      <c r="D68" s="295">
        <f t="shared" si="20"/>
        <v>22425</v>
      </c>
      <c r="E68" s="296">
        <f>B68*$B$101</f>
        <v>8862.2833333333347</v>
      </c>
      <c r="F68" s="302">
        <f t="shared" si="22"/>
        <v>266</v>
      </c>
      <c r="G68" s="296">
        <f t="shared" si="23"/>
        <v>8596.2833333333347</v>
      </c>
      <c r="H68" s="295">
        <f t="shared" si="24"/>
        <v>342161.2</v>
      </c>
      <c r="I68" s="296">
        <f t="shared" si="25"/>
        <v>10264.835999999999</v>
      </c>
      <c r="J68" s="295">
        <f t="shared" si="26"/>
        <v>331896.364</v>
      </c>
      <c r="K68" s="296">
        <f t="shared" si="27"/>
        <v>1926.5833333333333</v>
      </c>
      <c r="L68" s="302">
        <f t="shared" si="28"/>
        <v>58</v>
      </c>
      <c r="M68" s="296">
        <f t="shared" si="29"/>
        <v>1868.5833333333333</v>
      </c>
      <c r="N68" s="295">
        <f t="shared" si="30"/>
        <v>101723.6</v>
      </c>
      <c r="O68" s="296">
        <f t="shared" si="31"/>
        <v>3051.7080000000001</v>
      </c>
      <c r="P68" s="295">
        <f t="shared" si="32"/>
        <v>98671.892000000007</v>
      </c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RZ68" s="284"/>
      <c r="SA68" s="284"/>
      <c r="SB68" s="284"/>
      <c r="SC68" s="284"/>
      <c r="SD68" s="284"/>
      <c r="SE68" s="284"/>
      <c r="SF68" s="284"/>
      <c r="SG68" s="284"/>
      <c r="SH68" s="284"/>
      <c r="SI68" s="284"/>
      <c r="SJ68" s="284"/>
    </row>
    <row r="69" spans="1:504" x14ac:dyDescent="0.2">
      <c r="A69" s="289">
        <f t="shared" si="21"/>
        <v>2027</v>
      </c>
      <c r="B69" s="295">
        <f t="shared" si="19"/>
        <v>23268</v>
      </c>
      <c r="C69" s="296">
        <f t="shared" si="18"/>
        <v>698</v>
      </c>
      <c r="D69" s="295">
        <f t="shared" si="20"/>
        <v>22570</v>
      </c>
      <c r="E69" s="296">
        <f>B69*$B$101</f>
        <v>8919.4000000000015</v>
      </c>
      <c r="F69" s="302">
        <f t="shared" si="22"/>
        <v>268</v>
      </c>
      <c r="G69" s="296">
        <f t="shared" si="23"/>
        <v>8651.4000000000015</v>
      </c>
      <c r="H69" s="295">
        <f t="shared" si="24"/>
        <v>344366.4</v>
      </c>
      <c r="I69" s="296">
        <f t="shared" si="25"/>
        <v>10330.992</v>
      </c>
      <c r="J69" s="295">
        <f t="shared" si="26"/>
        <v>334035.408</v>
      </c>
      <c r="K69" s="296">
        <f t="shared" si="27"/>
        <v>1939</v>
      </c>
      <c r="L69" s="302">
        <f t="shared" si="28"/>
        <v>58</v>
      </c>
      <c r="M69" s="296">
        <f t="shared" si="29"/>
        <v>1881</v>
      </c>
      <c r="N69" s="295">
        <f t="shared" si="30"/>
        <v>102379.20000000001</v>
      </c>
      <c r="O69" s="296">
        <f t="shared" si="31"/>
        <v>3071.3760000000002</v>
      </c>
      <c r="P69" s="295">
        <f t="shared" si="32"/>
        <v>99307.824000000008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RZ69" s="284"/>
      <c r="SA69" s="284"/>
      <c r="SB69" s="284"/>
      <c r="SC69" s="284"/>
      <c r="SD69" s="284"/>
      <c r="SE69" s="284"/>
      <c r="SF69" s="284"/>
      <c r="SG69" s="284"/>
      <c r="SH69" s="284"/>
      <c r="SI69" s="284"/>
      <c r="SJ69" s="284"/>
    </row>
    <row r="70" spans="1:504" x14ac:dyDescent="0.2">
      <c r="A70" s="289">
        <f t="shared" si="21"/>
        <v>2028</v>
      </c>
      <c r="B70" s="295">
        <f t="shared" si="19"/>
        <v>23418</v>
      </c>
      <c r="C70" s="296">
        <f t="shared" si="18"/>
        <v>703</v>
      </c>
      <c r="D70" s="295">
        <f t="shared" si="20"/>
        <v>22715</v>
      </c>
      <c r="E70" s="296">
        <f t="shared" ref="E70:E85" si="33">B70*$B$101</f>
        <v>8976.9000000000015</v>
      </c>
      <c r="F70" s="302">
        <f t="shared" si="22"/>
        <v>269</v>
      </c>
      <c r="G70" s="296">
        <f t="shared" si="23"/>
        <v>8707.9000000000015</v>
      </c>
      <c r="H70" s="295">
        <f t="shared" si="24"/>
        <v>346586.4</v>
      </c>
      <c r="I70" s="296">
        <f t="shared" si="25"/>
        <v>10397.592000000001</v>
      </c>
      <c r="J70" s="295">
        <f t="shared" si="26"/>
        <v>336188.80800000002</v>
      </c>
      <c r="K70" s="296">
        <f t="shared" si="27"/>
        <v>1951.5</v>
      </c>
      <c r="L70" s="302">
        <f t="shared" si="28"/>
        <v>59</v>
      </c>
      <c r="M70" s="296">
        <f t="shared" si="29"/>
        <v>1892.5</v>
      </c>
      <c r="N70" s="295">
        <f t="shared" si="30"/>
        <v>103039.20000000001</v>
      </c>
      <c r="O70" s="296">
        <f t="shared" si="31"/>
        <v>3091.1760000000004</v>
      </c>
      <c r="P70" s="295">
        <f t="shared" si="32"/>
        <v>99948.024000000005</v>
      </c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RZ70" s="284"/>
      <c r="SA70" s="284"/>
      <c r="SB70" s="284"/>
      <c r="SC70" s="284"/>
      <c r="SD70" s="284"/>
      <c r="SE70" s="284"/>
      <c r="SF70" s="284"/>
      <c r="SG70" s="284"/>
      <c r="SH70" s="284"/>
      <c r="SI70" s="284"/>
      <c r="SJ70" s="284"/>
    </row>
    <row r="71" spans="1:504" x14ac:dyDescent="0.2">
      <c r="A71" s="289">
        <f t="shared" si="21"/>
        <v>2029</v>
      </c>
      <c r="B71" s="295">
        <f t="shared" si="19"/>
        <v>23569</v>
      </c>
      <c r="C71" s="296">
        <f t="shared" si="18"/>
        <v>707</v>
      </c>
      <c r="D71" s="295">
        <f t="shared" si="20"/>
        <v>22862</v>
      </c>
      <c r="E71" s="296">
        <f t="shared" si="33"/>
        <v>9034.7833333333347</v>
      </c>
      <c r="F71" s="302">
        <f t="shared" si="22"/>
        <v>271</v>
      </c>
      <c r="G71" s="296">
        <f t="shared" si="23"/>
        <v>8763.7833333333347</v>
      </c>
      <c r="H71" s="295">
        <f t="shared" si="24"/>
        <v>348821.2</v>
      </c>
      <c r="I71" s="296">
        <f t="shared" si="25"/>
        <v>10464.636</v>
      </c>
      <c r="J71" s="295">
        <f t="shared" si="26"/>
        <v>338356.56400000001</v>
      </c>
      <c r="K71" s="296">
        <f t="shared" si="27"/>
        <v>1964.0833333333333</v>
      </c>
      <c r="L71" s="302">
        <f t="shared" si="28"/>
        <v>59</v>
      </c>
      <c r="M71" s="296">
        <f t="shared" si="29"/>
        <v>1905.0833333333333</v>
      </c>
      <c r="N71" s="295">
        <f t="shared" si="30"/>
        <v>103703.6</v>
      </c>
      <c r="O71" s="296">
        <f t="shared" si="31"/>
        <v>3111.1080000000002</v>
      </c>
      <c r="P71" s="295">
        <f t="shared" si="32"/>
        <v>100592.492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RZ71" s="284"/>
      <c r="SA71" s="284"/>
      <c r="SB71" s="284"/>
      <c r="SC71" s="284"/>
      <c r="SD71" s="284"/>
      <c r="SE71" s="284"/>
      <c r="SF71" s="284"/>
      <c r="SG71" s="284"/>
      <c r="SH71" s="284"/>
      <c r="SI71" s="284"/>
      <c r="SJ71" s="284"/>
    </row>
    <row r="72" spans="1:504" x14ac:dyDescent="0.2">
      <c r="A72" s="289">
        <f t="shared" si="21"/>
        <v>2030</v>
      </c>
      <c r="B72" s="295">
        <f t="shared" si="19"/>
        <v>23722</v>
      </c>
      <c r="C72" s="296">
        <f t="shared" si="18"/>
        <v>712</v>
      </c>
      <c r="D72" s="295">
        <f t="shared" si="20"/>
        <v>23010</v>
      </c>
      <c r="E72" s="296">
        <f t="shared" si="33"/>
        <v>9093.4333333333343</v>
      </c>
      <c r="F72" s="302">
        <f t="shared" si="22"/>
        <v>273</v>
      </c>
      <c r="G72" s="296">
        <f t="shared" si="23"/>
        <v>8820.4333333333343</v>
      </c>
      <c r="H72" s="295">
        <f t="shared" si="24"/>
        <v>351085.60000000003</v>
      </c>
      <c r="I72" s="296">
        <f t="shared" si="25"/>
        <v>10532.568000000001</v>
      </c>
      <c r="J72" s="295">
        <f t="shared" si="26"/>
        <v>340553.03200000001</v>
      </c>
      <c r="K72" s="296">
        <f t="shared" si="27"/>
        <v>1976.8333333333333</v>
      </c>
      <c r="L72" s="302">
        <f t="shared" si="28"/>
        <v>59</v>
      </c>
      <c r="M72" s="296">
        <f t="shared" si="29"/>
        <v>1917.8333333333333</v>
      </c>
      <c r="N72" s="295">
        <f t="shared" si="30"/>
        <v>104376.8</v>
      </c>
      <c r="O72" s="296">
        <f t="shared" si="31"/>
        <v>3131.3040000000001</v>
      </c>
      <c r="P72" s="295">
        <f t="shared" si="32"/>
        <v>101245.496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RZ72" s="284"/>
      <c r="SA72" s="284"/>
      <c r="SB72" s="284"/>
      <c r="SC72" s="284"/>
      <c r="SD72" s="284"/>
      <c r="SE72" s="284"/>
      <c r="SF72" s="284"/>
      <c r="SG72" s="284"/>
      <c r="SH72" s="284"/>
      <c r="SI72" s="284"/>
      <c r="SJ72" s="284"/>
    </row>
    <row r="73" spans="1:504" x14ac:dyDescent="0.2">
      <c r="A73" s="289">
        <f t="shared" si="21"/>
        <v>2031</v>
      </c>
      <c r="B73" s="295">
        <f t="shared" si="19"/>
        <v>23875</v>
      </c>
      <c r="C73" s="296">
        <f t="shared" si="18"/>
        <v>716</v>
      </c>
      <c r="D73" s="295">
        <f t="shared" si="20"/>
        <v>23159</v>
      </c>
      <c r="E73" s="296">
        <f t="shared" si="33"/>
        <v>9152.0833333333339</v>
      </c>
      <c r="F73" s="302">
        <f t="shared" si="22"/>
        <v>275</v>
      </c>
      <c r="G73" s="296">
        <f t="shared" si="23"/>
        <v>8877.0833333333339</v>
      </c>
      <c r="H73" s="295">
        <f t="shared" si="24"/>
        <v>353350</v>
      </c>
      <c r="I73" s="296">
        <f t="shared" si="25"/>
        <v>10600.5</v>
      </c>
      <c r="J73" s="295">
        <f t="shared" si="26"/>
        <v>342749.5</v>
      </c>
      <c r="K73" s="296">
        <f t="shared" si="27"/>
        <v>1989.5833333333333</v>
      </c>
      <c r="L73" s="302">
        <f t="shared" si="28"/>
        <v>60</v>
      </c>
      <c r="M73" s="296">
        <f t="shared" si="29"/>
        <v>1929.5833333333333</v>
      </c>
      <c r="N73" s="295">
        <f t="shared" si="30"/>
        <v>105050.00000000001</v>
      </c>
      <c r="O73" s="296">
        <f t="shared" si="31"/>
        <v>3151.5000000000005</v>
      </c>
      <c r="P73" s="295">
        <f t="shared" si="32"/>
        <v>101898.50000000001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RZ73" s="284"/>
      <c r="SA73" s="284"/>
      <c r="SB73" s="284"/>
      <c r="SC73" s="284"/>
      <c r="SD73" s="284"/>
      <c r="SE73" s="284"/>
      <c r="SF73" s="284"/>
      <c r="SG73" s="284"/>
      <c r="SH73" s="284"/>
      <c r="SI73" s="284"/>
      <c r="SJ73" s="284"/>
    </row>
    <row r="74" spans="1:504" x14ac:dyDescent="0.2">
      <c r="A74" s="289">
        <f t="shared" si="21"/>
        <v>2032</v>
      </c>
      <c r="B74" s="295">
        <f t="shared" si="19"/>
        <v>24029</v>
      </c>
      <c r="C74" s="296">
        <f t="shared" si="18"/>
        <v>721</v>
      </c>
      <c r="D74" s="295">
        <f t="shared" si="20"/>
        <v>23308</v>
      </c>
      <c r="E74" s="296">
        <f t="shared" si="33"/>
        <v>9211.1166666666668</v>
      </c>
      <c r="F74" s="302">
        <f t="shared" si="22"/>
        <v>276</v>
      </c>
      <c r="G74" s="296">
        <f t="shared" si="23"/>
        <v>8935.1166666666668</v>
      </c>
      <c r="H74" s="295">
        <f t="shared" si="24"/>
        <v>355629.2</v>
      </c>
      <c r="I74" s="296">
        <f t="shared" si="25"/>
        <v>10668.876</v>
      </c>
      <c r="J74" s="295">
        <f t="shared" si="26"/>
        <v>344960.32400000002</v>
      </c>
      <c r="K74" s="296">
        <f t="shared" si="27"/>
        <v>2002.4166666666665</v>
      </c>
      <c r="L74" s="302">
        <f t="shared" si="28"/>
        <v>60</v>
      </c>
      <c r="M74" s="296">
        <f t="shared" si="29"/>
        <v>1942.4166666666665</v>
      </c>
      <c r="N74" s="295">
        <f t="shared" si="30"/>
        <v>105727.6</v>
      </c>
      <c r="O74" s="296">
        <f t="shared" si="31"/>
        <v>3171.828</v>
      </c>
      <c r="P74" s="295">
        <f t="shared" si="32"/>
        <v>102555.77200000001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RZ74" s="284"/>
      <c r="SA74" s="284"/>
      <c r="SB74" s="284"/>
      <c r="SC74" s="284"/>
      <c r="SD74" s="284"/>
      <c r="SE74" s="284"/>
      <c r="SF74" s="284"/>
      <c r="SG74" s="284"/>
      <c r="SH74" s="284"/>
      <c r="SI74" s="284"/>
      <c r="SJ74" s="284"/>
    </row>
    <row r="75" spans="1:504" x14ac:dyDescent="0.2">
      <c r="A75" s="289">
        <f t="shared" si="21"/>
        <v>2033</v>
      </c>
      <c r="B75" s="295">
        <f t="shared" si="19"/>
        <v>24184</v>
      </c>
      <c r="C75" s="296">
        <f t="shared" si="18"/>
        <v>726</v>
      </c>
      <c r="D75" s="295">
        <f t="shared" si="20"/>
        <v>23458</v>
      </c>
      <c r="E75" s="296">
        <f t="shared" si="33"/>
        <v>9270.5333333333347</v>
      </c>
      <c r="F75" s="302">
        <f t="shared" si="22"/>
        <v>278</v>
      </c>
      <c r="G75" s="296">
        <f t="shared" si="23"/>
        <v>8992.5333333333347</v>
      </c>
      <c r="H75" s="295">
        <f t="shared" si="24"/>
        <v>357923.2</v>
      </c>
      <c r="I75" s="296">
        <f t="shared" si="25"/>
        <v>10737.696</v>
      </c>
      <c r="J75" s="295">
        <f t="shared" si="26"/>
        <v>347185.50400000002</v>
      </c>
      <c r="K75" s="296">
        <f t="shared" si="27"/>
        <v>2015.3333333333333</v>
      </c>
      <c r="L75" s="302">
        <f t="shared" si="28"/>
        <v>60</v>
      </c>
      <c r="M75" s="296">
        <f t="shared" si="29"/>
        <v>1955.3333333333333</v>
      </c>
      <c r="N75" s="295">
        <f t="shared" si="30"/>
        <v>106409.60000000001</v>
      </c>
      <c r="O75" s="296">
        <f t="shared" si="31"/>
        <v>3192.288</v>
      </c>
      <c r="P75" s="295">
        <f t="shared" si="32"/>
        <v>103217.31200000001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RZ75" s="284"/>
      <c r="SA75" s="284"/>
      <c r="SB75" s="284"/>
      <c r="SC75" s="284"/>
      <c r="SD75" s="284"/>
      <c r="SE75" s="284"/>
      <c r="SF75" s="284"/>
      <c r="SG75" s="284"/>
      <c r="SH75" s="284"/>
      <c r="SI75" s="284"/>
      <c r="SJ75" s="284"/>
    </row>
    <row r="76" spans="1:504" x14ac:dyDescent="0.2">
      <c r="A76" s="289">
        <f t="shared" si="21"/>
        <v>2034</v>
      </c>
      <c r="B76" s="295">
        <f t="shared" si="19"/>
        <v>24340</v>
      </c>
      <c r="C76" s="296">
        <f t="shared" si="18"/>
        <v>730</v>
      </c>
      <c r="D76" s="295">
        <f t="shared" si="20"/>
        <v>23610</v>
      </c>
      <c r="E76" s="296">
        <f t="shared" si="33"/>
        <v>9330.3333333333339</v>
      </c>
      <c r="F76" s="302">
        <f t="shared" si="22"/>
        <v>280</v>
      </c>
      <c r="G76" s="296">
        <f t="shared" si="23"/>
        <v>9050.3333333333339</v>
      </c>
      <c r="H76" s="295">
        <f t="shared" si="24"/>
        <v>360232</v>
      </c>
      <c r="I76" s="296">
        <f t="shared" si="25"/>
        <v>10806.96</v>
      </c>
      <c r="J76" s="295">
        <f t="shared" si="26"/>
        <v>349425.04</v>
      </c>
      <c r="K76" s="296">
        <f t="shared" si="27"/>
        <v>2028.3333333333333</v>
      </c>
      <c r="L76" s="302">
        <f t="shared" si="28"/>
        <v>61</v>
      </c>
      <c r="M76" s="296">
        <f t="shared" si="29"/>
        <v>1967.3333333333333</v>
      </c>
      <c r="N76" s="295">
        <f t="shared" si="30"/>
        <v>107096.00000000001</v>
      </c>
      <c r="O76" s="296">
        <f t="shared" si="31"/>
        <v>3212.88</v>
      </c>
      <c r="P76" s="295">
        <f t="shared" si="32"/>
        <v>103883.12000000001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RZ76" s="284"/>
      <c r="SA76" s="284"/>
      <c r="SB76" s="284"/>
      <c r="SC76" s="284"/>
      <c r="SD76" s="284"/>
      <c r="SE76" s="284"/>
      <c r="SF76" s="284"/>
      <c r="SG76" s="284"/>
      <c r="SH76" s="284"/>
      <c r="SI76" s="284"/>
      <c r="SJ76" s="284"/>
    </row>
    <row r="77" spans="1:504" x14ac:dyDescent="0.2">
      <c r="A77" s="289">
        <f t="shared" si="21"/>
        <v>2035</v>
      </c>
      <c r="B77" s="295">
        <f t="shared" si="19"/>
        <v>24498</v>
      </c>
      <c r="C77" s="296">
        <f t="shared" si="18"/>
        <v>735</v>
      </c>
      <c r="D77" s="295">
        <f t="shared" si="20"/>
        <v>23763</v>
      </c>
      <c r="E77" s="296">
        <f t="shared" si="33"/>
        <v>9390.9000000000015</v>
      </c>
      <c r="F77" s="302">
        <f t="shared" si="22"/>
        <v>282</v>
      </c>
      <c r="G77" s="296">
        <f t="shared" si="23"/>
        <v>9108.9000000000015</v>
      </c>
      <c r="H77" s="295">
        <f t="shared" si="24"/>
        <v>362570.4</v>
      </c>
      <c r="I77" s="296">
        <f t="shared" si="25"/>
        <v>10877.112000000001</v>
      </c>
      <c r="J77" s="295">
        <f t="shared" si="26"/>
        <v>351693.288</v>
      </c>
      <c r="K77" s="296">
        <f t="shared" si="27"/>
        <v>2041.5</v>
      </c>
      <c r="L77" s="302">
        <f t="shared" si="28"/>
        <v>61</v>
      </c>
      <c r="M77" s="296">
        <f t="shared" si="29"/>
        <v>1980.5</v>
      </c>
      <c r="N77" s="295">
        <f t="shared" si="30"/>
        <v>107791.20000000001</v>
      </c>
      <c r="O77" s="296">
        <f t="shared" si="31"/>
        <v>3233.7360000000003</v>
      </c>
      <c r="P77" s="295">
        <f t="shared" si="32"/>
        <v>104557.46400000001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RZ77" s="284"/>
      <c r="SA77" s="284"/>
      <c r="SB77" s="284"/>
      <c r="SC77" s="284"/>
      <c r="SD77" s="284"/>
      <c r="SE77" s="284"/>
      <c r="SF77" s="284"/>
      <c r="SG77" s="284"/>
      <c r="SH77" s="284"/>
      <c r="SI77" s="284"/>
      <c r="SJ77" s="284"/>
    </row>
    <row r="78" spans="1:504" x14ac:dyDescent="0.2">
      <c r="A78" s="289">
        <f t="shared" si="21"/>
        <v>2036</v>
      </c>
      <c r="B78" s="295">
        <f t="shared" si="19"/>
        <v>24656</v>
      </c>
      <c r="C78" s="296">
        <f t="shared" si="18"/>
        <v>740</v>
      </c>
      <c r="D78" s="295">
        <f t="shared" si="20"/>
        <v>23916</v>
      </c>
      <c r="E78" s="296">
        <f t="shared" si="33"/>
        <v>9451.4666666666672</v>
      </c>
      <c r="F78" s="302">
        <f t="shared" si="22"/>
        <v>284</v>
      </c>
      <c r="G78" s="296">
        <f t="shared" si="23"/>
        <v>9167.4666666666672</v>
      </c>
      <c r="H78" s="295">
        <f t="shared" si="24"/>
        <v>364908.80000000005</v>
      </c>
      <c r="I78" s="296">
        <f t="shared" si="25"/>
        <v>10947.264000000001</v>
      </c>
      <c r="J78" s="295">
        <f t="shared" si="26"/>
        <v>353961.53600000002</v>
      </c>
      <c r="K78" s="296">
        <f t="shared" si="27"/>
        <v>2054.6666666666665</v>
      </c>
      <c r="L78" s="302">
        <f t="shared" si="28"/>
        <v>62</v>
      </c>
      <c r="M78" s="296">
        <f t="shared" si="29"/>
        <v>1992.6666666666665</v>
      </c>
      <c r="N78" s="295">
        <f t="shared" si="30"/>
        <v>108486.40000000001</v>
      </c>
      <c r="O78" s="296">
        <f t="shared" si="31"/>
        <v>3254.5920000000001</v>
      </c>
      <c r="P78" s="295">
        <f t="shared" si="32"/>
        <v>105231.808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RZ78" s="284"/>
      <c r="SA78" s="284"/>
      <c r="SB78" s="284"/>
      <c r="SC78" s="284"/>
      <c r="SD78" s="284"/>
      <c r="SE78" s="284"/>
      <c r="SF78" s="284"/>
      <c r="SG78" s="284"/>
      <c r="SH78" s="284"/>
      <c r="SI78" s="284"/>
      <c r="SJ78" s="284"/>
    </row>
    <row r="79" spans="1:504" x14ac:dyDescent="0.2">
      <c r="A79" s="289">
        <f t="shared" si="21"/>
        <v>2037</v>
      </c>
      <c r="B79" s="295">
        <f t="shared" si="19"/>
        <v>24815</v>
      </c>
      <c r="C79" s="296">
        <f t="shared" si="18"/>
        <v>744</v>
      </c>
      <c r="D79" s="295">
        <f t="shared" si="20"/>
        <v>24071</v>
      </c>
      <c r="E79" s="296">
        <f t="shared" si="33"/>
        <v>9512.4166666666679</v>
      </c>
      <c r="F79" s="302">
        <f t="shared" si="22"/>
        <v>285</v>
      </c>
      <c r="G79" s="296">
        <f t="shared" si="23"/>
        <v>9227.4166666666679</v>
      </c>
      <c r="H79" s="295">
        <f t="shared" si="24"/>
        <v>367262</v>
      </c>
      <c r="I79" s="296">
        <f t="shared" si="25"/>
        <v>11017.859999999999</v>
      </c>
      <c r="J79" s="295">
        <f t="shared" si="26"/>
        <v>356244.14</v>
      </c>
      <c r="K79" s="296">
        <f t="shared" si="27"/>
        <v>2067.9166666666665</v>
      </c>
      <c r="L79" s="302">
        <f t="shared" si="28"/>
        <v>62</v>
      </c>
      <c r="M79" s="296">
        <f t="shared" si="29"/>
        <v>2005.9166666666665</v>
      </c>
      <c r="N79" s="295">
        <f t="shared" si="30"/>
        <v>109186.00000000001</v>
      </c>
      <c r="O79" s="296">
        <f t="shared" si="31"/>
        <v>3275.5800000000004</v>
      </c>
      <c r="P79" s="295">
        <f t="shared" si="32"/>
        <v>105910.42000000001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RZ79" s="284"/>
      <c r="SA79" s="284"/>
      <c r="SB79" s="284"/>
      <c r="SC79" s="284"/>
      <c r="SD79" s="284"/>
      <c r="SE79" s="284"/>
      <c r="SF79" s="284"/>
      <c r="SG79" s="284"/>
      <c r="SH79" s="284"/>
      <c r="SI79" s="284"/>
      <c r="SJ79" s="284"/>
    </row>
    <row r="80" spans="1:504" x14ac:dyDescent="0.2">
      <c r="A80" s="289">
        <f t="shared" si="21"/>
        <v>2038</v>
      </c>
      <c r="B80" s="295">
        <f t="shared" si="19"/>
        <v>24975</v>
      </c>
      <c r="C80" s="296">
        <f t="shared" si="18"/>
        <v>749</v>
      </c>
      <c r="D80" s="295">
        <f t="shared" si="20"/>
        <v>24226</v>
      </c>
      <c r="E80" s="296">
        <f t="shared" si="33"/>
        <v>9573.75</v>
      </c>
      <c r="F80" s="302">
        <f t="shared" si="22"/>
        <v>287</v>
      </c>
      <c r="G80" s="296">
        <f t="shared" si="23"/>
        <v>9286.75</v>
      </c>
      <c r="H80" s="295">
        <f t="shared" si="24"/>
        <v>369630</v>
      </c>
      <c r="I80" s="296">
        <f t="shared" si="25"/>
        <v>11088.9</v>
      </c>
      <c r="J80" s="295">
        <f t="shared" si="26"/>
        <v>358541.1</v>
      </c>
      <c r="K80" s="296">
        <f t="shared" si="27"/>
        <v>2081.25</v>
      </c>
      <c r="L80" s="302">
        <f t="shared" si="28"/>
        <v>62</v>
      </c>
      <c r="M80" s="296">
        <f t="shared" si="29"/>
        <v>2019.25</v>
      </c>
      <c r="N80" s="295">
        <f t="shared" si="30"/>
        <v>109890.00000000001</v>
      </c>
      <c r="O80" s="296">
        <f t="shared" si="31"/>
        <v>3296.7000000000003</v>
      </c>
      <c r="P80" s="295">
        <f t="shared" si="32"/>
        <v>106593.30000000002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RZ80" s="284"/>
      <c r="SA80" s="284"/>
      <c r="SB80" s="284"/>
      <c r="SC80" s="284"/>
      <c r="SD80" s="284"/>
      <c r="SE80" s="284"/>
      <c r="SF80" s="284"/>
      <c r="SG80" s="284"/>
      <c r="SH80" s="284"/>
      <c r="SI80" s="284"/>
      <c r="SJ80" s="284"/>
    </row>
    <row r="81" spans="1:504" x14ac:dyDescent="0.2">
      <c r="A81" s="289">
        <f t="shared" si="21"/>
        <v>2039</v>
      </c>
      <c r="B81" s="295">
        <f t="shared" si="19"/>
        <v>25137</v>
      </c>
      <c r="C81" s="296">
        <f t="shared" si="18"/>
        <v>754</v>
      </c>
      <c r="D81" s="295">
        <f t="shared" si="20"/>
        <v>24383</v>
      </c>
      <c r="E81" s="296">
        <f t="shared" si="33"/>
        <v>9635.85</v>
      </c>
      <c r="F81" s="302">
        <f t="shared" si="22"/>
        <v>289</v>
      </c>
      <c r="G81" s="296">
        <f t="shared" si="23"/>
        <v>9346.85</v>
      </c>
      <c r="H81" s="295">
        <f t="shared" si="24"/>
        <v>372027.60000000003</v>
      </c>
      <c r="I81" s="296">
        <f t="shared" si="25"/>
        <v>11160.828000000001</v>
      </c>
      <c r="J81" s="295">
        <f t="shared" si="26"/>
        <v>360866.77200000006</v>
      </c>
      <c r="K81" s="296">
        <f t="shared" si="27"/>
        <v>2094.75</v>
      </c>
      <c r="L81" s="302">
        <f t="shared" si="28"/>
        <v>63</v>
      </c>
      <c r="M81" s="296">
        <f t="shared" si="29"/>
        <v>2031.75</v>
      </c>
      <c r="N81" s="295">
        <f t="shared" si="30"/>
        <v>110602.8</v>
      </c>
      <c r="O81" s="296">
        <f t="shared" si="31"/>
        <v>3318.0839999999998</v>
      </c>
      <c r="P81" s="295">
        <f t="shared" si="32"/>
        <v>107284.716</v>
      </c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RZ81" s="284"/>
      <c r="SA81" s="284"/>
      <c r="SB81" s="284"/>
      <c r="SC81" s="284"/>
      <c r="SD81" s="284"/>
      <c r="SE81" s="284"/>
      <c r="SF81" s="284"/>
      <c r="SG81" s="284"/>
      <c r="SH81" s="284"/>
      <c r="SI81" s="284"/>
      <c r="SJ81" s="284"/>
    </row>
    <row r="82" spans="1:504" x14ac:dyDescent="0.2">
      <c r="A82" s="289">
        <f t="shared" si="21"/>
        <v>2040</v>
      </c>
      <c r="B82" s="295">
        <f t="shared" si="19"/>
        <v>25299</v>
      </c>
      <c r="C82" s="296">
        <f t="shared" si="18"/>
        <v>759</v>
      </c>
      <c r="D82" s="295">
        <f>B82-C82</f>
        <v>24540</v>
      </c>
      <c r="E82" s="296">
        <f t="shared" si="33"/>
        <v>9697.9500000000007</v>
      </c>
      <c r="F82" s="302">
        <f t="shared" si="22"/>
        <v>291</v>
      </c>
      <c r="G82" s="296">
        <f t="shared" si="23"/>
        <v>9406.9500000000007</v>
      </c>
      <c r="H82" s="295">
        <f t="shared" si="24"/>
        <v>374425.2</v>
      </c>
      <c r="I82" s="296">
        <f t="shared" si="25"/>
        <v>11232.755999999999</v>
      </c>
      <c r="J82" s="295">
        <f t="shared" si="26"/>
        <v>363192.44400000002</v>
      </c>
      <c r="K82" s="296">
        <f t="shared" si="27"/>
        <v>2108.25</v>
      </c>
      <c r="L82" s="302">
        <f t="shared" si="28"/>
        <v>63</v>
      </c>
      <c r="M82" s="296">
        <f t="shared" si="29"/>
        <v>2045.25</v>
      </c>
      <c r="N82" s="295">
        <f t="shared" si="30"/>
        <v>111315.6</v>
      </c>
      <c r="O82" s="296">
        <f t="shared" si="31"/>
        <v>3339.4679999999998</v>
      </c>
      <c r="P82" s="295">
        <f t="shared" si="32"/>
        <v>107976.13200000001</v>
      </c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RZ82" s="284"/>
      <c r="SA82" s="284"/>
      <c r="SB82" s="284"/>
      <c r="SC82" s="284"/>
      <c r="SD82" s="284"/>
      <c r="SE82" s="284"/>
      <c r="SF82" s="284"/>
      <c r="SG82" s="284"/>
      <c r="SH82" s="284"/>
      <c r="SI82" s="284"/>
      <c r="SJ82" s="284"/>
    </row>
    <row r="83" spans="1:504" x14ac:dyDescent="0.2">
      <c r="A83" s="289">
        <f t="shared" si="21"/>
        <v>2041</v>
      </c>
      <c r="B83" s="295">
        <f t="shared" si="19"/>
        <v>25462</v>
      </c>
      <c r="C83" s="296">
        <f t="shared" si="18"/>
        <v>764</v>
      </c>
      <c r="D83" s="295">
        <f t="shared" si="20"/>
        <v>24698</v>
      </c>
      <c r="E83" s="296">
        <f t="shared" si="33"/>
        <v>9760.4333333333343</v>
      </c>
      <c r="F83" s="302">
        <f t="shared" si="22"/>
        <v>293</v>
      </c>
      <c r="G83" s="296">
        <f t="shared" si="23"/>
        <v>9467.4333333333343</v>
      </c>
      <c r="H83" s="295">
        <f t="shared" si="24"/>
        <v>376837.60000000003</v>
      </c>
      <c r="I83" s="296">
        <f t="shared" si="25"/>
        <v>11305.128000000001</v>
      </c>
      <c r="J83" s="295">
        <f t="shared" si="26"/>
        <v>365532.47200000001</v>
      </c>
      <c r="K83" s="296">
        <f t="shared" si="27"/>
        <v>2121.833333333333</v>
      </c>
      <c r="L83" s="302">
        <f t="shared" si="28"/>
        <v>64</v>
      </c>
      <c r="M83" s="296">
        <f t="shared" si="29"/>
        <v>2057.833333333333</v>
      </c>
      <c r="N83" s="295">
        <f t="shared" si="30"/>
        <v>112032.8</v>
      </c>
      <c r="O83" s="296">
        <f t="shared" si="31"/>
        <v>3360.9839999999999</v>
      </c>
      <c r="P83" s="295">
        <f t="shared" si="32"/>
        <v>108671.81600000001</v>
      </c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RZ83" s="284"/>
      <c r="SA83" s="284"/>
      <c r="SB83" s="284"/>
      <c r="SC83" s="284"/>
      <c r="SD83" s="284"/>
      <c r="SE83" s="284"/>
      <c r="SF83" s="284"/>
      <c r="SG83" s="284"/>
      <c r="SH83" s="284"/>
      <c r="SI83" s="284"/>
      <c r="SJ83" s="284"/>
    </row>
    <row r="84" spans="1:504" x14ac:dyDescent="0.2">
      <c r="A84" s="289">
        <f t="shared" si="21"/>
        <v>2042</v>
      </c>
      <c r="B84" s="295">
        <f t="shared" si="19"/>
        <v>25627</v>
      </c>
      <c r="C84" s="296">
        <f t="shared" si="18"/>
        <v>769</v>
      </c>
      <c r="D84" s="295">
        <f t="shared" si="20"/>
        <v>24858</v>
      </c>
      <c r="E84" s="296">
        <f t="shared" si="33"/>
        <v>9823.6833333333343</v>
      </c>
      <c r="F84" s="302">
        <f t="shared" si="22"/>
        <v>295</v>
      </c>
      <c r="G84" s="296">
        <f t="shared" si="23"/>
        <v>9528.6833333333343</v>
      </c>
      <c r="H84" s="295">
        <f t="shared" si="24"/>
        <v>379279.60000000003</v>
      </c>
      <c r="I84" s="296">
        <f t="shared" si="25"/>
        <v>11378.388000000001</v>
      </c>
      <c r="J84" s="295">
        <f t="shared" si="26"/>
        <v>367901.21200000006</v>
      </c>
      <c r="K84" s="296">
        <f t="shared" si="27"/>
        <v>2135.583333333333</v>
      </c>
      <c r="L84" s="302">
        <f t="shared" si="28"/>
        <v>64</v>
      </c>
      <c r="M84" s="296">
        <f t="shared" si="29"/>
        <v>2071.583333333333</v>
      </c>
      <c r="N84" s="295">
        <f t="shared" si="30"/>
        <v>112758.8</v>
      </c>
      <c r="O84" s="296">
        <f t="shared" si="31"/>
        <v>3382.7640000000001</v>
      </c>
      <c r="P84" s="295">
        <f t="shared" si="32"/>
        <v>109376.03600000001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RZ84" s="284"/>
      <c r="SA84" s="284"/>
      <c r="SB84" s="284"/>
      <c r="SC84" s="284"/>
      <c r="SD84" s="284"/>
      <c r="SE84" s="284"/>
      <c r="SF84" s="284"/>
      <c r="SG84" s="284"/>
      <c r="SH84" s="284"/>
      <c r="SI84" s="284"/>
      <c r="SJ84" s="284"/>
    </row>
    <row r="85" spans="1:504" x14ac:dyDescent="0.2">
      <c r="A85" s="303">
        <f t="shared" si="21"/>
        <v>2043</v>
      </c>
      <c r="B85" s="304">
        <f t="shared" si="19"/>
        <v>25792</v>
      </c>
      <c r="C85" s="305">
        <f t="shared" si="18"/>
        <v>774</v>
      </c>
      <c r="D85" s="304">
        <f t="shared" si="20"/>
        <v>25018</v>
      </c>
      <c r="E85" s="305">
        <f t="shared" si="33"/>
        <v>9886.9333333333343</v>
      </c>
      <c r="F85" s="306">
        <f t="shared" si="22"/>
        <v>297</v>
      </c>
      <c r="G85" s="305">
        <f t="shared" si="23"/>
        <v>9589.9333333333343</v>
      </c>
      <c r="H85" s="304">
        <f t="shared" si="24"/>
        <v>381721.60000000003</v>
      </c>
      <c r="I85" s="305">
        <f t="shared" si="25"/>
        <v>11451.648000000001</v>
      </c>
      <c r="J85" s="304">
        <f t="shared" si="26"/>
        <v>370269.95200000005</v>
      </c>
      <c r="K85" s="305">
        <f t="shared" si="27"/>
        <v>2149.333333333333</v>
      </c>
      <c r="L85" s="306">
        <f t="shared" si="28"/>
        <v>64</v>
      </c>
      <c r="M85" s="305">
        <f t="shared" si="29"/>
        <v>2085.333333333333</v>
      </c>
      <c r="N85" s="304">
        <f t="shared" si="30"/>
        <v>113484.8</v>
      </c>
      <c r="O85" s="305">
        <f t="shared" si="31"/>
        <v>3404.5439999999999</v>
      </c>
      <c r="P85" s="304">
        <f t="shared" si="32"/>
        <v>110080.25600000001</v>
      </c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RZ85" s="284"/>
      <c r="SA85" s="284"/>
      <c r="SB85" s="284"/>
      <c r="SC85" s="284"/>
      <c r="SD85" s="284"/>
      <c r="SE85" s="284"/>
      <c r="SF85" s="284"/>
      <c r="SG85" s="284"/>
      <c r="SH85" s="284"/>
      <c r="SI85" s="284"/>
      <c r="SJ85" s="284"/>
    </row>
    <row r="86" spans="1:504" x14ac:dyDescent="0.2">
      <c r="A86" s="307"/>
      <c r="B86" s="72"/>
      <c r="C86" s="308"/>
      <c r="D86" s="309"/>
      <c r="E86" s="309"/>
      <c r="F86" s="72"/>
      <c r="G86" s="308"/>
      <c r="H86" s="309"/>
      <c r="I86" s="309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504" ht="13.9" customHeight="1" x14ac:dyDescent="0.2">
      <c r="A87" s="310"/>
      <c r="B87" s="310"/>
      <c r="C87" s="310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504" ht="13.9" customHeight="1" x14ac:dyDescent="0.2">
      <c r="A88" s="548" t="s">
        <v>387</v>
      </c>
      <c r="B88" s="549"/>
      <c r="C88" s="312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504" ht="13.9" customHeight="1" x14ac:dyDescent="0.2">
      <c r="A89" s="313" t="s">
        <v>388</v>
      </c>
      <c r="B89" s="314">
        <f>(B95/B94)^(1/5)-1</f>
        <v>6.458101486379153E-3</v>
      </c>
      <c r="C89" s="312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504" ht="13.9" customHeight="1" x14ac:dyDescent="0.2">
      <c r="A90" s="313" t="s">
        <v>389</v>
      </c>
      <c r="B90" s="314">
        <v>0.03</v>
      </c>
      <c r="C90" s="312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504" ht="13.9" customHeight="1" x14ac:dyDescent="0.2">
      <c r="A91" s="584" t="s">
        <v>390</v>
      </c>
      <c r="B91" s="585"/>
      <c r="C91" s="312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504" ht="13.9" customHeight="1" x14ac:dyDescent="0.2">
      <c r="A92" s="315"/>
      <c r="B92" s="315"/>
      <c r="C92" s="310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504" ht="13.9" customHeight="1" x14ac:dyDescent="0.2">
      <c r="A93" s="548" t="s">
        <v>391</v>
      </c>
      <c r="B93" s="549"/>
      <c r="C93" s="310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504" x14ac:dyDescent="0.2">
      <c r="A94" s="316" t="s">
        <v>392</v>
      </c>
      <c r="B94" s="317">
        <v>21400</v>
      </c>
      <c r="C94" s="310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504" x14ac:dyDescent="0.2">
      <c r="A95" s="316" t="s">
        <v>393</v>
      </c>
      <c r="B95" s="317">
        <v>22100</v>
      </c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504" ht="16.149999999999999" customHeight="1" x14ac:dyDescent="0.2">
      <c r="A96" s="584" t="s">
        <v>390</v>
      </c>
      <c r="B96" s="585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ht="13.9" customHeight="1" x14ac:dyDescent="0.2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ht="13.9" customHeight="1" x14ac:dyDescent="0.2">
      <c r="A98" s="548" t="s">
        <v>394</v>
      </c>
      <c r="B98" s="549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ht="13.9" customHeight="1" x14ac:dyDescent="0.2">
      <c r="A99" s="318" t="s">
        <v>395</v>
      </c>
      <c r="B99" s="319">
        <v>14.8</v>
      </c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ht="13.9" customHeight="1" x14ac:dyDescent="0.2">
      <c r="A100" s="318" t="s">
        <v>396</v>
      </c>
      <c r="B100" s="320">
        <v>55</v>
      </c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ht="13.9" customHeight="1" x14ac:dyDescent="0.2">
      <c r="A101" s="318" t="s">
        <v>397</v>
      </c>
      <c r="B101" s="319">
        <f>23/60</f>
        <v>0.38333333333333336</v>
      </c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ht="13.9" customHeight="1" x14ac:dyDescent="0.2">
      <c r="A102" s="584" t="s">
        <v>398</v>
      </c>
      <c r="B102" s="585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ht="13.9" customHeight="1" x14ac:dyDescent="0.2">
      <c r="A103" s="315"/>
      <c r="B103" s="315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ht="13.9" customHeight="1" x14ac:dyDescent="0.2">
      <c r="A104" s="548" t="s">
        <v>399</v>
      </c>
      <c r="B104" s="549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ht="13.9" customHeight="1" x14ac:dyDescent="0.2">
      <c r="A105" s="318" t="s">
        <v>395</v>
      </c>
      <c r="B105" s="319">
        <v>4.4000000000000004</v>
      </c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ht="13.9" customHeight="1" x14ac:dyDescent="0.2">
      <c r="A106" s="318" t="s">
        <v>396</v>
      </c>
      <c r="B106" s="320">
        <v>55</v>
      </c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ht="13.9" customHeight="1" x14ac:dyDescent="0.2">
      <c r="A107" s="318" t="s">
        <v>397</v>
      </c>
      <c r="B107" s="319">
        <f>5/60</f>
        <v>8.3333333333333329E-2</v>
      </c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ht="13.9" customHeight="1" x14ac:dyDescent="0.2">
      <c r="A108" s="584" t="s">
        <v>398</v>
      </c>
      <c r="B108" s="585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ht="13.9" customHeight="1" x14ac:dyDescent="0.2">
      <c r="A109" s="315"/>
      <c r="B109" s="315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ht="13.9" customHeight="1" x14ac:dyDescent="0.2">
      <c r="A110" s="548" t="s">
        <v>441</v>
      </c>
      <c r="B110" s="549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3.9" customHeight="1" x14ac:dyDescent="0.2">
      <c r="A111" s="316" t="s">
        <v>42</v>
      </c>
      <c r="B111" s="451">
        <v>30.8</v>
      </c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ht="13.9" customHeight="1" x14ac:dyDescent="0.2">
      <c r="A112" s="316" t="s">
        <v>442</v>
      </c>
      <c r="B112" s="451">
        <v>17.899999999999999</v>
      </c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ht="13.9" customHeight="1" x14ac:dyDescent="0.2">
      <c r="A113" s="584" t="s">
        <v>443</v>
      </c>
      <c r="B113" s="585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ht="13.9" customHeight="1" x14ac:dyDescent="0.2">
      <c r="A114" s="72"/>
      <c r="B114" s="72"/>
      <c r="C114" s="308"/>
      <c r="D114" s="321"/>
      <c r="E114" s="72"/>
      <c r="F114" s="72"/>
      <c r="G114" s="322"/>
      <c r="H114" s="72"/>
      <c r="I114" s="72"/>
      <c r="J114" s="72"/>
      <c r="K114" s="323"/>
      <c r="L114" s="323"/>
      <c r="M114" s="310"/>
      <c r="N114" s="310"/>
      <c r="O114" s="310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ht="13.9" customHeight="1" x14ac:dyDescent="0.2">
      <c r="A115" s="548" t="s">
        <v>444</v>
      </c>
      <c r="B115" s="549"/>
      <c r="C115" s="308"/>
      <c r="D115" s="321"/>
      <c r="E115" s="72"/>
      <c r="F115" s="72"/>
      <c r="G115" s="322"/>
      <c r="H115" s="72"/>
      <c r="I115" s="72"/>
      <c r="J115" s="72"/>
      <c r="K115" s="323"/>
      <c r="L115" s="323"/>
      <c r="M115" s="310"/>
      <c r="N115" s="310"/>
      <c r="O115" s="310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ht="13.9" customHeight="1" x14ac:dyDescent="0.2">
      <c r="A116" s="316" t="s">
        <v>445</v>
      </c>
      <c r="B116" s="451">
        <v>0.93</v>
      </c>
      <c r="C116" s="308"/>
      <c r="D116" s="321"/>
      <c r="E116" s="72"/>
      <c r="F116" s="72"/>
      <c r="G116" s="322"/>
      <c r="H116" s="72"/>
      <c r="I116" s="72"/>
      <c r="J116" s="72"/>
      <c r="K116" s="323"/>
      <c r="L116" s="323"/>
      <c r="M116" s="310"/>
      <c r="N116" s="310"/>
      <c r="O116" s="310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ht="13.9" customHeight="1" x14ac:dyDescent="0.2">
      <c r="A117" s="316" t="s">
        <v>446</v>
      </c>
      <c r="B117" s="451">
        <v>0.43</v>
      </c>
      <c r="C117" s="308"/>
      <c r="D117" s="321"/>
      <c r="E117" s="72"/>
      <c r="F117" s="72"/>
      <c r="G117" s="322"/>
      <c r="H117" s="72"/>
      <c r="I117" s="72"/>
      <c r="J117" s="72"/>
      <c r="K117" s="323"/>
      <c r="L117" s="323"/>
      <c r="M117" s="310"/>
      <c r="N117" s="310"/>
      <c r="O117" s="310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ht="13.9" customHeight="1" x14ac:dyDescent="0.2">
      <c r="A118" s="584" t="s">
        <v>443</v>
      </c>
      <c r="B118" s="585"/>
      <c r="C118" s="308"/>
      <c r="D118" s="321"/>
      <c r="E118" s="72"/>
      <c r="F118" s="72"/>
      <c r="G118" s="322"/>
      <c r="H118" s="72"/>
      <c r="I118" s="72"/>
      <c r="J118" s="72"/>
      <c r="K118" s="323"/>
      <c r="L118" s="323"/>
      <c r="M118" s="310"/>
      <c r="N118" s="310"/>
      <c r="O118" s="310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x14ac:dyDescent="0.2">
      <c r="A119" s="324"/>
      <c r="B119" s="325"/>
      <c r="C119" s="324"/>
      <c r="D119" s="321"/>
      <c r="E119" s="326"/>
      <c r="F119" s="309"/>
      <c r="G119" s="322"/>
      <c r="H119" s="72"/>
      <c r="I119" s="72"/>
      <c r="J119" s="72"/>
      <c r="K119" s="72"/>
      <c r="L119" s="293"/>
      <c r="M119" s="327"/>
      <c r="N119" s="293"/>
      <c r="O119" s="327"/>
      <c r="P119" s="293"/>
      <c r="Q119" s="327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x14ac:dyDescent="0.2">
      <c r="A120" s="25"/>
      <c r="B120" s="25"/>
      <c r="C120" s="25"/>
      <c r="D120" s="25"/>
      <c r="E120" s="25"/>
      <c r="F120" s="25"/>
      <c r="G120" s="25"/>
      <c r="H120" s="72"/>
      <c r="I120" s="72"/>
      <c r="J120" s="72"/>
      <c r="K120" s="72"/>
      <c r="L120" s="293"/>
      <c r="M120" s="327"/>
      <c r="N120" s="293"/>
      <c r="O120" s="327"/>
      <c r="P120" s="293"/>
      <c r="Q120" s="327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ht="13.1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72"/>
      <c r="L121" s="324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ht="13.1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324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72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x14ac:dyDescent="0.2">
      <c r="A152" s="586"/>
      <c r="B152" s="583"/>
      <c r="C152" s="583"/>
      <c r="D152" s="583"/>
      <c r="E152" s="583"/>
      <c r="F152" s="583"/>
      <c r="G152" s="583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x14ac:dyDescent="0.2">
      <c r="A153" s="586"/>
      <c r="B153" s="328"/>
      <c r="C153" s="329"/>
      <c r="D153" s="329"/>
      <c r="E153" s="328"/>
      <c r="F153" s="329"/>
      <c r="G153" s="329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x14ac:dyDescent="0.2">
      <c r="A154" s="307"/>
      <c r="B154" s="293"/>
      <c r="C154" s="293"/>
      <c r="D154" s="293"/>
      <c r="E154" s="293"/>
      <c r="F154" s="293"/>
      <c r="G154" s="293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x14ac:dyDescent="0.2">
      <c r="A155" s="307"/>
      <c r="B155" s="293"/>
      <c r="C155" s="293"/>
      <c r="D155" s="293"/>
      <c r="E155" s="293"/>
      <c r="F155" s="293"/>
      <c r="G155" s="293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x14ac:dyDescent="0.2">
      <c r="A156" s="307"/>
      <c r="B156" s="293"/>
      <c r="C156" s="293"/>
      <c r="D156" s="293"/>
      <c r="E156" s="293"/>
      <c r="F156" s="293"/>
      <c r="G156" s="293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x14ac:dyDescent="0.2">
      <c r="A157" s="307"/>
      <c r="B157" s="293"/>
      <c r="C157" s="293"/>
      <c r="D157" s="293"/>
      <c r="E157" s="293"/>
      <c r="F157" s="293"/>
      <c r="G157" s="293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x14ac:dyDescent="0.2">
      <c r="A158" s="307"/>
      <c r="B158" s="293"/>
      <c r="C158" s="293"/>
      <c r="D158" s="293"/>
      <c r="E158" s="293"/>
      <c r="F158" s="293"/>
      <c r="G158" s="293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x14ac:dyDescent="0.2">
      <c r="A159" s="307"/>
      <c r="B159" s="293"/>
      <c r="C159" s="293"/>
      <c r="D159" s="293"/>
      <c r="E159" s="293"/>
      <c r="F159" s="293"/>
      <c r="G159" s="293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x14ac:dyDescent="0.2">
      <c r="A160" s="307"/>
      <c r="B160" s="293"/>
      <c r="C160" s="293"/>
      <c r="D160" s="293"/>
      <c r="E160" s="293"/>
      <c r="F160" s="293"/>
      <c r="G160" s="293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x14ac:dyDescent="0.2">
      <c r="A161" s="307"/>
      <c r="B161" s="293"/>
      <c r="C161" s="293"/>
      <c r="D161" s="293"/>
      <c r="E161" s="293"/>
      <c r="F161" s="293"/>
      <c r="G161" s="293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x14ac:dyDescent="0.2">
      <c r="A162" s="307"/>
      <c r="B162" s="293"/>
      <c r="C162" s="293"/>
      <c r="D162" s="293"/>
      <c r="E162" s="293"/>
      <c r="F162" s="293"/>
      <c r="G162" s="293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x14ac:dyDescent="0.2">
      <c r="A163" s="307"/>
      <c r="B163" s="293"/>
      <c r="C163" s="293"/>
      <c r="D163" s="293"/>
      <c r="E163" s="293"/>
      <c r="F163" s="293"/>
      <c r="G163" s="293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x14ac:dyDescent="0.2">
      <c r="A164" s="307"/>
      <c r="B164" s="293"/>
      <c r="C164" s="293"/>
      <c r="D164" s="293"/>
      <c r="E164" s="293"/>
      <c r="F164" s="293"/>
      <c r="G164" s="293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x14ac:dyDescent="0.2">
      <c r="A165" s="307"/>
      <c r="B165" s="293"/>
      <c r="C165" s="293"/>
      <c r="D165" s="293"/>
      <c r="E165" s="293"/>
      <c r="F165" s="293"/>
      <c r="G165" s="293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x14ac:dyDescent="0.2">
      <c r="A166" s="307"/>
      <c r="B166" s="293"/>
      <c r="C166" s="293"/>
      <c r="D166" s="293"/>
      <c r="E166" s="293"/>
      <c r="F166" s="293"/>
      <c r="G166" s="293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x14ac:dyDescent="0.2">
      <c r="A167" s="307"/>
      <c r="B167" s="293"/>
      <c r="C167" s="293"/>
      <c r="D167" s="293"/>
      <c r="E167" s="293"/>
      <c r="F167" s="293"/>
      <c r="G167" s="293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x14ac:dyDescent="0.2">
      <c r="A168" s="307"/>
      <c r="B168" s="293"/>
      <c r="C168" s="293"/>
      <c r="D168" s="293"/>
      <c r="E168" s="293"/>
      <c r="F168" s="293"/>
      <c r="G168" s="293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x14ac:dyDescent="0.2">
      <c r="A169" s="307"/>
      <c r="B169" s="293"/>
      <c r="C169" s="293"/>
      <c r="D169" s="293"/>
      <c r="E169" s="293"/>
      <c r="F169" s="293"/>
      <c r="G169" s="293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x14ac:dyDescent="0.2">
      <c r="A170" s="307"/>
      <c r="B170" s="293"/>
      <c r="C170" s="293"/>
      <c r="D170" s="293"/>
      <c r="E170" s="293"/>
      <c r="F170" s="293"/>
      <c r="G170" s="293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x14ac:dyDescent="0.2">
      <c r="A171" s="307"/>
      <c r="B171" s="293"/>
      <c r="C171" s="293"/>
      <c r="D171" s="293"/>
      <c r="E171" s="293"/>
      <c r="F171" s="293"/>
      <c r="G171" s="293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x14ac:dyDescent="0.2">
      <c r="A172" s="307"/>
      <c r="B172" s="293"/>
      <c r="C172" s="293"/>
      <c r="D172" s="293"/>
      <c r="E172" s="293"/>
      <c r="F172" s="293"/>
      <c r="G172" s="293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x14ac:dyDescent="0.2">
      <c r="A173" s="307"/>
      <c r="B173" s="293"/>
      <c r="C173" s="293"/>
      <c r="D173" s="293"/>
      <c r="E173" s="293"/>
      <c r="F173" s="293"/>
      <c r="G173" s="293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x14ac:dyDescent="0.2">
      <c r="A174" s="307"/>
      <c r="B174" s="293"/>
      <c r="C174" s="293"/>
      <c r="D174" s="293"/>
      <c r="E174" s="293"/>
      <c r="F174" s="293"/>
      <c r="G174" s="293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x14ac:dyDescent="0.2">
      <c r="A175" s="307"/>
      <c r="B175" s="293"/>
      <c r="C175" s="293"/>
      <c r="D175" s="293"/>
      <c r="E175" s="293"/>
      <c r="F175" s="293"/>
      <c r="G175" s="293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x14ac:dyDescent="0.2">
      <c r="A176" s="307"/>
      <c r="B176" s="293"/>
      <c r="C176" s="293"/>
      <c r="D176" s="293"/>
      <c r="E176" s="293"/>
      <c r="F176" s="293"/>
      <c r="G176" s="293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x14ac:dyDescent="0.2">
      <c r="A177" s="307"/>
      <c r="B177" s="293"/>
      <c r="C177" s="293"/>
      <c r="D177" s="293"/>
      <c r="E177" s="293"/>
      <c r="F177" s="293"/>
      <c r="G177" s="293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x14ac:dyDescent="0.2">
      <c r="A178" s="307"/>
      <c r="B178" s="293"/>
      <c r="C178" s="293"/>
      <c r="D178" s="293"/>
      <c r="E178" s="293"/>
      <c r="F178" s="293"/>
      <c r="G178" s="293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  <row r="179" spans="1:31" x14ac:dyDescent="0.2">
      <c r="A179" s="307"/>
      <c r="B179" s="293"/>
      <c r="C179" s="293"/>
      <c r="D179" s="293"/>
      <c r="E179" s="293"/>
      <c r="F179" s="293"/>
      <c r="G179" s="293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</row>
    <row r="180" spans="1:31" x14ac:dyDescent="0.2">
      <c r="A180" s="307"/>
      <c r="B180" s="293"/>
      <c r="C180" s="293"/>
      <c r="D180" s="293"/>
      <c r="E180" s="293"/>
      <c r="F180" s="293"/>
      <c r="G180" s="293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</row>
    <row r="181" spans="1:31" x14ac:dyDescent="0.2">
      <c r="A181" s="307"/>
      <c r="B181" s="293"/>
      <c r="C181" s="293"/>
      <c r="D181" s="293"/>
      <c r="E181" s="293"/>
      <c r="F181" s="293"/>
      <c r="G181" s="293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1:31" x14ac:dyDescent="0.2">
      <c r="A182" s="307"/>
      <c r="B182" s="293"/>
      <c r="C182" s="293"/>
      <c r="D182" s="293"/>
      <c r="E182" s="293"/>
      <c r="F182" s="293"/>
      <c r="G182" s="293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3" spans="1:31" x14ac:dyDescent="0.2">
      <c r="A183" s="307"/>
      <c r="B183" s="293"/>
      <c r="C183" s="293"/>
      <c r="D183" s="293"/>
      <c r="E183" s="293"/>
      <c r="F183" s="293"/>
      <c r="G183" s="293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</row>
    <row r="184" spans="1:31" x14ac:dyDescent="0.2">
      <c r="A184" s="307"/>
      <c r="B184" s="293"/>
      <c r="C184" s="293"/>
      <c r="D184" s="293"/>
      <c r="E184" s="293"/>
      <c r="F184" s="293"/>
      <c r="G184" s="293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1:31" x14ac:dyDescent="0.2">
      <c r="A185" s="307"/>
      <c r="B185" s="293"/>
      <c r="C185" s="293"/>
      <c r="D185" s="293"/>
      <c r="E185" s="293"/>
      <c r="F185" s="293"/>
      <c r="G185" s="293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86" spans="1:31" x14ac:dyDescent="0.2">
      <c r="A186" s="307"/>
      <c r="B186" s="293"/>
      <c r="C186" s="293"/>
      <c r="D186" s="293"/>
      <c r="E186" s="293"/>
      <c r="F186" s="293"/>
      <c r="G186" s="293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</row>
    <row r="187" spans="1:31" x14ac:dyDescent="0.2">
      <c r="A187" s="307"/>
      <c r="B187" s="293"/>
      <c r="C187" s="293"/>
      <c r="D187" s="293"/>
      <c r="E187" s="293"/>
      <c r="F187" s="293"/>
      <c r="G187" s="293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1:31" x14ac:dyDescent="0.2">
      <c r="A188" s="307"/>
      <c r="B188" s="293"/>
      <c r="C188" s="293"/>
      <c r="D188" s="293"/>
      <c r="E188" s="293"/>
      <c r="F188" s="293"/>
      <c r="G188" s="293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1:31" x14ac:dyDescent="0.2">
      <c r="A189" s="307"/>
      <c r="B189" s="293"/>
      <c r="C189" s="293"/>
      <c r="D189" s="293"/>
      <c r="E189" s="293"/>
      <c r="F189" s="293"/>
      <c r="G189" s="293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1:31" x14ac:dyDescent="0.2">
      <c r="A190" s="307"/>
      <c r="B190" s="293"/>
      <c r="C190" s="293"/>
      <c r="D190" s="293"/>
      <c r="E190" s="293"/>
      <c r="F190" s="293"/>
      <c r="G190" s="293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1:3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1:3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1:3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3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5" spans="1:3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1:3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</row>
    <row r="197" spans="1:3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</row>
    <row r="198" spans="1:3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1:3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1:3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1:3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1:3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1:3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1:3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1:3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1:3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1:3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1:3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1:3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1:3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1:3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2" spans="1:3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1:3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1:3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</row>
    <row r="215" spans="1:3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1:3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7" spans="1:3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</row>
    <row r="218" spans="1:3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1:3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0" spans="1:3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</row>
    <row r="221" spans="1:3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</row>
    <row r="222" spans="1:3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</row>
    <row r="223" spans="1:3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</row>
    <row r="224" spans="1:3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</row>
    <row r="225" spans="1:3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</row>
    <row r="226" spans="1:3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</row>
    <row r="227" spans="1:3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</row>
    <row r="228" spans="1:3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</row>
    <row r="229" spans="1:3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</row>
    <row r="230" spans="1:3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</row>
    <row r="231" spans="1:3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</row>
    <row r="232" spans="1:3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</row>
    <row r="233" spans="1:3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  <row r="234" spans="1:3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</row>
    <row r="235" spans="1:3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</row>
    <row r="236" spans="1:3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37" spans="1:3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</row>
    <row r="238" spans="1:3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</row>
    <row r="239" spans="1:3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</row>
    <row r="240" spans="1:3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</row>
    <row r="241" spans="1:3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</row>
    <row r="242" spans="1:3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</row>
    <row r="243" spans="1:3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</row>
    <row r="244" spans="1:3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</row>
    <row r="245" spans="1:3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6" spans="1:3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</row>
    <row r="247" spans="1:3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</row>
    <row r="248" spans="1:3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</row>
    <row r="249" spans="1:3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</row>
    <row r="250" spans="1:3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</row>
    <row r="251" spans="1:3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</row>
    <row r="252" spans="1:3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1:3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54" spans="1:3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</row>
    <row r="255" spans="1:3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1:3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</row>
    <row r="257" spans="1:3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  <row r="258" spans="1:3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</row>
    <row r="259" spans="1:3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</row>
    <row r="260" spans="1:3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</row>
    <row r="261" spans="1:3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</row>
    <row r="262" spans="1:3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3" spans="1:3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</row>
    <row r="264" spans="1:3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</row>
    <row r="265" spans="1:3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</row>
    <row r="266" spans="1:3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</row>
    <row r="267" spans="1:3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</row>
    <row r="268" spans="1:3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</row>
    <row r="269" spans="1:3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</row>
    <row r="270" spans="1:3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</row>
    <row r="271" spans="1:3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</row>
    <row r="272" spans="1:3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</row>
    <row r="273" spans="1:3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</row>
    <row r="274" spans="1:3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spans="1:3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</row>
    <row r="276" spans="1:3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</row>
    <row r="277" spans="1:3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</row>
    <row r="278" spans="1:3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</row>
    <row r="279" spans="1:3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0" spans="1:3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</row>
    <row r="281" spans="1:3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</row>
    <row r="282" spans="1:3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</row>
    <row r="283" spans="1:3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</row>
    <row r="284" spans="1:3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</row>
    <row r="285" spans="1:3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</row>
    <row r="286" spans="1:3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</row>
    <row r="287" spans="1:3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</row>
    <row r="288" spans="1:3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</row>
    <row r="289" spans="1:3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</row>
    <row r="290" spans="1:3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</row>
    <row r="291" spans="1:3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1:3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</row>
    <row r="293" spans="1:3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</row>
    <row r="294" spans="1:3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</row>
    <row r="295" spans="1:3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</row>
    <row r="296" spans="1:3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297" spans="1:3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</row>
    <row r="298" spans="1:3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</row>
    <row r="299" spans="1:3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</row>
    <row r="300" spans="1:3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1:3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</row>
    <row r="302" spans="1:3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</row>
    <row r="303" spans="1:3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</row>
    <row r="304" spans="1:3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</row>
    <row r="305" spans="1:3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</row>
    <row r="306" spans="1:3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</row>
    <row r="307" spans="1:3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</row>
    <row r="308" spans="1:3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</row>
    <row r="309" spans="1:3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</row>
    <row r="310" spans="1:3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</row>
    <row r="311" spans="1:3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</row>
    <row r="312" spans="1:3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</row>
    <row r="313" spans="1:3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</row>
    <row r="314" spans="1:3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</row>
    <row r="315" spans="1:3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</row>
    <row r="316" spans="1:3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</row>
    <row r="317" spans="1:3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</row>
    <row r="318" spans="1:3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</row>
    <row r="319" spans="1:3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</row>
    <row r="320" spans="1:3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</row>
    <row r="321" spans="1:3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</row>
    <row r="322" spans="1:3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</row>
    <row r="323" spans="1:3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</row>
    <row r="324" spans="1:3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</row>
    <row r="325" spans="1:3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</row>
    <row r="326" spans="1:31" s="25" customFormat="1" x14ac:dyDescent="0.2"/>
    <row r="327" spans="1:31" s="25" customFormat="1" x14ac:dyDescent="0.2"/>
    <row r="328" spans="1:31" s="25" customFormat="1" x14ac:dyDescent="0.2"/>
    <row r="329" spans="1:31" s="25" customFormat="1" x14ac:dyDescent="0.2"/>
    <row r="330" spans="1:31" s="25" customFormat="1" x14ac:dyDescent="0.2"/>
    <row r="331" spans="1:31" s="25" customFormat="1" x14ac:dyDescent="0.2"/>
    <row r="332" spans="1:31" s="25" customFormat="1" x14ac:dyDescent="0.2"/>
    <row r="333" spans="1:31" s="25" customFormat="1" x14ac:dyDescent="0.2"/>
    <row r="334" spans="1:31" s="25" customFormat="1" x14ac:dyDescent="0.2"/>
    <row r="335" spans="1:31" s="25" customFormat="1" x14ac:dyDescent="0.2"/>
    <row r="336" spans="1:31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</sheetData>
  <mergeCells count="39">
    <mergeCell ref="H32:I33"/>
    <mergeCell ref="A102:B102"/>
    <mergeCell ref="A88:B88"/>
    <mergeCell ref="A91:B91"/>
    <mergeCell ref="A93:B93"/>
    <mergeCell ref="A96:B96"/>
    <mergeCell ref="A5:A7"/>
    <mergeCell ref="B5:C6"/>
    <mergeCell ref="D5:G5"/>
    <mergeCell ref="H5:I6"/>
    <mergeCell ref="J5:J7"/>
    <mergeCell ref="D6:E6"/>
    <mergeCell ref="F6:G6"/>
    <mergeCell ref="A28:I28"/>
    <mergeCell ref="K58:P58"/>
    <mergeCell ref="E59:G59"/>
    <mergeCell ref="H59:J59"/>
    <mergeCell ref="K59:M59"/>
    <mergeCell ref="N59:P59"/>
    <mergeCell ref="A58:A60"/>
    <mergeCell ref="B58:D59"/>
    <mergeCell ref="E58:J58"/>
    <mergeCell ref="A55:I55"/>
    <mergeCell ref="J32:J34"/>
    <mergeCell ref="D33:E33"/>
    <mergeCell ref="F33:G33"/>
    <mergeCell ref="A32:A34"/>
    <mergeCell ref="B32:C33"/>
    <mergeCell ref="D32:G32"/>
    <mergeCell ref="E152:G152"/>
    <mergeCell ref="A118:B118"/>
    <mergeCell ref="A98:B98"/>
    <mergeCell ref="A104:B104"/>
    <mergeCell ref="A108:B108"/>
    <mergeCell ref="A152:A153"/>
    <mergeCell ref="B152:D152"/>
    <mergeCell ref="A110:B110"/>
    <mergeCell ref="A115:B115"/>
    <mergeCell ref="A113:B113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Summary</vt:lpstr>
      <vt:lpstr>Summary Table</vt:lpstr>
      <vt:lpstr>NPV</vt:lpstr>
      <vt:lpstr>Costs</vt:lpstr>
      <vt:lpstr>O&amp;M</vt:lpstr>
      <vt:lpstr>Flood Damage</vt:lpstr>
      <vt:lpstr>Flood_Safety</vt:lpstr>
      <vt:lpstr>Flood_Env_Prot</vt:lpstr>
      <vt:lpstr>Flood_Travel_Time</vt:lpstr>
      <vt:lpstr>Loss of Use</vt:lpstr>
      <vt:lpstr>LoU_Safety</vt:lpstr>
      <vt:lpstr>LoU_Env_Prot</vt:lpstr>
      <vt:lpstr>LoU_Econ</vt:lpstr>
      <vt:lpstr>Ton-miles</vt:lpstr>
      <vt:lpstr>Flood_Travel_Time!Print_Area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Eric Strack</cp:lastModifiedBy>
  <cp:lastPrinted>2020-05-13T13:16:37Z</cp:lastPrinted>
  <dcterms:created xsi:type="dcterms:W3CDTF">2011-10-18T15:31:40Z</dcterms:created>
  <dcterms:modified xsi:type="dcterms:W3CDTF">2021-07-09T15:47:38Z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m_Crash_Cost" linkTarget="Prop_Dam_Crash_Cost">
    <vt:lpwstr>#REF!</vt:lpwstr>
  </property>
</Properties>
</file>