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cow00\jobs1\75808\TaskOrder7\Planning\Documents\2022_MPDG_Grants\US-412\BCA\"/>
    </mc:Choice>
  </mc:AlternateContent>
  <xr:revisionPtr revIDLastSave="0" documentId="13_ncr:1_{08E50F66-2F99-4327-B845-6A8014963F27}" xr6:coauthVersionLast="47" xr6:coauthVersionMax="47" xr10:uidLastSave="{00000000-0000-0000-0000-000000000000}"/>
  <bookViews>
    <workbookView xWindow="-28920" yWindow="1785" windowWidth="29040" windowHeight="15840" xr2:uid="{F666AE40-716F-49C2-8888-FBA016C3CD92}"/>
  </bookViews>
  <sheets>
    <sheet name="Summary" sheetId="12" r:id="rId1"/>
    <sheet name="Summary Table" sheetId="41" r:id="rId2"/>
    <sheet name="NPV" sheetId="5" r:id="rId3"/>
    <sheet name="Costs" sheetId="27" r:id="rId4"/>
    <sheet name="Maintenance" sheetId="49" r:id="rId5"/>
    <sheet name="Safety" sheetId="21" r:id="rId6"/>
    <sheet name="Travel Time" sheetId="51" r:id="rId7"/>
    <sheet name="Environmental Protection" sheetId="47" r:id="rId8"/>
  </sheets>
  <externalReferences>
    <externalReference r:id="rId9"/>
    <externalReference r:id="rId10"/>
    <externalReference r:id="rId11"/>
  </externalReferences>
  <definedNames>
    <definedName name="Annual_Traffic_Growth_Rate">'[1]START Assumptions'!$B$39</definedName>
    <definedName name="Auto_Occ" localSheetId="4">'[1]START Assumptions'!#REF!</definedName>
    <definedName name="Auto_Occ" localSheetId="6">'[1]START Assumptions'!#REF!</definedName>
    <definedName name="Auto_Occ">'[1]START Assumptions'!#REF!</definedName>
    <definedName name="Auto_Op_Cost">'[1]START Assumptions'!$B$37</definedName>
    <definedName name="Ave_Fatal_Cost" localSheetId="4">'[1]START Assumptions'!#REF!</definedName>
    <definedName name="Ave_Fatal_Cost" localSheetId="6">'[1]START Assumptions'!#REF!</definedName>
    <definedName name="Ave_Fatal_Cost">'[1]START Assumptions'!#REF!</definedName>
    <definedName name="Ave_PD_Cost" localSheetId="4">'[1]START Assumptions'!#REF!</definedName>
    <definedName name="Ave_PD_Cost" localSheetId="6">'[1]START Assumptions'!#REF!</definedName>
    <definedName name="Ave_PD_Cost">'[1]START Assumptions'!#REF!</definedName>
    <definedName name="Ave_Type_A_Cost" localSheetId="4">'[1]START Assumptions'!#REF!</definedName>
    <definedName name="Ave_Type_A_Cost">'[1]START Assumptions'!#REF!</definedName>
    <definedName name="Ave_Type_B_Cost" localSheetId="4">'[1]START Assumptions'!#REF!</definedName>
    <definedName name="Ave_Type_B_Cost">'[1]START Assumptions'!#REF!</definedName>
    <definedName name="Ave_Type_C_Cost" localSheetId="4">'[1]START Assumptions'!#REF!</definedName>
    <definedName name="Ave_Type_C_Cost">'[1]START Assumptions'!#REF!</definedName>
    <definedName name="Ave_Type_Fatal_Cost" localSheetId="4">'[1]START Assumptions'!#REF!</definedName>
    <definedName name="Ave_Type_Fatal_Cost">'[1]START Assumptions'!#REF!</definedName>
    <definedName name="Ave_Type_PD_Cost" localSheetId="4">'[1]START Assumptions'!#REF!</definedName>
    <definedName name="Ave_Type_PD_Cost">'[1]START Assumptions'!#REF!</definedName>
    <definedName name="Avg_Crash_Cost" localSheetId="4">'[1]START Assumptions'!#REF!</definedName>
    <definedName name="Avg_Crash_Cost">'[1]START Assumptions'!#REF!</definedName>
    <definedName name="Base_Year">'[1]START Assumptions'!$B$31</definedName>
    <definedName name="Base_Year_Traffic" localSheetId="4">'[1]START Assumptions'!#REF!</definedName>
    <definedName name="Base_Year_Traffic" localSheetId="6">'[1]START Assumptions'!#REF!</definedName>
    <definedName name="Base_Year_Traffic">'[1]START Assumptions'!#REF!</definedName>
    <definedName name="Benefit_Period">'[1]START Assumptions'!$B$33</definedName>
    <definedName name="CIP" localSheetId="7">#REF!</definedName>
    <definedName name="CIP" localSheetId="4">#REF!</definedName>
    <definedName name="CIP" localSheetId="1">#REF!</definedName>
    <definedName name="CIP" localSheetId="6">#REF!</definedName>
    <definedName name="CIP">#REF!</definedName>
    <definedName name="Const_Comp_Year">'[1]START Assumptions'!$B$32</definedName>
    <definedName name="Crash_Rate_AC" localSheetId="4">'[1]START Assumptions'!#REF!</definedName>
    <definedName name="Crash_Rate_AC" localSheetId="6">'[1]START Assumptions'!#REF!</definedName>
    <definedName name="Crash_Rate_AC">'[1]START Assumptions'!#REF!</definedName>
    <definedName name="Crash_Rate_BC" localSheetId="4">'[1]START Assumptions'!#REF!</definedName>
    <definedName name="Crash_Rate_BC" localSheetId="6">'[1]START Assumptions'!#REF!</definedName>
    <definedName name="Crash_Rate_BC">'[1]START Assumptions'!#REF!</definedName>
    <definedName name="dblStack">'[2]Tunnel Capacity'!$C$6</definedName>
    <definedName name="Discount_Rate">'[1]START Assumptions'!$B$35</definedName>
    <definedName name="domstackRate">'[2]Tunnel Capacity'!$C$4</definedName>
    <definedName name="Fatal_Crash_Cost" localSheetId="4">'[1]START Assumptions'!#REF!</definedName>
    <definedName name="Fatal_Crash_Cost" localSheetId="6">'[1]START Assumptions'!#REF!</definedName>
    <definedName name="Fatal_Crash_Cost">'[1]START Assumptions'!#REF!</definedName>
    <definedName name="Fatal_Crash_Rate_AC" localSheetId="4">'[1]START Assumptions'!#REF!</definedName>
    <definedName name="Fatal_Crash_Rate_AC" localSheetId="6">'[1]START Assumptions'!#REF!</definedName>
    <definedName name="Fatal_Crash_Rate_AC">'[1]START Assumptions'!#REF!</definedName>
    <definedName name="Fatal_Crash_Rate_BC" localSheetId="4">'[1]START Assumptions'!#REF!</definedName>
    <definedName name="Fatal_Crash_Rate_BC">'[1]START Assumptions'!#REF!</definedName>
    <definedName name="HCV_Cost_Op" localSheetId="4">'[1]START Assumptions'!#REF!</definedName>
    <definedName name="HCV_Cost_Op">'[1]START Assumptions'!#REF!</definedName>
    <definedName name="HCV_Density_AC" localSheetId="4">'[1]START Assumptions'!#REF!</definedName>
    <definedName name="HCV_Density_AC">'[1]START Assumptions'!#REF!</definedName>
    <definedName name="HCV_Density_BC" localSheetId="4">'[1]START Assumptions'!#REF!</definedName>
    <definedName name="HCV_Density_BC">'[1]START Assumptions'!#REF!</definedName>
    <definedName name="HCV_Occ" localSheetId="4">'[1]START Assumptions'!#REF!</definedName>
    <definedName name="HCV_Occ">'[1]START Assumptions'!#REF!</definedName>
    <definedName name="HCV_Value_of_Time" localSheetId="4">'[1]START Assumptions'!#REF!</definedName>
    <definedName name="HCV_Value_of_Time">'[1]START Assumptions'!#REF!</definedName>
    <definedName name="Injury_Crash_Cost" localSheetId="4">'[1]START Assumptions'!#REF!</definedName>
    <definedName name="Injury_Crash_Cost">'[1]START Assumptions'!#REF!</definedName>
    <definedName name="Injury_Crash_Rate_AC" localSheetId="4">'[1]START Assumptions'!#REF!</definedName>
    <definedName name="Injury_Crash_Rate_AC">'[1]START Assumptions'!#REF!</definedName>
    <definedName name="Injury_Crash_Rate_BC" localSheetId="4">'[1]START Assumptions'!#REF!</definedName>
    <definedName name="Injury_Crash_Rate_BC">'[1]START Assumptions'!#REF!</definedName>
    <definedName name="intlstackRate">'[2]Tunnel Capacity'!$C$3</definedName>
    <definedName name="Length_AC" localSheetId="4">'[1]START Assumptions'!#REF!</definedName>
    <definedName name="Length_AC" localSheetId="6">'[1]START Assumptions'!#REF!</definedName>
    <definedName name="Length_AC">'[1]START Assumptions'!#REF!</definedName>
    <definedName name="Length_BC" localSheetId="4">'[1]START Assumptions'!#REF!</definedName>
    <definedName name="Length_BC" localSheetId="6">'[1]START Assumptions'!#REF!</definedName>
    <definedName name="Length_BC">'[1]START Assumptions'!#REF!</definedName>
    <definedName name="List">'[3]NEW ROAD'!$A$2:$A$19</definedName>
    <definedName name="maxLength">'[2]Tunnel Capacity'!$C$2</definedName>
    <definedName name="NEW">'[3]NEW ROAD'!$A$4:$A$5</definedName>
    <definedName name="NPV_Costs">'[1]START Costs'!$I$5</definedName>
    <definedName name="NPV_Distance" localSheetId="4">'[1]START Distance Benefit'!#REF!</definedName>
    <definedName name="NPV_Distance" localSheetId="6">'[1]START Distance Benefit'!#REF!</definedName>
    <definedName name="NPV_Distance">'[1]START Distance Benefit'!#REF!</definedName>
    <definedName name="NPV_maint">'[1]START Costs'!$L$5</definedName>
    <definedName name="NPV_Safety" localSheetId="4">#REF!</definedName>
    <definedName name="NPV_Safety" localSheetId="6">#REF!</definedName>
    <definedName name="NPV_Safety">#REF!</definedName>
    <definedName name="NPV_Time" localSheetId="4">#REF!</definedName>
    <definedName name="NPV_Time">#REF!</definedName>
    <definedName name="PD_Crash_Cost" localSheetId="4">'[1]START Assumptions'!#REF!</definedName>
    <definedName name="PD_Crash_Cost" localSheetId="6">'[1]START Assumptions'!#REF!</definedName>
    <definedName name="PD_Crash_Cost">'[1]START Assumptions'!#REF!</definedName>
    <definedName name="PD_Crash_Rate_AC" localSheetId="4">'[1]START Assumptions'!#REF!</definedName>
    <definedName name="PD_Crash_Rate_AC" localSheetId="6">'[1]START Assumptions'!#REF!</definedName>
    <definedName name="PD_Crash_Rate_AC">'[1]START Assumptions'!#REF!</definedName>
    <definedName name="PD_Crash_Rate_BC" localSheetId="4">'[1]START Assumptions'!#REF!</definedName>
    <definedName name="PD_Crash_Rate_BC">'[1]START Assumptions'!#REF!</definedName>
    <definedName name="_xlnm.Print_Area" localSheetId="3">Costs!$A$2:$I$42</definedName>
    <definedName name="_xlnm.Print_Area" localSheetId="7">'Environmental Protection'!$A$6:$P$66</definedName>
    <definedName name="_xlnm.Print_Area" localSheetId="4">Maintenance!$A$5:$H$30</definedName>
    <definedName name="_xlnm.Print_Area" localSheetId="2">NPV!$A$1:$C$43</definedName>
    <definedName name="_xlnm.Print_Area" localSheetId="5">Safety!$A$1:$U$128,Safety!#REF!</definedName>
    <definedName name="_xlnm.Print_Area" localSheetId="0">Summary!$B$2:$H$3</definedName>
    <definedName name="_xlnm.Print_Area" localSheetId="1">'Summary Table'!$A$1:$H$42</definedName>
    <definedName name="_xlnm.Print_Area" localSheetId="6">'Travel Time'!$A$64:$P$92,'Travel Time'!$A$132:$M$137</definedName>
    <definedName name="printa" localSheetId="7">#REF!</definedName>
    <definedName name="printa" localSheetId="4">#REF!</definedName>
    <definedName name="printa" localSheetId="1">#REF!</definedName>
    <definedName name="printa" localSheetId="6">#REF!</definedName>
    <definedName name="printa">#REF!</definedName>
    <definedName name="Prop_Dam_Crash_Cost" localSheetId="4">'[1]START Assumptions'!#REF!</definedName>
    <definedName name="Prop_Dam_Crash_Cost" localSheetId="6">'[1]START Assumptions'!#REF!</definedName>
    <definedName name="Prop_Dam_Crash_Cost">'[1]START Assumptions'!#REF!</definedName>
    <definedName name="singleStack">'[2]Tunnel Capacity'!$C$5</definedName>
    <definedName name="Speed_AC" localSheetId="4">'[1]START Assumptions'!#REF!</definedName>
    <definedName name="Speed_AC" localSheetId="6">'[1]START Assumptions'!#REF!</definedName>
    <definedName name="Speed_AC">'[1]START Assumptions'!#REF!</definedName>
    <definedName name="Speed_BC" localSheetId="4">'[1]START Assumptions'!#REF!</definedName>
    <definedName name="Speed_BC" localSheetId="6">'[1]START Assumptions'!#REF!</definedName>
    <definedName name="Speed_BC">'[1]START Assumptions'!#REF!</definedName>
    <definedName name="Type_A_Crash_Rate_AC" localSheetId="4">'[1]START Assumptions'!#REF!</definedName>
    <definedName name="Type_A_Crash_Rate_AC">'[1]START Assumptions'!#REF!</definedName>
    <definedName name="Type_A_Crash_Rate_BC" localSheetId="4">'[1]START Assumptions'!#REF!</definedName>
    <definedName name="Type_A_Crash_Rate_BC">'[1]START Assumptions'!#REF!</definedName>
    <definedName name="Type_B_Crash_Rate_AC" localSheetId="4">'[1]START Assumptions'!#REF!</definedName>
    <definedName name="Type_B_Crash_Rate_AC">'[1]START Assumptions'!#REF!</definedName>
    <definedName name="Type_B_Crash_Rate_BC" localSheetId="4">'[1]START Assumptions'!#REF!</definedName>
    <definedName name="Type_B_Crash_Rate_BC">'[1]START Assumptions'!#REF!</definedName>
    <definedName name="Type_C_Crash_Rate_AC" localSheetId="4">'[1]START Assumptions'!#REF!</definedName>
    <definedName name="Type_C_Crash_Rate_AC">'[1]START Assumptions'!#REF!</definedName>
    <definedName name="Type_C_Crash_Rate_BC" localSheetId="4">'[1]START Assumptions'!#REF!</definedName>
    <definedName name="Type_C_Crash_Rate_BC">'[1]START Assumptions'!#REF!</definedName>
    <definedName name="Type_Fatal_Crash_Rate_AC" localSheetId="4">'[1]START Assumptions'!#REF!</definedName>
    <definedName name="Type_Fatal_Crash_Rate_AC">'[1]START Assumptions'!#REF!</definedName>
    <definedName name="Type_Fatal_Crash_Rate_BC" localSheetId="4">'[1]START Assumptions'!#REF!</definedName>
    <definedName name="Type_Fatal_Crash_Rate_BC">'[1]START Assumptions'!#REF!</definedName>
    <definedName name="Type_PD_Crash_Rate_AC" localSheetId="4">'[1]START Assumptions'!#REF!</definedName>
    <definedName name="Type_PD_Crash_Rate_AC">'[1]START Assumptions'!#REF!</definedName>
    <definedName name="Type_PD_Crash_Rate_BC" localSheetId="4">'[1]START Assumptions'!#REF!</definedName>
    <definedName name="Type_PD_Crash_Rate_BC">'[1]START Assumptions'!#REF!</definedName>
    <definedName name="Version2" localSheetId="7">#REF!</definedName>
    <definedName name="Version2" localSheetId="4">#REF!</definedName>
    <definedName name="Version2" localSheetId="1">#REF!</definedName>
    <definedName name="Version2" localSheetId="6">#REF!</definedName>
    <definedName name="Version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D10" i="21"/>
  <c r="C4" i="27"/>
  <c r="F87" i="21"/>
  <c r="C125" i="21"/>
  <c r="D125" i="21"/>
  <c r="B125" i="21"/>
  <c r="B104" i="21"/>
  <c r="C8" i="49"/>
  <c r="B8" i="49"/>
  <c r="C3" i="27"/>
  <c r="B103" i="21"/>
  <c r="B102" i="21"/>
  <c r="B116" i="51"/>
  <c r="B117" i="51" s="1"/>
  <c r="E107" i="51" s="1"/>
  <c r="E106" i="51" s="1"/>
  <c r="B102" i="51"/>
  <c r="B103" i="51" s="1"/>
  <c r="B110" i="51"/>
  <c r="B111" i="51" s="1"/>
  <c r="B125" i="51"/>
  <c r="E102" i="51"/>
  <c r="D102" i="51"/>
  <c r="C102" i="51"/>
  <c r="C103" i="51" s="1"/>
  <c r="E110" i="51"/>
  <c r="E111" i="51" s="1"/>
  <c r="B13" i="49"/>
  <c r="C13" i="49"/>
  <c r="B14" i="49"/>
  <c r="C14" i="49"/>
  <c r="D14" i="49" s="1"/>
  <c r="I27" i="41" s="1"/>
  <c r="B15" i="49"/>
  <c r="C15" i="49"/>
  <c r="D15" i="49" s="1"/>
  <c r="I28" i="41" s="1"/>
  <c r="B16" i="49"/>
  <c r="C16" i="49"/>
  <c r="D16" i="49" s="1"/>
  <c r="I29" i="41" s="1"/>
  <c r="B17" i="49"/>
  <c r="C17" i="49"/>
  <c r="D17" i="49" s="1"/>
  <c r="I30" i="41" s="1"/>
  <c r="B18" i="49"/>
  <c r="C18" i="49"/>
  <c r="B19" i="49"/>
  <c r="C19" i="49"/>
  <c r="B20" i="49"/>
  <c r="C20" i="49"/>
  <c r="B21" i="49"/>
  <c r="C21" i="49"/>
  <c r="B22" i="49"/>
  <c r="C22" i="49"/>
  <c r="D22" i="49" s="1"/>
  <c r="I35" i="41" s="1"/>
  <c r="B23" i="49"/>
  <c r="C23" i="49"/>
  <c r="D23" i="49" s="1"/>
  <c r="I36" i="41" s="1"/>
  <c r="B24" i="49"/>
  <c r="C24" i="49"/>
  <c r="B25" i="49"/>
  <c r="C25" i="49"/>
  <c r="D25" i="49" s="1"/>
  <c r="I38" i="41" s="1"/>
  <c r="B26" i="49"/>
  <c r="C26" i="49"/>
  <c r="D26" i="49" s="1"/>
  <c r="I39" i="41" s="1"/>
  <c r="B27" i="49"/>
  <c r="C27" i="49"/>
  <c r="D27" i="49" s="1"/>
  <c r="I40" i="41" s="1"/>
  <c r="C9" i="49"/>
  <c r="C10" i="49"/>
  <c r="C11" i="49"/>
  <c r="C12" i="49"/>
  <c r="D24" i="49"/>
  <c r="I37" i="41" s="1"/>
  <c r="B9" i="49"/>
  <c r="B10" i="49"/>
  <c r="B11" i="49"/>
  <c r="B12" i="49"/>
  <c r="E55" i="49"/>
  <c r="D36" i="49"/>
  <c r="D37" i="49" s="1"/>
  <c r="D38" i="49" s="1"/>
  <c r="D39" i="49" s="1"/>
  <c r="D40" i="49" s="1"/>
  <c r="D41" i="49" s="1"/>
  <c r="D42" i="49" s="1"/>
  <c r="D43" i="49" s="1"/>
  <c r="D44" i="49" s="1"/>
  <c r="D45" i="49" s="1"/>
  <c r="D46" i="49" s="1"/>
  <c r="D47" i="49" s="1"/>
  <c r="D48" i="49" s="1"/>
  <c r="D49" i="49" s="1"/>
  <c r="D50" i="49" s="1"/>
  <c r="D51" i="49" s="1"/>
  <c r="D52" i="49" s="1"/>
  <c r="D53" i="49" s="1"/>
  <c r="D54" i="49" s="1"/>
  <c r="A36" i="49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3" i="49" s="1"/>
  <c r="A54" i="49" s="1"/>
  <c r="B55" i="49"/>
  <c r="D8" i="49" l="1"/>
  <c r="E8" i="49" s="1"/>
  <c r="F12" i="27"/>
  <c r="D19" i="49"/>
  <c r="I32" i="41" s="1"/>
  <c r="D12" i="49"/>
  <c r="I25" i="41" s="1"/>
  <c r="D11" i="49"/>
  <c r="I24" i="41" s="1"/>
  <c r="D10" i="49"/>
  <c r="I23" i="41" s="1"/>
  <c r="D21" i="49"/>
  <c r="I34" i="41" s="1"/>
  <c r="D18" i="49"/>
  <c r="I31" i="41" s="1"/>
  <c r="D9" i="49"/>
  <c r="I22" i="41" s="1"/>
  <c r="D20" i="49"/>
  <c r="I33" i="41" s="1"/>
  <c r="D13" i="49"/>
  <c r="I26" i="41" s="1"/>
  <c r="B28" i="49"/>
  <c r="I21" i="41" l="1"/>
  <c r="I41" i="41" s="1"/>
  <c r="H66" i="21" l="1"/>
  <c r="U12" i="41" l="1"/>
  <c r="U13" i="41"/>
  <c r="U16" i="41"/>
  <c r="U17" i="41"/>
  <c r="U18" i="41"/>
  <c r="D4" i="5" l="1"/>
  <c r="D3" i="5" l="1"/>
  <c r="U14" i="41" l="1"/>
  <c r="U15" i="41"/>
  <c r="D76" i="21" l="1"/>
  <c r="D75" i="21"/>
  <c r="C76" i="21"/>
  <c r="C75" i="21"/>
  <c r="A40" i="51"/>
  <c r="A42" i="51" s="1"/>
  <c r="A43" i="51" s="1"/>
  <c r="A12" i="51"/>
  <c r="M38" i="21" l="1"/>
  <c r="H74" i="21"/>
  <c r="H72" i="21"/>
  <c r="H70" i="21"/>
  <c r="H68" i="21"/>
  <c r="H65" i="21"/>
  <c r="G76" i="21"/>
  <c r="F76" i="21"/>
  <c r="E76" i="21"/>
  <c r="H76" i="21" l="1"/>
  <c r="A14" i="51"/>
  <c r="I76" i="21" l="1"/>
  <c r="I66" i="21"/>
  <c r="I70" i="21"/>
  <c r="I72" i="21"/>
  <c r="I68" i="21"/>
  <c r="I74" i="21"/>
  <c r="A15" i="51"/>
  <c r="A16" i="51" l="1"/>
  <c r="A17" i="51" l="1"/>
  <c r="C12" i="41"/>
  <c r="A18" i="51" l="1"/>
  <c r="A19" i="51" l="1"/>
  <c r="G33" i="27" l="1"/>
  <c r="F34" i="27"/>
  <c r="F10" i="27"/>
  <c r="F9" i="27"/>
  <c r="F8" i="27"/>
  <c r="F13" i="27"/>
  <c r="F11" i="27"/>
  <c r="F7" i="27"/>
  <c r="A20" i="51"/>
  <c r="D3" i="12"/>
  <c r="U40" i="41" l="1"/>
  <c r="A21" i="51"/>
  <c r="D43" i="5"/>
  <c r="A22" i="51" l="1"/>
  <c r="A23" i="51" l="1"/>
  <c r="C125" i="51"/>
  <c r="A24" i="51" l="1"/>
  <c r="A25" i="51" l="1"/>
  <c r="A26" i="51" l="1"/>
  <c r="D110" i="51"/>
  <c r="D111" i="51" s="1"/>
  <c r="D107" i="51"/>
  <c r="D106" i="51" s="1"/>
  <c r="C110" i="51"/>
  <c r="C111" i="51" s="1"/>
  <c r="F106" i="51" s="1"/>
  <c r="C107" i="51"/>
  <c r="C106" i="51" s="1"/>
  <c r="B107" i="51"/>
  <c r="B106" i="51" s="1"/>
  <c r="E103" i="51"/>
  <c r="D103" i="51"/>
  <c r="E99" i="51"/>
  <c r="E98" i="51" s="1"/>
  <c r="D99" i="51"/>
  <c r="D98" i="51" s="1"/>
  <c r="C99" i="51"/>
  <c r="C98" i="51" s="1"/>
  <c r="B99" i="51"/>
  <c r="B98" i="51" s="1"/>
  <c r="A67" i="51"/>
  <c r="A68" i="51" s="1"/>
  <c r="A69" i="51" s="1"/>
  <c r="A70" i="51" s="1"/>
  <c r="A71" i="51" s="1"/>
  <c r="A72" i="51" s="1"/>
  <c r="A44" i="51"/>
  <c r="A45" i="51" s="1"/>
  <c r="A46" i="51" s="1"/>
  <c r="A47" i="51" s="1"/>
  <c r="A48" i="51" s="1"/>
  <c r="A49" i="51" s="1"/>
  <c r="A50" i="51" s="1"/>
  <c r="A51" i="51" s="1"/>
  <c r="A52" i="51" s="1"/>
  <c r="A53" i="51" s="1"/>
  <c r="A54" i="51" s="1"/>
  <c r="A55" i="51" s="1"/>
  <c r="A56" i="51" s="1"/>
  <c r="A57" i="51" s="1"/>
  <c r="A58" i="51" s="1"/>
  <c r="A59" i="51" s="1"/>
  <c r="A60" i="51" s="1"/>
  <c r="F98" i="51" l="1"/>
  <c r="B66" i="51" s="1"/>
  <c r="B117" i="21" s="1"/>
  <c r="A73" i="51"/>
  <c r="A74" i="51" s="1"/>
  <c r="A75" i="51" s="1"/>
  <c r="A27" i="51"/>
  <c r="B115" i="51" l="1"/>
  <c r="E75" i="51" s="1"/>
  <c r="N42" i="21" s="1"/>
  <c r="C66" i="51"/>
  <c r="D66" i="51" s="1"/>
  <c r="A76" i="51"/>
  <c r="A28" i="51"/>
  <c r="E76" i="51" l="1"/>
  <c r="N43" i="21" s="1"/>
  <c r="E74" i="51"/>
  <c r="N41" i="21" s="1"/>
  <c r="B118" i="21"/>
  <c r="B116" i="21" s="1"/>
  <c r="E71" i="51"/>
  <c r="E73" i="51"/>
  <c r="N40" i="21" s="1"/>
  <c r="B68" i="51"/>
  <c r="E72" i="51"/>
  <c r="N39" i="21" s="1"/>
  <c r="I71" i="51"/>
  <c r="L71" i="51" s="1"/>
  <c r="M71" i="51" s="1"/>
  <c r="F71" i="51"/>
  <c r="B73" i="51"/>
  <c r="B71" i="51"/>
  <c r="B114" i="21"/>
  <c r="B75" i="51"/>
  <c r="B74" i="51"/>
  <c r="B69" i="51"/>
  <c r="B67" i="51"/>
  <c r="A77" i="51"/>
  <c r="E77" i="51" s="1"/>
  <c r="N44" i="21" s="1"/>
  <c r="B76" i="51"/>
  <c r="A29" i="51"/>
  <c r="N38" i="21" l="1"/>
  <c r="O71" i="51"/>
  <c r="N71" i="51"/>
  <c r="H71" i="51"/>
  <c r="N76" i="51"/>
  <c r="H76" i="51"/>
  <c r="J76" i="51" s="1"/>
  <c r="K76" i="51" s="1"/>
  <c r="N75" i="51"/>
  <c r="H75" i="51"/>
  <c r="J75" i="51" s="1"/>
  <c r="K75" i="51" s="1"/>
  <c r="N74" i="51"/>
  <c r="H74" i="51"/>
  <c r="J74" i="51" s="1"/>
  <c r="K74" i="51" s="1"/>
  <c r="C73" i="51"/>
  <c r="D73" i="51" s="1"/>
  <c r="N73" i="51"/>
  <c r="P73" i="51" s="1"/>
  <c r="Q73" i="51" s="1"/>
  <c r="H73" i="51"/>
  <c r="J73" i="51" s="1"/>
  <c r="K73" i="51" s="1"/>
  <c r="B112" i="21"/>
  <c r="B113" i="21"/>
  <c r="B115" i="21"/>
  <c r="A78" i="51"/>
  <c r="E78" i="51" s="1"/>
  <c r="N45" i="21" s="1"/>
  <c r="B77" i="51"/>
  <c r="A30" i="51"/>
  <c r="C67" i="51"/>
  <c r="D67" i="51" s="1"/>
  <c r="B43" i="21"/>
  <c r="B72" i="51"/>
  <c r="C68" i="51"/>
  <c r="D68" i="51" s="1"/>
  <c r="B38" i="21"/>
  <c r="B42" i="21"/>
  <c r="B41" i="21"/>
  <c r="B40" i="21"/>
  <c r="B70" i="51"/>
  <c r="C70" i="51" s="1"/>
  <c r="D70" i="51" s="1"/>
  <c r="C69" i="51"/>
  <c r="D69" i="51" s="1"/>
  <c r="J71" i="51" l="1"/>
  <c r="K71" i="51" s="1"/>
  <c r="P71" i="51"/>
  <c r="B39" i="21"/>
  <c r="N72" i="51"/>
  <c r="P72" i="51" s="1"/>
  <c r="Q72" i="51" s="1"/>
  <c r="H72" i="51"/>
  <c r="J72" i="51" s="1"/>
  <c r="K72" i="51" s="1"/>
  <c r="P75" i="51"/>
  <c r="Q75" i="51" s="1"/>
  <c r="P74" i="51"/>
  <c r="Q74" i="51" s="1"/>
  <c r="B44" i="21"/>
  <c r="N77" i="51"/>
  <c r="H77" i="51"/>
  <c r="J77" i="51" s="1"/>
  <c r="K77" i="51" s="1"/>
  <c r="P76" i="51"/>
  <c r="Q76" i="51" s="1"/>
  <c r="A79" i="51"/>
  <c r="E79" i="51" s="1"/>
  <c r="N46" i="21" s="1"/>
  <c r="B78" i="51"/>
  <c r="A31" i="51"/>
  <c r="C74" i="51"/>
  <c r="C76" i="51"/>
  <c r="E16" i="51"/>
  <c r="G16" i="51" s="1"/>
  <c r="C75" i="51"/>
  <c r="E15" i="51"/>
  <c r="G15" i="51" s="1"/>
  <c r="C77" i="51"/>
  <c r="C71" i="51"/>
  <c r="C11" i="51" s="1"/>
  <c r="C72" i="51"/>
  <c r="E39" i="51" l="1"/>
  <c r="Q71" i="51"/>
  <c r="P77" i="51"/>
  <c r="Q77" i="51" s="1"/>
  <c r="E17" i="51"/>
  <c r="G17" i="51" s="1"/>
  <c r="B45" i="21"/>
  <c r="N78" i="51"/>
  <c r="H78" i="51"/>
  <c r="J78" i="51" s="1"/>
  <c r="K78" i="51" s="1"/>
  <c r="D18" i="51" s="1"/>
  <c r="F18" i="51" s="1"/>
  <c r="C78" i="51"/>
  <c r="C18" i="51" s="1"/>
  <c r="C46" i="51" s="1"/>
  <c r="A80" i="51"/>
  <c r="E80" i="51" s="1"/>
  <c r="N47" i="21" s="1"/>
  <c r="B79" i="51"/>
  <c r="A32" i="51"/>
  <c r="C14" i="51"/>
  <c r="C42" i="51" s="1"/>
  <c r="E42" i="51"/>
  <c r="E43" i="51"/>
  <c r="B13" i="51"/>
  <c r="B41" i="51" s="1"/>
  <c r="C13" i="51"/>
  <c r="C41" i="51" s="1"/>
  <c r="D71" i="51"/>
  <c r="B11" i="51" s="1"/>
  <c r="B39" i="51" s="1"/>
  <c r="C39" i="51"/>
  <c r="E44" i="51"/>
  <c r="D72" i="51"/>
  <c r="B12" i="51" s="1"/>
  <c r="B40" i="51" s="1"/>
  <c r="C12" i="51"/>
  <c r="C40" i="51" s="1"/>
  <c r="D44" i="51"/>
  <c r="D74" i="51"/>
  <c r="D15" i="51"/>
  <c r="F15" i="51" s="1"/>
  <c r="D17" i="51"/>
  <c r="F17" i="51" s="1"/>
  <c r="D16" i="51"/>
  <c r="F16" i="51" s="1"/>
  <c r="C17" i="51"/>
  <c r="C45" i="51" s="1"/>
  <c r="D77" i="51"/>
  <c r="B17" i="51" s="1"/>
  <c r="B45" i="51" s="1"/>
  <c r="D75" i="51"/>
  <c r="B15" i="51" s="1"/>
  <c r="B43" i="51" s="1"/>
  <c r="C15" i="51"/>
  <c r="C43" i="51" s="1"/>
  <c r="E14" i="51"/>
  <c r="G14" i="51" s="1"/>
  <c r="C16" i="51"/>
  <c r="C44" i="51" s="1"/>
  <c r="D76" i="51"/>
  <c r="B16" i="51" s="1"/>
  <c r="B44" i="51" s="1"/>
  <c r="D39" i="51" l="1"/>
  <c r="E45" i="51"/>
  <c r="E18" i="51"/>
  <c r="G18" i="51" s="1"/>
  <c r="D78" i="51"/>
  <c r="B18" i="51" s="1"/>
  <c r="B46" i="51" s="1"/>
  <c r="P78" i="51"/>
  <c r="E46" i="51" s="1"/>
  <c r="N79" i="51"/>
  <c r="P79" i="51" s="1"/>
  <c r="Q79" i="51" s="1"/>
  <c r="H79" i="51"/>
  <c r="J79" i="51" s="1"/>
  <c r="K79" i="51" s="1"/>
  <c r="B46" i="21"/>
  <c r="C79" i="51"/>
  <c r="A81" i="51"/>
  <c r="E81" i="51" s="1"/>
  <c r="N48" i="21" s="1"/>
  <c r="B80" i="51"/>
  <c r="E11" i="51"/>
  <c r="G11" i="51" s="1"/>
  <c r="D11" i="51"/>
  <c r="F11" i="51" s="1"/>
  <c r="B14" i="51"/>
  <c r="B42" i="51" s="1"/>
  <c r="D42" i="51"/>
  <c r="D13" i="51"/>
  <c r="F13" i="51" s="1"/>
  <c r="E13" i="51"/>
  <c r="G13" i="51" s="1"/>
  <c r="E40" i="51"/>
  <c r="D43" i="51"/>
  <c r="D12" i="51"/>
  <c r="F12" i="51" s="1"/>
  <c r="E12" i="51"/>
  <c r="G12" i="51" s="1"/>
  <c r="E41" i="51"/>
  <c r="D45" i="51"/>
  <c r="D14" i="51"/>
  <c r="F14" i="51" s="1"/>
  <c r="Q78" i="51" l="1"/>
  <c r="D46" i="51" s="1"/>
  <c r="N80" i="51"/>
  <c r="H80" i="51"/>
  <c r="J80" i="51" s="1"/>
  <c r="K80" i="51" s="1"/>
  <c r="A82" i="51"/>
  <c r="E82" i="51" s="1"/>
  <c r="N49" i="21" s="1"/>
  <c r="B81" i="51"/>
  <c r="D79" i="51"/>
  <c r="B19" i="51" s="1"/>
  <c r="B47" i="51" s="1"/>
  <c r="C19" i="51"/>
  <c r="C47" i="51" s="1"/>
  <c r="E47" i="51"/>
  <c r="E19" i="51"/>
  <c r="G19" i="51" s="1"/>
  <c r="B47" i="21"/>
  <c r="C80" i="51"/>
  <c r="C20" i="51" s="1"/>
  <c r="C48" i="51" s="1"/>
  <c r="D40" i="51"/>
  <c r="D41" i="51"/>
  <c r="N81" i="51" l="1"/>
  <c r="H81" i="51"/>
  <c r="J81" i="51" s="1"/>
  <c r="K81" i="51" s="1"/>
  <c r="P80" i="51"/>
  <c r="Q80" i="51" s="1"/>
  <c r="D47" i="51"/>
  <c r="D80" i="51"/>
  <c r="B20" i="51" s="1"/>
  <c r="B48" i="51" s="1"/>
  <c r="D19" i="51"/>
  <c r="F19" i="51" s="1"/>
  <c r="E20" i="51"/>
  <c r="G20" i="51" s="1"/>
  <c r="B48" i="21"/>
  <c r="C81" i="51"/>
  <c r="C21" i="51" s="1"/>
  <c r="C49" i="51" s="1"/>
  <c r="A83" i="51"/>
  <c r="E83" i="51" s="1"/>
  <c r="N50" i="21" s="1"/>
  <c r="B82" i="51"/>
  <c r="E48" i="51" l="1"/>
  <c r="N82" i="51"/>
  <c r="P82" i="51" s="1"/>
  <c r="Q82" i="51" s="1"/>
  <c r="H82" i="51"/>
  <c r="J82" i="51" s="1"/>
  <c r="K82" i="51" s="1"/>
  <c r="P81" i="51"/>
  <c r="Q81" i="51" s="1"/>
  <c r="D20" i="51"/>
  <c r="F20" i="51" s="1"/>
  <c r="D48" i="51"/>
  <c r="E21" i="51"/>
  <c r="G21" i="51" s="1"/>
  <c r="B49" i="21"/>
  <c r="C82" i="51"/>
  <c r="C22" i="51" s="1"/>
  <c r="C50" i="51" s="1"/>
  <c r="A84" i="51"/>
  <c r="E84" i="51" s="1"/>
  <c r="N51" i="21" s="1"/>
  <c r="B83" i="51"/>
  <c r="D81" i="51"/>
  <c r="B21" i="51" s="1"/>
  <c r="B49" i="51" s="1"/>
  <c r="E49" i="51" l="1"/>
  <c r="N83" i="51"/>
  <c r="P83" i="51" s="1"/>
  <c r="Q83" i="51" s="1"/>
  <c r="H83" i="51"/>
  <c r="J83" i="51" s="1"/>
  <c r="K83" i="51" s="1"/>
  <c r="D49" i="51"/>
  <c r="D21" i="51"/>
  <c r="F21" i="51" s="1"/>
  <c r="A85" i="51"/>
  <c r="E85" i="51" s="1"/>
  <c r="N52" i="21" s="1"/>
  <c r="B84" i="51"/>
  <c r="E22" i="51"/>
  <c r="G22" i="51" s="1"/>
  <c r="B50" i="21"/>
  <c r="C83" i="51"/>
  <c r="C23" i="51" s="1"/>
  <c r="C51" i="51" s="1"/>
  <c r="D82" i="51"/>
  <c r="B22" i="51" s="1"/>
  <c r="B50" i="51" s="1"/>
  <c r="E50" i="51"/>
  <c r="N84" i="51" l="1"/>
  <c r="H84" i="51"/>
  <c r="J84" i="51" s="1"/>
  <c r="K84" i="51" s="1"/>
  <c r="D22" i="51"/>
  <c r="F22" i="51" s="1"/>
  <c r="D50" i="51"/>
  <c r="D83" i="51"/>
  <c r="B23" i="51" s="1"/>
  <c r="B51" i="51" s="1"/>
  <c r="E23" i="51"/>
  <c r="G23" i="51" s="1"/>
  <c r="B51" i="21"/>
  <c r="C84" i="51"/>
  <c r="C24" i="51" s="1"/>
  <c r="C52" i="51" s="1"/>
  <c r="E51" i="51"/>
  <c r="D51" i="51"/>
  <c r="A86" i="51"/>
  <c r="E86" i="51" s="1"/>
  <c r="N53" i="21" s="1"/>
  <c r="B85" i="51"/>
  <c r="N85" i="51" l="1"/>
  <c r="H85" i="51"/>
  <c r="P84" i="51"/>
  <c r="Q84" i="51"/>
  <c r="D84" i="51"/>
  <c r="B24" i="51" s="1"/>
  <c r="B52" i="51" s="1"/>
  <c r="D23" i="51"/>
  <c r="F23" i="51" s="1"/>
  <c r="B52" i="21"/>
  <c r="C85" i="51"/>
  <c r="C25" i="51" s="1"/>
  <c r="C53" i="51" s="1"/>
  <c r="E52" i="51"/>
  <c r="A87" i="51"/>
  <c r="E87" i="51" s="1"/>
  <c r="N54" i="21" s="1"/>
  <c r="B86" i="51"/>
  <c r="E24" i="51"/>
  <c r="G24" i="51" s="1"/>
  <c r="N86" i="51" l="1"/>
  <c r="H86" i="51"/>
  <c r="J86" i="51" s="1"/>
  <c r="K86" i="51" s="1"/>
  <c r="J85" i="51"/>
  <c r="K85" i="51" s="1"/>
  <c r="P85" i="51"/>
  <c r="Q85" i="51" s="1"/>
  <c r="B53" i="21"/>
  <c r="C86" i="51"/>
  <c r="C26" i="51" s="1"/>
  <c r="C54" i="51" s="1"/>
  <c r="A88" i="51"/>
  <c r="E88" i="51" s="1"/>
  <c r="N55" i="21" s="1"/>
  <c r="B87" i="51"/>
  <c r="D52" i="51"/>
  <c r="D85" i="51"/>
  <c r="B25" i="51" s="1"/>
  <c r="B53" i="51" s="1"/>
  <c r="E25" i="51"/>
  <c r="G25" i="51" s="1"/>
  <c r="E53" i="51"/>
  <c r="D24" i="51"/>
  <c r="F24" i="51" s="1"/>
  <c r="N87" i="51" l="1"/>
  <c r="H87" i="51"/>
  <c r="J87" i="51" s="1"/>
  <c r="K87" i="51" s="1"/>
  <c r="P86" i="51"/>
  <c r="Q86" i="51" s="1"/>
  <c r="D53" i="51"/>
  <c r="D25" i="51"/>
  <c r="F25" i="51" s="1"/>
  <c r="C87" i="51"/>
  <c r="C27" i="51" s="1"/>
  <c r="C55" i="51" s="1"/>
  <c r="B54" i="21"/>
  <c r="D86" i="51"/>
  <c r="B26" i="51" s="1"/>
  <c r="B54" i="51" s="1"/>
  <c r="E26" i="51"/>
  <c r="G26" i="51" s="1"/>
  <c r="A89" i="51"/>
  <c r="E89" i="51" s="1"/>
  <c r="N56" i="21" s="1"/>
  <c r="B88" i="51"/>
  <c r="E54" i="51"/>
  <c r="N88" i="51" l="1"/>
  <c r="H88" i="51"/>
  <c r="J88" i="51" s="1"/>
  <c r="K88" i="51" s="1"/>
  <c r="P87" i="51"/>
  <c r="Q87" i="51" s="1"/>
  <c r="D26" i="51"/>
  <c r="F26" i="51" s="1"/>
  <c r="D87" i="51"/>
  <c r="B27" i="51" s="1"/>
  <c r="B55" i="51" s="1"/>
  <c r="A90" i="51"/>
  <c r="E90" i="51" s="1"/>
  <c r="N57" i="21" s="1"/>
  <c r="B89" i="51"/>
  <c r="B55" i="21"/>
  <c r="C88" i="51"/>
  <c r="C28" i="51" s="1"/>
  <c r="C56" i="51" s="1"/>
  <c r="D54" i="51"/>
  <c r="E27" i="51"/>
  <c r="G27" i="51" s="1"/>
  <c r="E55" i="51"/>
  <c r="N89" i="51" l="1"/>
  <c r="P89" i="51" s="1"/>
  <c r="Q89" i="51" s="1"/>
  <c r="H89" i="51"/>
  <c r="J89" i="51" s="1"/>
  <c r="K89" i="51" s="1"/>
  <c r="P88" i="51"/>
  <c r="Q88" i="51" s="1"/>
  <c r="D27" i="51"/>
  <c r="F27" i="51" s="1"/>
  <c r="E28" i="51"/>
  <c r="G28" i="51" s="1"/>
  <c r="D55" i="51"/>
  <c r="D88" i="51"/>
  <c r="B28" i="51" s="1"/>
  <c r="B56" i="51" s="1"/>
  <c r="B56" i="21"/>
  <c r="C89" i="51"/>
  <c r="C29" i="51" s="1"/>
  <c r="C57" i="51" s="1"/>
  <c r="A91" i="51"/>
  <c r="E91" i="51" s="1"/>
  <c r="N58" i="21" s="1"/>
  <c r="B90" i="51"/>
  <c r="H73" i="21"/>
  <c r="H71" i="21"/>
  <c r="H69" i="21"/>
  <c r="H67" i="21"/>
  <c r="E56" i="51" l="1"/>
  <c r="N90" i="51"/>
  <c r="H90" i="51"/>
  <c r="J90" i="51" s="1"/>
  <c r="K90" i="51" s="1"/>
  <c r="D56" i="51"/>
  <c r="D28" i="51"/>
  <c r="F28" i="51" s="1"/>
  <c r="A92" i="51"/>
  <c r="E92" i="51" s="1"/>
  <c r="N59" i="21" s="1"/>
  <c r="B91" i="51"/>
  <c r="D89" i="51"/>
  <c r="B29" i="51" s="1"/>
  <c r="B57" i="51" s="1"/>
  <c r="E57" i="51"/>
  <c r="B57" i="21"/>
  <c r="C90" i="51"/>
  <c r="C30" i="51" s="1"/>
  <c r="C58" i="51" s="1"/>
  <c r="E29" i="51"/>
  <c r="G29" i="51" s="1"/>
  <c r="A9" i="49"/>
  <c r="N91" i="51" l="1"/>
  <c r="H91" i="51"/>
  <c r="P90" i="51"/>
  <c r="Q90" i="51" s="1"/>
  <c r="D57" i="51"/>
  <c r="E58" i="51"/>
  <c r="D29" i="51"/>
  <c r="F29" i="51" s="1"/>
  <c r="D90" i="51"/>
  <c r="B30" i="51" s="1"/>
  <c r="B58" i="51" s="1"/>
  <c r="E30" i="51"/>
  <c r="G30" i="51" s="1"/>
  <c r="B58" i="21"/>
  <c r="C91" i="51"/>
  <c r="C31" i="51" s="1"/>
  <c r="C59" i="51" s="1"/>
  <c r="B92" i="51"/>
  <c r="A10" i="49"/>
  <c r="E9" i="49"/>
  <c r="N92" i="51" l="1"/>
  <c r="H92" i="51"/>
  <c r="J92" i="51" s="1"/>
  <c r="K92" i="51" s="1"/>
  <c r="J91" i="51"/>
  <c r="K91" i="51" s="1"/>
  <c r="P91" i="51"/>
  <c r="Q91" i="51" s="1"/>
  <c r="D30" i="51"/>
  <c r="F30" i="51" s="1"/>
  <c r="D58" i="51"/>
  <c r="B59" i="21"/>
  <c r="C92" i="51"/>
  <c r="C32" i="51" s="1"/>
  <c r="C60" i="51" s="1"/>
  <c r="E59" i="51"/>
  <c r="D91" i="51"/>
  <c r="B31" i="51" s="1"/>
  <c r="B59" i="51" s="1"/>
  <c r="E31" i="51"/>
  <c r="G31" i="51" s="1"/>
  <c r="A11" i="49"/>
  <c r="E10" i="49"/>
  <c r="C28" i="49"/>
  <c r="D28" i="49"/>
  <c r="D2" i="49" s="1"/>
  <c r="C15" i="41"/>
  <c r="C16" i="41"/>
  <c r="P92" i="51" l="1"/>
  <c r="Q92" i="51" s="1"/>
  <c r="D59" i="51"/>
  <c r="D31" i="51"/>
  <c r="F31" i="51" s="1"/>
  <c r="D92" i="51"/>
  <c r="B32" i="51" s="1"/>
  <c r="B60" i="51" s="1"/>
  <c r="E32" i="51"/>
  <c r="G32" i="51" s="1"/>
  <c r="A12" i="49"/>
  <c r="E11" i="49"/>
  <c r="C13" i="41"/>
  <c r="C14" i="41"/>
  <c r="E60" i="51" l="1"/>
  <c r="D60" i="51"/>
  <c r="D32" i="51"/>
  <c r="F32" i="51" s="1"/>
  <c r="A13" i="49"/>
  <c r="E12" i="49"/>
  <c r="F5" i="5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A14" i="49" l="1"/>
  <c r="E13" i="49"/>
  <c r="A4" i="5"/>
  <c r="A15" i="49" l="1"/>
  <c r="E14" i="49"/>
  <c r="A5" i="5"/>
  <c r="A16" i="49" l="1"/>
  <c r="E15" i="49"/>
  <c r="A6" i="5"/>
  <c r="D5" i="5"/>
  <c r="A17" i="49" l="1"/>
  <c r="E16" i="49"/>
  <c r="A7" i="5"/>
  <c r="D6" i="5"/>
  <c r="A18" i="49" l="1"/>
  <c r="E17" i="49"/>
  <c r="A8" i="5"/>
  <c r="D7" i="5"/>
  <c r="T14" i="41"/>
  <c r="T15" i="41" s="1"/>
  <c r="T16" i="41" s="1"/>
  <c r="T17" i="41" s="1"/>
  <c r="T18" i="41" s="1"/>
  <c r="T19" i="41" s="1"/>
  <c r="T20" i="41" s="1"/>
  <c r="T21" i="41" s="1"/>
  <c r="T22" i="41" s="1"/>
  <c r="T23" i="41" s="1"/>
  <c r="H14" i="41"/>
  <c r="H15" i="41" s="1"/>
  <c r="H16" i="41" s="1"/>
  <c r="H17" i="41" s="1"/>
  <c r="H18" i="41" s="1"/>
  <c r="H19" i="41" s="1"/>
  <c r="H20" i="41" s="1"/>
  <c r="H21" i="41" s="1"/>
  <c r="H22" i="41" s="1"/>
  <c r="H23" i="41" s="1"/>
  <c r="A14" i="41"/>
  <c r="A15" i="41" s="1"/>
  <c r="A16" i="41" s="1"/>
  <c r="A17" i="41" s="1"/>
  <c r="A18" i="41" s="1"/>
  <c r="A19" i="41" s="1"/>
  <c r="A20" i="41" s="1"/>
  <c r="A21" i="41" s="1"/>
  <c r="A22" i="41" s="1"/>
  <c r="A23" i="41" s="1"/>
  <c r="A19" i="49" l="1"/>
  <c r="E18" i="49"/>
  <c r="A9" i="5"/>
  <c r="D8" i="5"/>
  <c r="H24" i="41"/>
  <c r="H25" i="41" s="1"/>
  <c r="H26" i="41" s="1"/>
  <c r="H27" i="41" s="1"/>
  <c r="H28" i="41" s="1"/>
  <c r="H29" i="41" s="1"/>
  <c r="H30" i="41" s="1"/>
  <c r="H31" i="41" s="1"/>
  <c r="H32" i="41" s="1"/>
  <c r="H33" i="41" s="1"/>
  <c r="H34" i="41" s="1"/>
  <c r="H35" i="41" s="1"/>
  <c r="H36" i="41" s="1"/>
  <c r="H37" i="41" s="1"/>
  <c r="H38" i="41" s="1"/>
  <c r="H39" i="41" s="1"/>
  <c r="H40" i="41" s="1"/>
  <c r="T24" i="41"/>
  <c r="T25" i="41" s="1"/>
  <c r="T26" i="41" s="1"/>
  <c r="T27" i="41" s="1"/>
  <c r="T28" i="41" s="1"/>
  <c r="T29" i="41" s="1"/>
  <c r="T30" i="41" s="1"/>
  <c r="T31" i="41" s="1"/>
  <c r="T32" i="41" s="1"/>
  <c r="T33" i="41" s="1"/>
  <c r="T34" i="41" s="1"/>
  <c r="T35" i="41" s="1"/>
  <c r="T36" i="41" s="1"/>
  <c r="T37" i="41" s="1"/>
  <c r="T38" i="41" s="1"/>
  <c r="T39" i="41" s="1"/>
  <c r="T40" i="41" s="1"/>
  <c r="A24" i="4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11" i="2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20" i="49" l="1"/>
  <c r="E19" i="49"/>
  <c r="A10" i="5"/>
  <c r="D9" i="5"/>
  <c r="A21" i="49" l="1"/>
  <c r="E20" i="49"/>
  <c r="A11" i="5"/>
  <c r="D10" i="5"/>
  <c r="A22" i="49" l="1"/>
  <c r="E21" i="49"/>
  <c r="A12" i="5"/>
  <c r="D11" i="5"/>
  <c r="A23" i="49" l="1"/>
  <c r="E22" i="49"/>
  <c r="A13" i="5"/>
  <c r="D12" i="5"/>
  <c r="A30" i="21"/>
  <c r="A24" i="49" l="1"/>
  <c r="E23" i="49"/>
  <c r="A14" i="5"/>
  <c r="D13" i="5"/>
  <c r="A31" i="21"/>
  <c r="A25" i="49" l="1"/>
  <c r="E24" i="49"/>
  <c r="A15" i="5"/>
  <c r="D14" i="5"/>
  <c r="A26" i="49" l="1"/>
  <c r="E25" i="49"/>
  <c r="A16" i="5"/>
  <c r="D15" i="5"/>
  <c r="A27" i="49" l="1"/>
  <c r="E27" i="49" s="1"/>
  <c r="E26" i="49"/>
  <c r="A17" i="5"/>
  <c r="D16" i="5"/>
  <c r="E28" i="49" l="1"/>
  <c r="D3" i="49" s="1"/>
  <c r="A18" i="5"/>
  <c r="D17" i="5"/>
  <c r="A19" i="5" l="1"/>
  <c r="D18" i="5"/>
  <c r="A20" i="5" l="1"/>
  <c r="D19" i="5"/>
  <c r="A39" i="21"/>
  <c r="A21" i="5" l="1"/>
  <c r="D20" i="5"/>
  <c r="M39" i="21"/>
  <c r="A40" i="21"/>
  <c r="A22" i="5" l="1"/>
  <c r="D21" i="5"/>
  <c r="M40" i="21"/>
  <c r="A41" i="21"/>
  <c r="A23" i="5" l="1"/>
  <c r="D22" i="5"/>
  <c r="M41" i="21"/>
  <c r="A42" i="21"/>
  <c r="A24" i="5" l="1"/>
  <c r="D23" i="5"/>
  <c r="M42" i="21"/>
  <c r="A43" i="21"/>
  <c r="D24" i="5" l="1"/>
  <c r="A25" i="5"/>
  <c r="A44" i="21"/>
  <c r="A45" i="21" s="1"/>
  <c r="M43" i="21"/>
  <c r="E6" i="27" l="1"/>
  <c r="H5" i="27"/>
  <c r="D25" i="5"/>
  <c r="A26" i="5"/>
  <c r="M44" i="21"/>
  <c r="A46" i="21"/>
  <c r="M45" i="21"/>
  <c r="V12" i="41" l="1"/>
  <c r="E7" i="27"/>
  <c r="H7" i="27" s="1"/>
  <c r="H6" i="27"/>
  <c r="V13" i="41" s="1"/>
  <c r="D26" i="5"/>
  <c r="A27" i="5"/>
  <c r="A47" i="21"/>
  <c r="M46" i="21"/>
  <c r="E8" i="27" l="1"/>
  <c r="V14" i="41"/>
  <c r="D27" i="5"/>
  <c r="A28" i="5"/>
  <c r="A48" i="21"/>
  <c r="M47" i="21"/>
  <c r="E9" i="27" l="1"/>
  <c r="H8" i="27"/>
  <c r="D28" i="5"/>
  <c r="A29" i="5"/>
  <c r="A49" i="21"/>
  <c r="M48" i="21"/>
  <c r="V15" i="41" l="1"/>
  <c r="E10" i="27"/>
  <c r="H9" i="27"/>
  <c r="V16" i="41" s="1"/>
  <c r="D29" i="5"/>
  <c r="A30" i="5"/>
  <c r="A50" i="21"/>
  <c r="M49" i="21"/>
  <c r="E11" i="27" l="1"/>
  <c r="H10" i="27"/>
  <c r="V17" i="41" s="1"/>
  <c r="A31" i="5"/>
  <c r="D30" i="5"/>
  <c r="A51" i="21"/>
  <c r="M50" i="21"/>
  <c r="G75" i="21"/>
  <c r="F75" i="21"/>
  <c r="E75" i="21"/>
  <c r="E12" i="27" l="1"/>
  <c r="E13" i="27" s="1"/>
  <c r="E14" i="27" s="1"/>
  <c r="E15" i="27" s="1"/>
  <c r="E16" i="27" s="1"/>
  <c r="E17" i="27" s="1"/>
  <c r="E18" i="27" s="1"/>
  <c r="E19" i="27" s="1"/>
  <c r="E20" i="27" s="1"/>
  <c r="E21" i="27" s="1"/>
  <c r="E22" i="27" s="1"/>
  <c r="E23" i="27" s="1"/>
  <c r="E24" i="27" s="1"/>
  <c r="E25" i="27" s="1"/>
  <c r="E26" i="27" s="1"/>
  <c r="E27" i="27" s="1"/>
  <c r="E28" i="27" s="1"/>
  <c r="E29" i="27" s="1"/>
  <c r="E30" i="27" s="1"/>
  <c r="E31" i="27" s="1"/>
  <c r="E32" i="27" s="1"/>
  <c r="E33" i="27" s="1"/>
  <c r="H33" i="27" s="1"/>
  <c r="H11" i="27"/>
  <c r="V18" i="41" s="1"/>
  <c r="H75" i="21"/>
  <c r="A32" i="5"/>
  <c r="D31" i="5"/>
  <c r="A52" i="21"/>
  <c r="M51" i="21"/>
  <c r="B108" i="21" l="1"/>
  <c r="O38" i="21" s="1"/>
  <c r="O45" i="21"/>
  <c r="O54" i="21"/>
  <c r="O46" i="21"/>
  <c r="O39" i="21"/>
  <c r="O41" i="21"/>
  <c r="O44" i="21"/>
  <c r="O47" i="21"/>
  <c r="O43" i="21"/>
  <c r="O42" i="21"/>
  <c r="I65" i="21"/>
  <c r="I69" i="21"/>
  <c r="I67" i="21"/>
  <c r="I73" i="21"/>
  <c r="I75" i="21"/>
  <c r="I71" i="21"/>
  <c r="D32" i="5"/>
  <c r="A33" i="5"/>
  <c r="A53" i="21"/>
  <c r="M52" i="21"/>
  <c r="O55" i="21" l="1"/>
  <c r="O51" i="21"/>
  <c r="O49" i="21"/>
  <c r="U49" i="21" s="1"/>
  <c r="O57" i="21"/>
  <c r="T57" i="21" s="1"/>
  <c r="O59" i="21"/>
  <c r="R59" i="21" s="1"/>
  <c r="O40" i="21"/>
  <c r="R40" i="21" s="1"/>
  <c r="O56" i="21"/>
  <c r="C38" i="21"/>
  <c r="E38" i="21" s="1"/>
  <c r="O58" i="21"/>
  <c r="V58" i="21" s="1"/>
  <c r="O48" i="21"/>
  <c r="P48" i="21" s="1"/>
  <c r="O52" i="21"/>
  <c r="V52" i="21" s="1"/>
  <c r="O53" i="21"/>
  <c r="Q53" i="21" s="1"/>
  <c r="R38" i="21"/>
  <c r="AF38" i="21" s="1"/>
  <c r="Q38" i="21"/>
  <c r="AE38" i="21" s="1"/>
  <c r="P38" i="21"/>
  <c r="O50" i="21"/>
  <c r="S50" i="21" s="1"/>
  <c r="P45" i="21"/>
  <c r="Q45" i="21"/>
  <c r="U45" i="21"/>
  <c r="R45" i="21"/>
  <c r="S45" i="21"/>
  <c r="V45" i="21"/>
  <c r="T45" i="21"/>
  <c r="T38" i="21"/>
  <c r="U38" i="21"/>
  <c r="S38" i="21"/>
  <c r="V38" i="21"/>
  <c r="S54" i="21"/>
  <c r="U54" i="21"/>
  <c r="T54" i="21"/>
  <c r="V54" i="21"/>
  <c r="Q54" i="21"/>
  <c r="P54" i="21"/>
  <c r="R54" i="21"/>
  <c r="P57" i="21"/>
  <c r="U57" i="21"/>
  <c r="S51" i="21"/>
  <c r="P51" i="21"/>
  <c r="T51" i="21"/>
  <c r="Q51" i="21"/>
  <c r="R51" i="21"/>
  <c r="U51" i="21"/>
  <c r="V51" i="21"/>
  <c r="S49" i="21"/>
  <c r="V49" i="21"/>
  <c r="R49" i="21"/>
  <c r="U40" i="21"/>
  <c r="V40" i="21"/>
  <c r="Q40" i="21"/>
  <c r="P40" i="21"/>
  <c r="S40" i="21"/>
  <c r="T40" i="21"/>
  <c r="P46" i="21"/>
  <c r="R46" i="21"/>
  <c r="S46" i="21"/>
  <c r="U46" i="21"/>
  <c r="T46" i="21"/>
  <c r="V46" i="21"/>
  <c r="Q46" i="21"/>
  <c r="P58" i="21"/>
  <c r="R58" i="21"/>
  <c r="S43" i="21"/>
  <c r="R43" i="21"/>
  <c r="T43" i="21"/>
  <c r="U43" i="21"/>
  <c r="P43" i="21"/>
  <c r="Q43" i="21"/>
  <c r="V43" i="21"/>
  <c r="U48" i="21"/>
  <c r="R48" i="21"/>
  <c r="T41" i="21"/>
  <c r="P41" i="21"/>
  <c r="V41" i="21"/>
  <c r="R41" i="21"/>
  <c r="U41" i="21"/>
  <c r="Q41" i="21"/>
  <c r="S41" i="21"/>
  <c r="V50" i="21"/>
  <c r="U50" i="21"/>
  <c r="P42" i="21"/>
  <c r="S42" i="21"/>
  <c r="R42" i="21"/>
  <c r="T42" i="21"/>
  <c r="Q42" i="21"/>
  <c r="U42" i="21"/>
  <c r="V42" i="21"/>
  <c r="T47" i="21"/>
  <c r="P47" i="21"/>
  <c r="V47" i="21"/>
  <c r="Q47" i="21"/>
  <c r="R47" i="21"/>
  <c r="S47" i="21"/>
  <c r="U47" i="21"/>
  <c r="Q52" i="21"/>
  <c r="R52" i="21"/>
  <c r="V39" i="21"/>
  <c r="Q39" i="21"/>
  <c r="R39" i="21"/>
  <c r="S39" i="21"/>
  <c r="P39" i="21"/>
  <c r="T39" i="21"/>
  <c r="U39" i="21"/>
  <c r="V56" i="21"/>
  <c r="Q56" i="21"/>
  <c r="R56" i="21"/>
  <c r="S56" i="21"/>
  <c r="P56" i="21"/>
  <c r="U56" i="21"/>
  <c r="T56" i="21"/>
  <c r="S55" i="21"/>
  <c r="V55" i="21"/>
  <c r="P55" i="21"/>
  <c r="R55" i="21"/>
  <c r="Q55" i="21"/>
  <c r="T55" i="21"/>
  <c r="U55" i="21"/>
  <c r="P44" i="21"/>
  <c r="R44" i="21"/>
  <c r="S44" i="21"/>
  <c r="T44" i="21"/>
  <c r="V44" i="21"/>
  <c r="Q44" i="21"/>
  <c r="U44" i="21"/>
  <c r="V53" i="21"/>
  <c r="C42" i="21"/>
  <c r="F42" i="21" s="1"/>
  <c r="D33" i="5"/>
  <c r="A34" i="5"/>
  <c r="C50" i="21"/>
  <c r="C40" i="21"/>
  <c r="C43" i="21"/>
  <c r="C41" i="21"/>
  <c r="C53" i="21"/>
  <c r="C47" i="21"/>
  <c r="C52" i="21"/>
  <c r="C49" i="21"/>
  <c r="C44" i="21"/>
  <c r="C46" i="21"/>
  <c r="C51" i="21"/>
  <c r="C48" i="21"/>
  <c r="C45" i="21"/>
  <c r="A54" i="21"/>
  <c r="M53" i="21"/>
  <c r="C39" i="21"/>
  <c r="U59" i="21" l="1"/>
  <c r="P59" i="21"/>
  <c r="Q59" i="21"/>
  <c r="W59" i="21" s="1"/>
  <c r="V59" i="21"/>
  <c r="R57" i="21"/>
  <c r="T59" i="21"/>
  <c r="V57" i="21"/>
  <c r="S59" i="21"/>
  <c r="Q49" i="21"/>
  <c r="X49" i="21" s="1"/>
  <c r="S57" i="21"/>
  <c r="AG57" i="21" s="1"/>
  <c r="T48" i="21"/>
  <c r="P49" i="21"/>
  <c r="Q57" i="21"/>
  <c r="W57" i="21" s="1"/>
  <c r="T49" i="21"/>
  <c r="P52" i="21"/>
  <c r="Q50" i="21"/>
  <c r="X50" i="21" s="1"/>
  <c r="R53" i="21"/>
  <c r="Q58" i="21"/>
  <c r="X58" i="21" s="1"/>
  <c r="S53" i="21"/>
  <c r="W53" i="21" s="1"/>
  <c r="S52" i="21"/>
  <c r="V48" i="21"/>
  <c r="S58" i="21"/>
  <c r="X38" i="21"/>
  <c r="P53" i="21"/>
  <c r="U52" i="21"/>
  <c r="AI52" i="21" s="1"/>
  <c r="S48" i="21"/>
  <c r="AG48" i="21" s="1"/>
  <c r="U58" i="21"/>
  <c r="AI58" i="21" s="1"/>
  <c r="T53" i="21"/>
  <c r="AA53" i="21" s="1"/>
  <c r="T52" i="21"/>
  <c r="AH52" i="21" s="1"/>
  <c r="Q48" i="21"/>
  <c r="X48" i="21" s="1"/>
  <c r="T58" i="21"/>
  <c r="W58" i="21" s="1"/>
  <c r="F38" i="21"/>
  <c r="U53" i="21"/>
  <c r="P50" i="21"/>
  <c r="Y38" i="21"/>
  <c r="T50" i="21"/>
  <c r="AA50" i="21" s="1"/>
  <c r="R50" i="21"/>
  <c r="Y50" i="21" s="1"/>
  <c r="AB55" i="21"/>
  <c r="AI55" i="21"/>
  <c r="AE43" i="21"/>
  <c r="X43" i="21"/>
  <c r="AG39" i="21"/>
  <c r="Z39" i="21"/>
  <c r="AG41" i="21"/>
  <c r="Z41" i="21"/>
  <c r="Z59" i="21"/>
  <c r="AG59" i="21"/>
  <c r="AB40" i="21"/>
  <c r="AI40" i="21"/>
  <c r="AJ57" i="21"/>
  <c r="AC57" i="21"/>
  <c r="AH38" i="21"/>
  <c r="AA38" i="21"/>
  <c r="AJ53" i="21"/>
  <c r="AC53" i="21"/>
  <c r="X55" i="21"/>
  <c r="AE55" i="21"/>
  <c r="AF39" i="21"/>
  <c r="Y39" i="21"/>
  <c r="AA47" i="21"/>
  <c r="AH47" i="21"/>
  <c r="AE41" i="21"/>
  <c r="X41" i="21"/>
  <c r="AB43" i="21"/>
  <c r="AI43" i="21"/>
  <c r="Y59" i="21"/>
  <c r="AF59" i="21"/>
  <c r="AE49" i="21"/>
  <c r="Z57" i="21"/>
  <c r="AH45" i="21"/>
  <c r="AA45" i="21"/>
  <c r="Y53" i="21"/>
  <c r="AF53" i="21"/>
  <c r="AF55" i="21"/>
  <c r="Y55" i="21"/>
  <c r="X39" i="21"/>
  <c r="AE39" i="21"/>
  <c r="AC42" i="21"/>
  <c r="AJ42" i="21"/>
  <c r="AI41" i="21"/>
  <c r="AB41" i="21"/>
  <c r="AH43" i="21"/>
  <c r="AA43" i="21"/>
  <c r="AB59" i="21"/>
  <c r="AI59" i="21"/>
  <c r="AJ45" i="21"/>
  <c r="AC45" i="21"/>
  <c r="AB53" i="21"/>
  <c r="AI53" i="21"/>
  <c r="AJ39" i="21"/>
  <c r="AC39" i="21"/>
  <c r="AB42" i="21"/>
  <c r="AI42" i="21"/>
  <c r="AF41" i="21"/>
  <c r="Y41" i="21"/>
  <c r="Y43" i="21"/>
  <c r="AF43" i="21"/>
  <c r="W46" i="21"/>
  <c r="X46" i="21"/>
  <c r="AE46" i="21"/>
  <c r="AF49" i="21"/>
  <c r="Y49" i="21"/>
  <c r="AI57" i="21"/>
  <c r="AB57" i="21"/>
  <c r="AG45" i="21"/>
  <c r="Z45" i="21"/>
  <c r="Z53" i="21"/>
  <c r="AJ55" i="21"/>
  <c r="AC55" i="21"/>
  <c r="Z52" i="21"/>
  <c r="AG52" i="21"/>
  <c r="AE42" i="21"/>
  <c r="X42" i="21"/>
  <c r="AJ41" i="21"/>
  <c r="AC41" i="21"/>
  <c r="Z43" i="21"/>
  <c r="AG43" i="21"/>
  <c r="AC46" i="21"/>
  <c r="AJ46" i="21"/>
  <c r="AC49" i="21"/>
  <c r="AJ49" i="21"/>
  <c r="AF45" i="21"/>
  <c r="Y45" i="21"/>
  <c r="AG55" i="21"/>
  <c r="Z55" i="21"/>
  <c r="AA42" i="21"/>
  <c r="AH42" i="21"/>
  <c r="AF58" i="21"/>
  <c r="Y58" i="21"/>
  <c r="AA46" i="21"/>
  <c r="AH46" i="21"/>
  <c r="Z49" i="21"/>
  <c r="AG49" i="21"/>
  <c r="AH57" i="21"/>
  <c r="AA57" i="21"/>
  <c r="AI45" i="21"/>
  <c r="AB45" i="21"/>
  <c r="AH53" i="21"/>
  <c r="AA56" i="21"/>
  <c r="AH56" i="21"/>
  <c r="AF42" i="21"/>
  <c r="Y42" i="21"/>
  <c r="AH41" i="21"/>
  <c r="AA41" i="21"/>
  <c r="AE58" i="21"/>
  <c r="AB46" i="21"/>
  <c r="AI46" i="21"/>
  <c r="AA49" i="21"/>
  <c r="AH49" i="21"/>
  <c r="AF54" i="21"/>
  <c r="Y54" i="21"/>
  <c r="AE45" i="21"/>
  <c r="X45" i="21"/>
  <c r="AJ47" i="21"/>
  <c r="AC47" i="21"/>
  <c r="AC52" i="21"/>
  <c r="AJ52" i="21"/>
  <c r="AG50" i="21"/>
  <c r="Z50" i="21"/>
  <c r="AG42" i="21"/>
  <c r="Z42" i="21"/>
  <c r="AC40" i="21"/>
  <c r="AJ40" i="21"/>
  <c r="X53" i="21"/>
  <c r="AE53" i="21"/>
  <c r="AF57" i="21"/>
  <c r="Y57" i="21"/>
  <c r="AH59" i="21"/>
  <c r="AA59" i="21"/>
  <c r="AI38" i="21"/>
  <c r="AB38" i="21"/>
  <c r="AA55" i="21"/>
  <c r="AH55" i="21"/>
  <c r="AB56" i="21"/>
  <c r="AI56" i="21"/>
  <c r="AF48" i="21"/>
  <c r="Y48" i="21"/>
  <c r="Z46" i="21"/>
  <c r="AG46" i="21"/>
  <c r="AB49" i="21"/>
  <c r="AI49" i="21"/>
  <c r="AI44" i="21"/>
  <c r="AB44" i="21"/>
  <c r="AF52" i="21"/>
  <c r="Y52" i="21"/>
  <c r="AJ48" i="21"/>
  <c r="AC48" i="21"/>
  <c r="AG58" i="21"/>
  <c r="Z58" i="21"/>
  <c r="Y46" i="21"/>
  <c r="AF46" i="21"/>
  <c r="AC51" i="21"/>
  <c r="AJ51" i="21"/>
  <c r="AE54" i="21"/>
  <c r="X54" i="21"/>
  <c r="AE44" i="21"/>
  <c r="X44" i="21"/>
  <c r="Z56" i="21"/>
  <c r="AG56" i="21"/>
  <c r="AB58" i="21"/>
  <c r="AI51" i="21"/>
  <c r="AB51" i="21"/>
  <c r="AJ54" i="21"/>
  <c r="AC54" i="21"/>
  <c r="AJ44" i="21"/>
  <c r="AC44" i="21"/>
  <c r="Y56" i="21"/>
  <c r="AF56" i="21"/>
  <c r="AE52" i="21"/>
  <c r="X52" i="21"/>
  <c r="Y40" i="21"/>
  <c r="AF40" i="21"/>
  <c r="AF51" i="21"/>
  <c r="Y51" i="21"/>
  <c r="AH54" i="21"/>
  <c r="AA54" i="21"/>
  <c r="W38" i="21"/>
  <c r="AA44" i="21"/>
  <c r="AH44" i="21"/>
  <c r="W56" i="21"/>
  <c r="X56" i="21"/>
  <c r="AE56" i="21"/>
  <c r="AI47" i="21"/>
  <c r="AB47" i="21"/>
  <c r="AB50" i="21"/>
  <c r="AI50" i="21"/>
  <c r="AC58" i="21"/>
  <c r="AJ58" i="21"/>
  <c r="AA40" i="21"/>
  <c r="AH40" i="21"/>
  <c r="W51" i="21"/>
  <c r="AE51" i="21"/>
  <c r="X51" i="21"/>
  <c r="AI54" i="21"/>
  <c r="AB54" i="21"/>
  <c r="AG44" i="21"/>
  <c r="Z44" i="21"/>
  <c r="AC56" i="21"/>
  <c r="AJ56" i="21"/>
  <c r="Z47" i="21"/>
  <c r="AG47" i="21"/>
  <c r="AJ50" i="21"/>
  <c r="AC50" i="21"/>
  <c r="AH48" i="21"/>
  <c r="AA48" i="21"/>
  <c r="Z40" i="21"/>
  <c r="AG40" i="21"/>
  <c r="AH51" i="21"/>
  <c r="AA51" i="21"/>
  <c r="AG54" i="21"/>
  <c r="Z54" i="21"/>
  <c r="Y44" i="21"/>
  <c r="AF44" i="21"/>
  <c r="AB39" i="21"/>
  <c r="AI39" i="21"/>
  <c r="Y47" i="21"/>
  <c r="AF47" i="21"/>
  <c r="AB48" i="21"/>
  <c r="AI48" i="21"/>
  <c r="AE59" i="21"/>
  <c r="AJ38" i="21"/>
  <c r="AC38" i="21"/>
  <c r="AA39" i="21"/>
  <c r="AH39" i="21"/>
  <c r="AE47" i="21"/>
  <c r="X47" i="21"/>
  <c r="AD47" i="21" s="1"/>
  <c r="AH50" i="21"/>
  <c r="AC43" i="21"/>
  <c r="AJ43" i="21"/>
  <c r="AJ59" i="21"/>
  <c r="AC59" i="21"/>
  <c r="X40" i="21"/>
  <c r="AE40" i="21"/>
  <c r="AG51" i="21"/>
  <c r="Z51" i="21"/>
  <c r="AG38" i="21"/>
  <c r="Z38" i="21"/>
  <c r="W43" i="21"/>
  <c r="W47" i="21"/>
  <c r="W40" i="21"/>
  <c r="W55" i="21"/>
  <c r="W41" i="21"/>
  <c r="W42" i="21"/>
  <c r="W49" i="21"/>
  <c r="W48" i="21"/>
  <c r="W39" i="21"/>
  <c r="W54" i="21"/>
  <c r="W45" i="21"/>
  <c r="W44" i="21"/>
  <c r="J42" i="21"/>
  <c r="D42" i="21"/>
  <c r="D38" i="21"/>
  <c r="J38" i="21"/>
  <c r="I38" i="21"/>
  <c r="H38" i="21"/>
  <c r="G38" i="21"/>
  <c r="J48" i="21"/>
  <c r="D34" i="5"/>
  <c r="A35" i="5"/>
  <c r="D41" i="21"/>
  <c r="J41" i="21"/>
  <c r="F41" i="21"/>
  <c r="D53" i="21"/>
  <c r="F53" i="21"/>
  <c r="J53" i="21"/>
  <c r="D49" i="21"/>
  <c r="J49" i="21"/>
  <c r="F49" i="21"/>
  <c r="D39" i="21"/>
  <c r="F39" i="21"/>
  <c r="J39" i="21"/>
  <c r="D50" i="21"/>
  <c r="F50" i="21"/>
  <c r="J50" i="21"/>
  <c r="D45" i="21"/>
  <c r="F45" i="21"/>
  <c r="J45" i="21"/>
  <c r="D48" i="21"/>
  <c r="F48" i="21"/>
  <c r="D47" i="21"/>
  <c r="J47" i="21"/>
  <c r="F47" i="21"/>
  <c r="D51" i="21"/>
  <c r="F51" i="21"/>
  <c r="J51" i="21"/>
  <c r="D52" i="21"/>
  <c r="F52" i="21"/>
  <c r="J52" i="21"/>
  <c r="D43" i="21"/>
  <c r="F43" i="21"/>
  <c r="J43" i="21"/>
  <c r="D40" i="21"/>
  <c r="F40" i="21"/>
  <c r="J40" i="21"/>
  <c r="D46" i="21"/>
  <c r="F46" i="21"/>
  <c r="J46" i="21"/>
  <c r="D44" i="21"/>
  <c r="J44" i="21"/>
  <c r="F44" i="21"/>
  <c r="C54" i="21"/>
  <c r="M54" i="21"/>
  <c r="A55" i="21"/>
  <c r="W50" i="21" l="1"/>
  <c r="AG53" i="21"/>
  <c r="X59" i="21"/>
  <c r="AE50" i="21"/>
  <c r="X57" i="21"/>
  <c r="AD57" i="21" s="1"/>
  <c r="AE57" i="21"/>
  <c r="W52" i="21"/>
  <c r="AA58" i="21"/>
  <c r="AD58" i="21" s="1"/>
  <c r="AA52" i="21"/>
  <c r="AD52" i="21" s="1"/>
  <c r="AH58" i="21"/>
  <c r="AE48" i="21"/>
  <c r="AK48" i="21" s="1"/>
  <c r="Z48" i="21"/>
  <c r="AD48" i="21" s="1"/>
  <c r="AB52" i="21"/>
  <c r="AD55" i="21"/>
  <c r="AK58" i="21"/>
  <c r="AF50" i="21"/>
  <c r="AK50" i="21" s="1"/>
  <c r="AD45" i="21"/>
  <c r="AK38" i="21"/>
  <c r="K38" i="21"/>
  <c r="B10" i="21" s="1"/>
  <c r="AK46" i="21"/>
  <c r="AD49" i="21"/>
  <c r="AD56" i="21"/>
  <c r="AK52" i="21"/>
  <c r="AK57" i="21"/>
  <c r="AK56" i="21"/>
  <c r="AD44" i="21"/>
  <c r="AK53" i="21"/>
  <c r="AD38" i="21"/>
  <c r="AD51" i="21"/>
  <c r="AK44" i="21"/>
  <c r="AD53" i="21"/>
  <c r="AK45" i="21"/>
  <c r="AK39" i="21"/>
  <c r="AD41" i="21"/>
  <c r="AK51" i="21"/>
  <c r="AD54" i="21"/>
  <c r="AK41" i="21"/>
  <c r="AK59" i="21"/>
  <c r="AK55" i="21"/>
  <c r="AD59" i="21"/>
  <c r="AD39" i="21"/>
  <c r="AK40" i="21"/>
  <c r="AK54" i="21"/>
  <c r="AD50" i="21"/>
  <c r="AD40" i="21"/>
  <c r="AK49" i="21"/>
  <c r="AD43" i="21"/>
  <c r="AD42" i="21"/>
  <c r="AK43" i="21"/>
  <c r="AK47" i="21"/>
  <c r="AK42" i="21"/>
  <c r="AD46" i="21"/>
  <c r="A36" i="5"/>
  <c r="D35" i="5"/>
  <c r="D54" i="21"/>
  <c r="J54" i="21"/>
  <c r="F54" i="21"/>
  <c r="C55" i="21"/>
  <c r="M55" i="21"/>
  <c r="A56" i="21"/>
  <c r="AD60" i="21" l="1"/>
  <c r="AK60" i="21"/>
  <c r="H54" i="21"/>
  <c r="H51" i="21"/>
  <c r="I48" i="21"/>
  <c r="G54" i="21"/>
  <c r="G40" i="21"/>
  <c r="A37" i="5"/>
  <c r="D36" i="5"/>
  <c r="D55" i="21"/>
  <c r="F55" i="21"/>
  <c r="G55" i="21"/>
  <c r="J55" i="21"/>
  <c r="H55" i="21"/>
  <c r="I55" i="21"/>
  <c r="G42" i="21"/>
  <c r="G47" i="21"/>
  <c r="G43" i="21"/>
  <c r="G45" i="21"/>
  <c r="G52" i="21"/>
  <c r="G51" i="21"/>
  <c r="G49" i="21"/>
  <c r="G44" i="21"/>
  <c r="G50" i="21"/>
  <c r="G41" i="21"/>
  <c r="G39" i="21"/>
  <c r="G46" i="21"/>
  <c r="G48" i="21"/>
  <c r="G53" i="21"/>
  <c r="I42" i="21"/>
  <c r="I45" i="21"/>
  <c r="I50" i="21"/>
  <c r="I51" i="21"/>
  <c r="I49" i="21"/>
  <c r="I40" i="21"/>
  <c r="I41" i="21"/>
  <c r="I52" i="21"/>
  <c r="I43" i="21"/>
  <c r="I47" i="21"/>
  <c r="I44" i="21"/>
  <c r="I46" i="21"/>
  <c r="I53" i="21"/>
  <c r="I39" i="21"/>
  <c r="H42" i="21"/>
  <c r="H41" i="21"/>
  <c r="H52" i="21"/>
  <c r="H50" i="21"/>
  <c r="H43" i="21"/>
  <c r="H47" i="21"/>
  <c r="H45" i="21"/>
  <c r="H44" i="21"/>
  <c r="H40" i="21"/>
  <c r="H39" i="21"/>
  <c r="H49" i="21"/>
  <c r="H46" i="21"/>
  <c r="H48" i="21"/>
  <c r="H53" i="21"/>
  <c r="I54" i="21"/>
  <c r="C56" i="21"/>
  <c r="E51" i="21"/>
  <c r="E54" i="21"/>
  <c r="E45" i="21"/>
  <c r="E47" i="21"/>
  <c r="E48" i="21"/>
  <c r="E53" i="21"/>
  <c r="E55" i="21"/>
  <c r="E49" i="21"/>
  <c r="E46" i="21"/>
  <c r="E50" i="21"/>
  <c r="E52" i="21"/>
  <c r="E44" i="21"/>
  <c r="A57" i="21"/>
  <c r="M56" i="21"/>
  <c r="E43" i="21"/>
  <c r="E39" i="21"/>
  <c r="E40" i="21"/>
  <c r="E41" i="21"/>
  <c r="E42" i="21"/>
  <c r="K47" i="21" l="1"/>
  <c r="B19" i="21" s="1"/>
  <c r="A38" i="5"/>
  <c r="D37" i="5"/>
  <c r="J56" i="21"/>
  <c r="G56" i="21"/>
  <c r="F56" i="21"/>
  <c r="H56" i="21"/>
  <c r="I56" i="21"/>
  <c r="D56" i="21"/>
  <c r="E56" i="21"/>
  <c r="C57" i="21"/>
  <c r="K46" i="21"/>
  <c r="B18" i="21" s="1"/>
  <c r="K55" i="21"/>
  <c r="B27" i="21" s="1"/>
  <c r="K54" i="21"/>
  <c r="B26" i="21" s="1"/>
  <c r="K50" i="21"/>
  <c r="B22" i="21" s="1"/>
  <c r="K51" i="21"/>
  <c r="B23" i="21" s="1"/>
  <c r="K53" i="21"/>
  <c r="B25" i="21" s="1"/>
  <c r="K48" i="21"/>
  <c r="B20" i="21" s="1"/>
  <c r="K52" i="21"/>
  <c r="B24" i="21" s="1"/>
  <c r="K49" i="21"/>
  <c r="B21" i="21" s="1"/>
  <c r="K44" i="21"/>
  <c r="B16" i="21" s="1"/>
  <c r="K45" i="21"/>
  <c r="B17" i="21" s="1"/>
  <c r="A58" i="21"/>
  <c r="M57" i="21"/>
  <c r="K43" i="21"/>
  <c r="B15" i="21" s="1"/>
  <c r="K40" i="21"/>
  <c r="B12" i="21" s="1"/>
  <c r="K42" i="21"/>
  <c r="B14" i="21" s="1"/>
  <c r="K39" i="21"/>
  <c r="B11" i="21" s="1"/>
  <c r="K41" i="21"/>
  <c r="B13" i="21" s="1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C43" i="5"/>
  <c r="C4" i="5" s="1"/>
  <c r="B12" i="41" s="1"/>
  <c r="D12" i="41" s="1"/>
  <c r="E12" i="41" s="1"/>
  <c r="A39" i="5" l="1"/>
  <c r="D38" i="5"/>
  <c r="F57" i="21"/>
  <c r="G57" i="21"/>
  <c r="H57" i="21"/>
  <c r="I57" i="21"/>
  <c r="J57" i="21"/>
  <c r="C36" i="5"/>
  <c r="C37" i="5"/>
  <c r="C38" i="5"/>
  <c r="C39" i="5"/>
  <c r="C25" i="5"/>
  <c r="C26" i="5"/>
  <c r="C27" i="5"/>
  <c r="C28" i="5"/>
  <c r="C29" i="5"/>
  <c r="C32" i="5"/>
  <c r="C33" i="5"/>
  <c r="C34" i="5"/>
  <c r="C35" i="5"/>
  <c r="D57" i="21"/>
  <c r="E57" i="21"/>
  <c r="C58" i="21"/>
  <c r="A59" i="21"/>
  <c r="M58" i="21"/>
  <c r="B25" i="5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C13" i="5"/>
  <c r="C12" i="5"/>
  <c r="C18" i="5"/>
  <c r="C21" i="5"/>
  <c r="C22" i="5"/>
  <c r="C5" i="5"/>
  <c r="C31" i="5"/>
  <c r="C30" i="5"/>
  <c r="C24" i="5"/>
  <c r="C7" i="5"/>
  <c r="C17" i="5"/>
  <c r="C15" i="5"/>
  <c r="C6" i="5"/>
  <c r="C9" i="5"/>
  <c r="C20" i="5"/>
  <c r="C11" i="5"/>
  <c r="C23" i="5"/>
  <c r="C14" i="5"/>
  <c r="C19" i="5"/>
  <c r="C10" i="5"/>
  <c r="C8" i="5"/>
  <c r="C16" i="5"/>
  <c r="A40" i="5" l="1"/>
  <c r="D39" i="5"/>
  <c r="H58" i="21"/>
  <c r="J58" i="21"/>
  <c r="F58" i="21"/>
  <c r="G58" i="21"/>
  <c r="I58" i="21"/>
  <c r="K56" i="21"/>
  <c r="E58" i="21"/>
  <c r="D58" i="21"/>
  <c r="C59" i="21"/>
  <c r="M59" i="21"/>
  <c r="B28" i="21" l="1"/>
  <c r="A41" i="5"/>
  <c r="D40" i="5"/>
  <c r="C40" i="5"/>
  <c r="G59" i="21"/>
  <c r="H59" i="21"/>
  <c r="I59" i="21"/>
  <c r="J59" i="21"/>
  <c r="F59" i="21"/>
  <c r="D59" i="21"/>
  <c r="E59" i="21"/>
  <c r="K57" i="21"/>
  <c r="B29" i="21" s="1"/>
  <c r="B18" i="41" l="1"/>
  <c r="B15" i="41"/>
  <c r="D15" i="41" s="1"/>
  <c r="B17" i="41"/>
  <c r="B14" i="41"/>
  <c r="D14" i="41" s="1"/>
  <c r="B16" i="41"/>
  <c r="D16" i="41" s="1"/>
  <c r="A42" i="5"/>
  <c r="D41" i="5"/>
  <c r="C41" i="5"/>
  <c r="K58" i="21"/>
  <c r="B30" i="21" s="1"/>
  <c r="D42" i="5" l="1"/>
  <c r="C42" i="5"/>
  <c r="K59" i="21"/>
  <c r="B31" i="21" s="1"/>
  <c r="D31" i="21" s="1"/>
  <c r="B32" i="21" l="1"/>
  <c r="K60" i="21"/>
  <c r="C18" i="41" l="1"/>
  <c r="D18" i="41" s="1"/>
  <c r="C17" i="41" l="1"/>
  <c r="D17" i="41" l="1"/>
  <c r="B13" i="41" l="1"/>
  <c r="D13" i="41" s="1"/>
  <c r="E13" i="41" s="1"/>
  <c r="G31" i="27" l="1"/>
  <c r="G18" i="27"/>
  <c r="G25" i="27"/>
  <c r="G20" i="27"/>
  <c r="G19" i="27"/>
  <c r="G16" i="27"/>
  <c r="G30" i="27"/>
  <c r="G32" i="27"/>
  <c r="U39" i="41" s="1"/>
  <c r="G22" i="27"/>
  <c r="G27" i="27"/>
  <c r="G14" i="27"/>
  <c r="G21" i="27"/>
  <c r="G29" i="27"/>
  <c r="G26" i="27"/>
  <c r="G17" i="27"/>
  <c r="G23" i="27"/>
  <c r="G28" i="27"/>
  <c r="G15" i="27"/>
  <c r="G24" i="27"/>
  <c r="G34" i="27" l="1"/>
  <c r="U23" i="41"/>
  <c r="H16" i="27"/>
  <c r="V23" i="41" s="1"/>
  <c r="B23" i="41" s="1"/>
  <c r="U34" i="41"/>
  <c r="H27" i="27"/>
  <c r="V34" i="41" s="1"/>
  <c r="B34" i="41" s="1"/>
  <c r="U32" i="41"/>
  <c r="H25" i="27"/>
  <c r="V32" i="41" s="1"/>
  <c r="B32" i="41" s="1"/>
  <c r="U20" i="41"/>
  <c r="H13" i="27"/>
  <c r="V20" i="41" s="1"/>
  <c r="B20" i="41" s="1"/>
  <c r="U37" i="41"/>
  <c r="H30" i="27"/>
  <c r="V37" i="41" s="1"/>
  <c r="B37" i="41" s="1"/>
  <c r="U25" i="41"/>
  <c r="H18" i="27"/>
  <c r="V25" i="41" s="1"/>
  <c r="B25" i="41" s="1"/>
  <c r="H32" i="27"/>
  <c r="V39" i="41" s="1"/>
  <c r="B39" i="41" s="1"/>
  <c r="U24" i="41"/>
  <c r="H17" i="27"/>
  <c r="V24" i="41" s="1"/>
  <c r="B24" i="41" s="1"/>
  <c r="U29" i="41"/>
  <c r="H22" i="27"/>
  <c r="V29" i="41" s="1"/>
  <c r="B29" i="41" s="1"/>
  <c r="U30" i="41"/>
  <c r="H23" i="27"/>
  <c r="V30" i="41" s="1"/>
  <c r="B30" i="41" s="1"/>
  <c r="V40" i="41"/>
  <c r="U28" i="41"/>
  <c r="H21" i="27"/>
  <c r="V28" i="41" s="1"/>
  <c r="B28" i="41" s="1"/>
  <c r="U35" i="41"/>
  <c r="H28" i="27"/>
  <c r="V35" i="41" s="1"/>
  <c r="B35" i="41" s="1"/>
  <c r="U26" i="41"/>
  <c r="H19" i="27"/>
  <c r="V26" i="41" s="1"/>
  <c r="B26" i="41" s="1"/>
  <c r="U33" i="41"/>
  <c r="H26" i="27"/>
  <c r="V33" i="41" s="1"/>
  <c r="B33" i="41" s="1"/>
  <c r="U21" i="41"/>
  <c r="H14" i="27"/>
  <c r="V21" i="41" s="1"/>
  <c r="B21" i="41" s="1"/>
  <c r="U38" i="41"/>
  <c r="H31" i="27"/>
  <c r="V38" i="41" s="1"/>
  <c r="B38" i="41" s="1"/>
  <c r="U22" i="41"/>
  <c r="H15" i="27"/>
  <c r="V22" i="41" s="1"/>
  <c r="B22" i="41" s="1"/>
  <c r="U19" i="41"/>
  <c r="H12" i="27"/>
  <c r="U27" i="41"/>
  <c r="H20" i="27"/>
  <c r="V27" i="41" s="1"/>
  <c r="U36" i="41"/>
  <c r="H29" i="27"/>
  <c r="V36" i="41" s="1"/>
  <c r="B36" i="41" s="1"/>
  <c r="U31" i="41"/>
  <c r="H24" i="27"/>
  <c r="V31" i="41" s="1"/>
  <c r="B31" i="41" s="1"/>
  <c r="E14" i="41"/>
  <c r="E15" i="41" s="1"/>
  <c r="E16" i="41" s="1"/>
  <c r="B27" i="41"/>
  <c r="U41" i="41" l="1"/>
  <c r="B40" i="41"/>
  <c r="H34" i="27"/>
  <c r="V19" i="41"/>
  <c r="V41" i="41" s="1"/>
  <c r="E17" i="41"/>
  <c r="E18" i="41" s="1"/>
  <c r="B19" i="41"/>
  <c r="B41" i="41" l="1"/>
  <c r="E3" i="12" l="1"/>
  <c r="G71" i="51" l="1"/>
  <c r="F39" i="51" s="1"/>
  <c r="K11" i="51"/>
  <c r="M11" i="51" s="1"/>
  <c r="R71" i="51" l="1"/>
  <c r="H11" i="51"/>
  <c r="J11" i="51"/>
  <c r="L11" i="51" s="1"/>
  <c r="N11" i="51" s="1"/>
  <c r="I11" i="51"/>
  <c r="G39" i="51"/>
  <c r="I39" i="51" l="1"/>
  <c r="S71" i="51"/>
  <c r="C8" i="47"/>
  <c r="K39" i="51"/>
  <c r="O11" i="51"/>
  <c r="J19" i="41"/>
  <c r="H39" i="51" l="1"/>
  <c r="J39" i="51" s="1"/>
  <c r="B8" i="47"/>
  <c r="D8" i="47" s="1"/>
  <c r="F8" i="47"/>
  <c r="H8" i="47" s="1"/>
  <c r="E8" i="47"/>
  <c r="L39" i="51"/>
  <c r="K19" i="41" l="1"/>
  <c r="M39" i="51"/>
  <c r="M19" i="41"/>
  <c r="Q19" i="41" s="1"/>
  <c r="G8" i="47"/>
  <c r="I8" i="47" l="1"/>
  <c r="L19" i="41"/>
  <c r="J8" i="47"/>
  <c r="E10" i="21" l="1"/>
  <c r="N19" i="41"/>
  <c r="P19" i="41" l="1"/>
  <c r="O19" i="41"/>
  <c r="C19" i="41" l="1"/>
  <c r="R19" i="41"/>
  <c r="D19" i="41" l="1"/>
  <c r="E19" i="41" l="1"/>
  <c r="F92" i="51"/>
  <c r="I32" i="51" s="1"/>
  <c r="F91" i="51"/>
  <c r="I31" i="51" s="1"/>
  <c r="F81" i="51"/>
  <c r="I21" i="51" s="1"/>
  <c r="I82" i="51"/>
  <c r="L82" i="51" s="1"/>
  <c r="F86" i="51"/>
  <c r="G54" i="51" s="1"/>
  <c r="F88" i="51"/>
  <c r="G56" i="51" s="1"/>
  <c r="F78" i="51"/>
  <c r="I18" i="51" s="1"/>
  <c r="F85" i="51"/>
  <c r="I25" i="51" s="1"/>
  <c r="F87" i="51"/>
  <c r="G87" i="51" s="1"/>
  <c r="F89" i="51"/>
  <c r="I29" i="51" s="1"/>
  <c r="F90" i="51"/>
  <c r="I30" i="51" s="1"/>
  <c r="F84" i="51"/>
  <c r="I24" i="51" s="1"/>
  <c r="I83" i="51"/>
  <c r="I88" i="51"/>
  <c r="L88" i="51" s="1"/>
  <c r="I74" i="51"/>
  <c r="L74" i="51" s="1"/>
  <c r="I92" i="51"/>
  <c r="L92" i="51" s="1"/>
  <c r="F83" i="51"/>
  <c r="G51" i="51" s="1"/>
  <c r="O90" i="51"/>
  <c r="R90" i="51" s="1"/>
  <c r="I58" i="51" s="1"/>
  <c r="K58" i="51" s="1"/>
  <c r="I89" i="51"/>
  <c r="I79" i="51"/>
  <c r="L79" i="51" s="1"/>
  <c r="F75" i="51"/>
  <c r="I15" i="51" s="1"/>
  <c r="F72" i="51"/>
  <c r="I12" i="51" s="1"/>
  <c r="I90" i="51"/>
  <c r="L90" i="51" s="1"/>
  <c r="F82" i="51"/>
  <c r="G82" i="51" s="1"/>
  <c r="I73" i="51"/>
  <c r="L73" i="51" s="1"/>
  <c r="O80" i="51"/>
  <c r="R80" i="51" s="1"/>
  <c r="I76" i="51"/>
  <c r="L76" i="51" s="1"/>
  <c r="O82" i="51"/>
  <c r="R82" i="51" s="1"/>
  <c r="O85" i="51"/>
  <c r="R85" i="51" s="1"/>
  <c r="I77" i="51"/>
  <c r="L77" i="51" s="1"/>
  <c r="I85" i="51"/>
  <c r="L85" i="51" s="1"/>
  <c r="I80" i="51"/>
  <c r="L80" i="51" s="1"/>
  <c r="F77" i="51"/>
  <c r="G77" i="51" s="1"/>
  <c r="F74" i="51"/>
  <c r="G74" i="51" s="1"/>
  <c r="O75" i="51"/>
  <c r="O89" i="51"/>
  <c r="R89" i="51" s="1"/>
  <c r="I78" i="51"/>
  <c r="L78" i="51" s="1"/>
  <c r="O83" i="51"/>
  <c r="I91" i="51"/>
  <c r="L91" i="51" s="1"/>
  <c r="I75" i="51"/>
  <c r="L75" i="51" s="1"/>
  <c r="O86" i="51"/>
  <c r="R86" i="51" s="1"/>
  <c r="I72" i="51"/>
  <c r="L72" i="51" s="1"/>
  <c r="I84" i="51"/>
  <c r="L84" i="51" s="1"/>
  <c r="O78" i="51"/>
  <c r="R78" i="51" s="1"/>
  <c r="O87" i="51"/>
  <c r="R87" i="51" s="1"/>
  <c r="I86" i="51"/>
  <c r="L86" i="51" s="1"/>
  <c r="F80" i="51"/>
  <c r="I20" i="51" s="1"/>
  <c r="O74" i="51"/>
  <c r="R74" i="51" s="1"/>
  <c r="O92" i="51"/>
  <c r="O88" i="51"/>
  <c r="O76" i="51"/>
  <c r="O84" i="51"/>
  <c r="O72" i="51"/>
  <c r="R72" i="51" s="1"/>
  <c r="G92" i="51"/>
  <c r="F60" i="51" s="1"/>
  <c r="O77" i="51"/>
  <c r="R77" i="51" s="1"/>
  <c r="F79" i="51"/>
  <c r="G79" i="51" s="1"/>
  <c r="O91" i="51"/>
  <c r="R91" i="51" s="1"/>
  <c r="F73" i="51"/>
  <c r="G73" i="51" s="1"/>
  <c r="O73" i="51"/>
  <c r="R73" i="51" s="1"/>
  <c r="I87" i="51"/>
  <c r="L87" i="51" s="1"/>
  <c r="F76" i="51"/>
  <c r="G76" i="51" s="1"/>
  <c r="O81" i="51"/>
  <c r="O79" i="51"/>
  <c r="R79" i="51" s="1"/>
  <c r="I81" i="51"/>
  <c r="G84" i="51" l="1"/>
  <c r="H24" i="51" s="1"/>
  <c r="G90" i="51"/>
  <c r="H30" i="51" s="1"/>
  <c r="G89" i="51"/>
  <c r="F57" i="51" s="1"/>
  <c r="G81" i="51"/>
  <c r="H21" i="51" s="1"/>
  <c r="R76" i="51"/>
  <c r="R92" i="51"/>
  <c r="R81" i="51"/>
  <c r="C18" i="47" s="1"/>
  <c r="R84" i="51"/>
  <c r="I52" i="51" s="1"/>
  <c r="K52" i="51" s="1"/>
  <c r="L89" i="51"/>
  <c r="K29" i="51" s="1"/>
  <c r="M29" i="51" s="1"/>
  <c r="L83" i="51"/>
  <c r="K23" i="51" s="1"/>
  <c r="M23" i="51" s="1"/>
  <c r="R88" i="51"/>
  <c r="S88" i="51" s="1"/>
  <c r="L81" i="51"/>
  <c r="K21" i="51" s="1"/>
  <c r="M21" i="51" s="1"/>
  <c r="R75" i="51"/>
  <c r="S75" i="51" s="1"/>
  <c r="R83" i="51"/>
  <c r="S83" i="51" s="1"/>
  <c r="I13" i="51"/>
  <c r="K25" i="51"/>
  <c r="M25" i="51" s="1"/>
  <c r="G91" i="51"/>
  <c r="H31" i="51" s="1"/>
  <c r="G85" i="51"/>
  <c r="K31" i="51"/>
  <c r="M31" i="51" s="1"/>
  <c r="G88" i="51"/>
  <c r="H28" i="51" s="1"/>
  <c r="G78" i="51"/>
  <c r="H18" i="51" s="1"/>
  <c r="C19" i="47"/>
  <c r="K27" i="51"/>
  <c r="M27" i="51" s="1"/>
  <c r="I55" i="51"/>
  <c r="K55" i="51" s="1"/>
  <c r="S90" i="51"/>
  <c r="B27" i="47" s="1"/>
  <c r="I28" i="51"/>
  <c r="I14" i="51"/>
  <c r="F49" i="51"/>
  <c r="I48" i="51"/>
  <c r="K48" i="51" s="1"/>
  <c r="G86" i="51"/>
  <c r="G50" i="51"/>
  <c r="M91" i="51"/>
  <c r="J31" i="51" s="1"/>
  <c r="L31" i="51" s="1"/>
  <c r="G59" i="51"/>
  <c r="K17" i="51"/>
  <c r="M17" i="51" s="1"/>
  <c r="F52" i="51"/>
  <c r="K18" i="51"/>
  <c r="M18" i="51" s="1"/>
  <c r="G57" i="51"/>
  <c r="G43" i="51"/>
  <c r="G83" i="51"/>
  <c r="H23" i="51" s="1"/>
  <c r="S78" i="51"/>
  <c r="H46" i="51" s="1"/>
  <c r="J46" i="51" s="1"/>
  <c r="K24" i="51"/>
  <c r="M24" i="51" s="1"/>
  <c r="G47" i="51"/>
  <c r="C28" i="47"/>
  <c r="I59" i="51"/>
  <c r="K59" i="51" s="1"/>
  <c r="F45" i="51"/>
  <c r="H17" i="51"/>
  <c r="H32" i="51"/>
  <c r="F58" i="51"/>
  <c r="F42" i="51"/>
  <c r="H14" i="51"/>
  <c r="K13" i="51"/>
  <c r="M13" i="51" s="1"/>
  <c r="F50" i="51"/>
  <c r="H22" i="51"/>
  <c r="K22" i="51"/>
  <c r="M22" i="51" s="1"/>
  <c r="M82" i="51"/>
  <c r="J22" i="51" s="1"/>
  <c r="L22" i="51" s="1"/>
  <c r="N22" i="51" s="1"/>
  <c r="S91" i="51"/>
  <c r="I49" i="51"/>
  <c r="K49" i="51" s="1"/>
  <c r="S84" i="51"/>
  <c r="H13" i="51"/>
  <c r="F41" i="51"/>
  <c r="S73" i="51"/>
  <c r="F47" i="51"/>
  <c r="H19" i="51"/>
  <c r="I16" i="51"/>
  <c r="I19" i="51"/>
  <c r="F55" i="51"/>
  <c r="H27" i="51"/>
  <c r="S77" i="51"/>
  <c r="C26" i="47"/>
  <c r="I57" i="51"/>
  <c r="K57" i="51" s="1"/>
  <c r="I46" i="51"/>
  <c r="K46" i="51" s="1"/>
  <c r="G41" i="51"/>
  <c r="H16" i="51"/>
  <c r="F44" i="51"/>
  <c r="G44" i="51"/>
  <c r="S79" i="51"/>
  <c r="G53" i="51"/>
  <c r="G46" i="51"/>
  <c r="G60" i="51"/>
  <c r="G42" i="51"/>
  <c r="K26" i="51"/>
  <c r="M26" i="51" s="1"/>
  <c r="G75" i="51"/>
  <c r="K16" i="51"/>
  <c r="M16" i="51" s="1"/>
  <c r="K30" i="51"/>
  <c r="M30" i="51" s="1"/>
  <c r="C27" i="47"/>
  <c r="K14" i="51"/>
  <c r="M14" i="51" s="1"/>
  <c r="I26" i="51"/>
  <c r="K15" i="51"/>
  <c r="M15" i="51" s="1"/>
  <c r="G72" i="51"/>
  <c r="G49" i="51"/>
  <c r="K20" i="51"/>
  <c r="M20" i="51" s="1"/>
  <c r="H29" i="51"/>
  <c r="F51" i="51"/>
  <c r="I27" i="51"/>
  <c r="S85" i="51"/>
  <c r="K32" i="51"/>
  <c r="M32" i="51" s="1"/>
  <c r="G58" i="51"/>
  <c r="S89" i="51"/>
  <c r="G55" i="51"/>
  <c r="K28" i="51"/>
  <c r="M28" i="51" s="1"/>
  <c r="G52" i="51"/>
  <c r="I23" i="51"/>
  <c r="G48" i="51"/>
  <c r="I17" i="51"/>
  <c r="M85" i="51"/>
  <c r="J25" i="51" s="1"/>
  <c r="L25" i="51" s="1"/>
  <c r="G40" i="51"/>
  <c r="G80" i="51"/>
  <c r="G45" i="51"/>
  <c r="I22" i="51"/>
  <c r="S81" i="51" l="1"/>
  <c r="N31" i="51"/>
  <c r="C21" i="47"/>
  <c r="M81" i="51"/>
  <c r="J21" i="51" s="1"/>
  <c r="L21" i="51" s="1"/>
  <c r="F56" i="51"/>
  <c r="F46" i="51"/>
  <c r="M83" i="51"/>
  <c r="J23" i="51" s="1"/>
  <c r="L23" i="51" s="1"/>
  <c r="N23" i="51" s="1"/>
  <c r="M89" i="51"/>
  <c r="J29" i="51" s="1"/>
  <c r="L29" i="51" s="1"/>
  <c r="N29" i="51" s="1"/>
  <c r="N21" i="51"/>
  <c r="D14" i="21"/>
  <c r="N23" i="41" s="1"/>
  <c r="N25" i="51"/>
  <c r="O25" i="51" s="1"/>
  <c r="C24" i="47"/>
  <c r="C15" i="47"/>
  <c r="S87" i="51"/>
  <c r="H55" i="51" s="1"/>
  <c r="J55" i="51" s="1"/>
  <c r="L55" i="51" s="1"/>
  <c r="I50" i="51"/>
  <c r="K50" i="51" s="1"/>
  <c r="F59" i="51"/>
  <c r="S82" i="51"/>
  <c r="B19" i="47" s="1"/>
  <c r="M84" i="51"/>
  <c r="J24" i="51" s="1"/>
  <c r="L24" i="51" s="1"/>
  <c r="N24" i="51" s="1"/>
  <c r="F53" i="51"/>
  <c r="H25" i="51"/>
  <c r="M78" i="51"/>
  <c r="J18" i="51" s="1"/>
  <c r="L18" i="51" s="1"/>
  <c r="N18" i="51" s="1"/>
  <c r="J26" i="41" s="1"/>
  <c r="M87" i="51"/>
  <c r="J27" i="51" s="1"/>
  <c r="L27" i="51" s="1"/>
  <c r="N27" i="51" s="1"/>
  <c r="O27" i="51" s="1"/>
  <c r="S80" i="51"/>
  <c r="B17" i="47" s="1"/>
  <c r="H58" i="51"/>
  <c r="J58" i="51" s="1"/>
  <c r="L58" i="51" s="1"/>
  <c r="M58" i="51" s="1"/>
  <c r="K12" i="51"/>
  <c r="M12" i="51" s="1"/>
  <c r="M72" i="51"/>
  <c r="J12" i="51" s="1"/>
  <c r="L12" i="51" s="1"/>
  <c r="H26" i="51"/>
  <c r="F54" i="51"/>
  <c r="M88" i="51"/>
  <c r="J28" i="51" s="1"/>
  <c r="L28" i="51" s="1"/>
  <c r="N28" i="51" s="1"/>
  <c r="J36" i="41" s="1"/>
  <c r="M77" i="51"/>
  <c r="J17" i="51" s="1"/>
  <c r="L17" i="51" s="1"/>
  <c r="N17" i="51" s="1"/>
  <c r="J25" i="41" s="1"/>
  <c r="M75" i="51"/>
  <c r="J15" i="51" s="1"/>
  <c r="L15" i="51" s="1"/>
  <c r="N15" i="51" s="1"/>
  <c r="J23" i="41" s="1"/>
  <c r="C17" i="47"/>
  <c r="B15" i="47"/>
  <c r="H51" i="51"/>
  <c r="J51" i="51" s="1"/>
  <c r="B20" i="47"/>
  <c r="B25" i="47"/>
  <c r="H56" i="51"/>
  <c r="J56" i="51" s="1"/>
  <c r="F27" i="47"/>
  <c r="H27" i="47" s="1"/>
  <c r="M38" i="41" s="1"/>
  <c r="Q38" i="41" s="1"/>
  <c r="D27" i="47"/>
  <c r="E27" i="47"/>
  <c r="H47" i="51"/>
  <c r="J47" i="51" s="1"/>
  <c r="B16" i="47"/>
  <c r="D15" i="21"/>
  <c r="F43" i="51"/>
  <c r="H15" i="51"/>
  <c r="I44" i="51"/>
  <c r="K44" i="51" s="1"/>
  <c r="C13" i="47"/>
  <c r="B24" i="47"/>
  <c r="J39" i="41"/>
  <c r="O31" i="51"/>
  <c r="M80" i="51"/>
  <c r="J20" i="51" s="1"/>
  <c r="L20" i="51" s="1"/>
  <c r="N20" i="51" s="1"/>
  <c r="C23" i="47"/>
  <c r="I54" i="51"/>
  <c r="K54" i="51" s="1"/>
  <c r="I60" i="51"/>
  <c r="K60" i="51" s="1"/>
  <c r="C29" i="47"/>
  <c r="C9" i="47"/>
  <c r="I40" i="51"/>
  <c r="K40" i="51" s="1"/>
  <c r="S72" i="51"/>
  <c r="O22" i="51"/>
  <c r="J30" i="41"/>
  <c r="H59" i="51"/>
  <c r="J59" i="51" s="1"/>
  <c r="L59" i="51" s="1"/>
  <c r="B28" i="47"/>
  <c r="M92" i="51"/>
  <c r="J32" i="51" s="1"/>
  <c r="L32" i="51" s="1"/>
  <c r="N32" i="51" s="1"/>
  <c r="C14" i="47"/>
  <c r="I45" i="51"/>
  <c r="K45" i="51" s="1"/>
  <c r="M90" i="51"/>
  <c r="J30" i="51" s="1"/>
  <c r="L30" i="51" s="1"/>
  <c r="N30" i="51" s="1"/>
  <c r="M76" i="51"/>
  <c r="J16" i="51" s="1"/>
  <c r="L16" i="51" s="1"/>
  <c r="N16" i="51" s="1"/>
  <c r="S86" i="51"/>
  <c r="K19" i="51"/>
  <c r="M19" i="51" s="1"/>
  <c r="M79" i="51"/>
  <c r="J19" i="51" s="1"/>
  <c r="L19" i="51" s="1"/>
  <c r="H52" i="51"/>
  <c r="J52" i="51" s="1"/>
  <c r="L52" i="51" s="1"/>
  <c r="B21" i="47"/>
  <c r="S76" i="51"/>
  <c r="B10" i="47"/>
  <c r="H41" i="51"/>
  <c r="J41" i="51" s="1"/>
  <c r="C10" i="47"/>
  <c r="I41" i="51"/>
  <c r="K41" i="51" s="1"/>
  <c r="H53" i="51"/>
  <c r="J53" i="51" s="1"/>
  <c r="B22" i="47"/>
  <c r="H12" i="51"/>
  <c r="F40" i="51"/>
  <c r="I53" i="51"/>
  <c r="K53" i="51" s="1"/>
  <c r="C22" i="47"/>
  <c r="C11" i="47"/>
  <c r="I42" i="51"/>
  <c r="K42" i="51" s="1"/>
  <c r="S74" i="51"/>
  <c r="F48" i="51"/>
  <c r="H20" i="51"/>
  <c r="H45" i="51"/>
  <c r="J45" i="51" s="1"/>
  <c r="B14" i="47"/>
  <c r="L46" i="51"/>
  <c r="I51" i="51"/>
  <c r="K51" i="51" s="1"/>
  <c r="C20" i="47"/>
  <c r="B12" i="47"/>
  <c r="H43" i="51"/>
  <c r="J43" i="51" s="1"/>
  <c r="M86" i="51"/>
  <c r="J26" i="51" s="1"/>
  <c r="L26" i="51" s="1"/>
  <c r="N26" i="51" s="1"/>
  <c r="H57" i="51"/>
  <c r="J57" i="51" s="1"/>
  <c r="L57" i="51" s="1"/>
  <c r="B26" i="47"/>
  <c r="I43" i="51"/>
  <c r="K43" i="51" s="1"/>
  <c r="C12" i="47"/>
  <c r="I47" i="51"/>
  <c r="K47" i="51" s="1"/>
  <c r="C16" i="47"/>
  <c r="C25" i="47"/>
  <c r="I56" i="51"/>
  <c r="K56" i="51" s="1"/>
  <c r="S92" i="51"/>
  <c r="M74" i="51"/>
  <c r="J14" i="51" s="1"/>
  <c r="L14" i="51" s="1"/>
  <c r="N14" i="51" s="1"/>
  <c r="M73" i="51"/>
  <c r="J13" i="51" s="1"/>
  <c r="L13" i="51" s="1"/>
  <c r="N13" i="51" s="1"/>
  <c r="B18" i="47"/>
  <c r="H49" i="51"/>
  <c r="J49" i="51" s="1"/>
  <c r="L49" i="51" s="1"/>
  <c r="E15" i="47" l="1"/>
  <c r="J33" i="41"/>
  <c r="D15" i="47"/>
  <c r="F15" i="47"/>
  <c r="H15" i="47" s="1"/>
  <c r="M26" i="41" s="1"/>
  <c r="Q26" i="41" s="1"/>
  <c r="J37" i="41"/>
  <c r="O29" i="51"/>
  <c r="D23" i="21"/>
  <c r="E23" i="21" s="1"/>
  <c r="H50" i="51"/>
  <c r="J50" i="51" s="1"/>
  <c r="L50" i="51" s="1"/>
  <c r="O23" i="51"/>
  <c r="J31" i="41"/>
  <c r="D22" i="21"/>
  <c r="N31" i="41" s="1"/>
  <c r="D27" i="21"/>
  <c r="E27" i="21" s="1"/>
  <c r="O21" i="51"/>
  <c r="J29" i="41"/>
  <c r="K38" i="41"/>
  <c r="H48" i="51"/>
  <c r="J48" i="51" s="1"/>
  <c r="L48" i="51" s="1"/>
  <c r="O18" i="51"/>
  <c r="N12" i="51"/>
  <c r="O12" i="51" s="1"/>
  <c r="E14" i="21"/>
  <c r="J35" i="41"/>
  <c r="D16" i="21"/>
  <c r="E16" i="21" s="1"/>
  <c r="O28" i="51"/>
  <c r="O17" i="51"/>
  <c r="D30" i="21"/>
  <c r="E30" i="21" s="1"/>
  <c r="D28" i="21"/>
  <c r="N37" i="41" s="1"/>
  <c r="D29" i="21"/>
  <c r="E29" i="21" s="1"/>
  <c r="D21" i="21"/>
  <c r="N30" i="41" s="1"/>
  <c r="D17" i="21"/>
  <c r="E17" i="21" s="1"/>
  <c r="N19" i="51"/>
  <c r="O19" i="51" s="1"/>
  <c r="D26" i="21"/>
  <c r="E26" i="21" s="1"/>
  <c r="D19" i="21"/>
  <c r="N28" i="41" s="1"/>
  <c r="L43" i="51"/>
  <c r="K23" i="41" s="1"/>
  <c r="D20" i="21"/>
  <c r="E20" i="21" s="1"/>
  <c r="L41" i="51"/>
  <c r="M41" i="51" s="1"/>
  <c r="O15" i="51"/>
  <c r="L45" i="51"/>
  <c r="K25" i="41" s="1"/>
  <c r="F19" i="47"/>
  <c r="H19" i="47" s="1"/>
  <c r="M30" i="41" s="1"/>
  <c r="Q30" i="41" s="1"/>
  <c r="D19" i="47"/>
  <c r="E19" i="47"/>
  <c r="H40" i="51"/>
  <c r="J40" i="51" s="1"/>
  <c r="L40" i="51" s="1"/>
  <c r="B9" i="47"/>
  <c r="D18" i="21"/>
  <c r="D12" i="47"/>
  <c r="F12" i="47"/>
  <c r="H12" i="47" s="1"/>
  <c r="M23" i="41" s="1"/>
  <c r="Q23" i="41" s="1"/>
  <c r="E12" i="47"/>
  <c r="B23" i="47"/>
  <c r="H54" i="51"/>
  <c r="J54" i="51" s="1"/>
  <c r="L54" i="51" s="1"/>
  <c r="J34" i="41"/>
  <c r="O26" i="51"/>
  <c r="O16" i="51"/>
  <c r="J24" i="41"/>
  <c r="K29" i="41"/>
  <c r="M49" i="51"/>
  <c r="E31" i="21"/>
  <c r="N40" i="41"/>
  <c r="O13" i="51"/>
  <c r="J21" i="41"/>
  <c r="D25" i="21"/>
  <c r="G15" i="47"/>
  <c r="J38" i="41"/>
  <c r="O30" i="51"/>
  <c r="M57" i="51"/>
  <c r="K37" i="41"/>
  <c r="E14" i="47"/>
  <c r="F14" i="47"/>
  <c r="H14" i="47" s="1"/>
  <c r="M25" i="41" s="1"/>
  <c r="Q25" i="41" s="1"/>
  <c r="D14" i="47"/>
  <c r="D13" i="21"/>
  <c r="D21" i="47"/>
  <c r="F21" i="47"/>
  <c r="H21" i="47" s="1"/>
  <c r="M32" i="41" s="1"/>
  <c r="Q32" i="41" s="1"/>
  <c r="E21" i="47"/>
  <c r="D26" i="47"/>
  <c r="F26" i="47"/>
  <c r="H26" i="47" s="1"/>
  <c r="M37" i="41" s="1"/>
  <c r="Q37" i="41" s="1"/>
  <c r="E26" i="47"/>
  <c r="D10" i="47"/>
  <c r="F10" i="47"/>
  <c r="H10" i="47" s="1"/>
  <c r="M21" i="41" s="1"/>
  <c r="Q21" i="41" s="1"/>
  <c r="E10" i="47"/>
  <c r="H44" i="51"/>
  <c r="J44" i="51" s="1"/>
  <c r="L44" i="51" s="1"/>
  <c r="B13" i="47"/>
  <c r="K32" i="41"/>
  <c r="M52" i="51"/>
  <c r="D16" i="47"/>
  <c r="F16" i="47"/>
  <c r="H16" i="47" s="1"/>
  <c r="M27" i="41" s="1"/>
  <c r="Q27" i="41" s="1"/>
  <c r="E16" i="47"/>
  <c r="G27" i="47"/>
  <c r="D18" i="47"/>
  <c r="E18" i="47"/>
  <c r="F18" i="47"/>
  <c r="H18" i="47" s="1"/>
  <c r="M29" i="41" s="1"/>
  <c r="Q29" i="41" s="1"/>
  <c r="M46" i="51"/>
  <c r="K26" i="41"/>
  <c r="K28" i="41"/>
  <c r="M48" i="51"/>
  <c r="O32" i="51"/>
  <c r="J40" i="41"/>
  <c r="O20" i="51"/>
  <c r="J28" i="41"/>
  <c r="L47" i="51"/>
  <c r="J22" i="41"/>
  <c r="O14" i="51"/>
  <c r="L56" i="51"/>
  <c r="E17" i="47"/>
  <c r="F17" i="47"/>
  <c r="H17" i="47" s="1"/>
  <c r="M28" i="41" s="1"/>
  <c r="Q28" i="41" s="1"/>
  <c r="D17" i="47"/>
  <c r="E22" i="47"/>
  <c r="F22" i="47"/>
  <c r="H22" i="47" s="1"/>
  <c r="M33" i="41" s="1"/>
  <c r="Q33" i="41" s="1"/>
  <c r="D22" i="47"/>
  <c r="D12" i="21"/>
  <c r="M59" i="51"/>
  <c r="K39" i="41"/>
  <c r="D25" i="47"/>
  <c r="E25" i="47"/>
  <c r="F25" i="47"/>
  <c r="H25" i="47" s="1"/>
  <c r="M36" i="41" s="1"/>
  <c r="Q36" i="41" s="1"/>
  <c r="B11" i="47"/>
  <c r="H42" i="51"/>
  <c r="J42" i="51" s="1"/>
  <c r="L42" i="51" s="1"/>
  <c r="E28" i="47"/>
  <c r="D28" i="47"/>
  <c r="F28" i="47"/>
  <c r="H28" i="47" s="1"/>
  <c r="M39" i="41" s="1"/>
  <c r="Q39" i="41" s="1"/>
  <c r="D24" i="21"/>
  <c r="L53" i="51"/>
  <c r="O24" i="51"/>
  <c r="J32" i="41"/>
  <c r="E24" i="47"/>
  <c r="D24" i="47"/>
  <c r="F24" i="47"/>
  <c r="H24" i="47" s="1"/>
  <c r="M35" i="41" s="1"/>
  <c r="Q35" i="41" s="1"/>
  <c r="E15" i="21"/>
  <c r="N24" i="41"/>
  <c r="D20" i="47"/>
  <c r="F20" i="47"/>
  <c r="H20" i="47" s="1"/>
  <c r="M31" i="41" s="1"/>
  <c r="Q31" i="41" s="1"/>
  <c r="E20" i="47"/>
  <c r="H60" i="51"/>
  <c r="J60" i="51" s="1"/>
  <c r="L60" i="51" s="1"/>
  <c r="B29" i="47"/>
  <c r="K35" i="41"/>
  <c r="M55" i="51"/>
  <c r="M50" i="51"/>
  <c r="K30" i="41"/>
  <c r="L51" i="51"/>
  <c r="N32" i="41" l="1"/>
  <c r="O33" i="51"/>
  <c r="W60" i="21"/>
  <c r="E22" i="21"/>
  <c r="J20" i="41"/>
  <c r="M45" i="51"/>
  <c r="N25" i="41"/>
  <c r="N36" i="41"/>
  <c r="G14" i="47"/>
  <c r="N39" i="41"/>
  <c r="J27" i="41"/>
  <c r="G28" i="47"/>
  <c r="J28" i="47" s="1"/>
  <c r="G17" i="47"/>
  <c r="I17" i="47" s="1"/>
  <c r="E28" i="21"/>
  <c r="G22" i="47"/>
  <c r="L33" i="41" s="1"/>
  <c r="N26" i="41"/>
  <c r="E21" i="21"/>
  <c r="N38" i="41"/>
  <c r="M43" i="51"/>
  <c r="N29" i="41"/>
  <c r="E19" i="21"/>
  <c r="N35" i="41"/>
  <c r="K21" i="41"/>
  <c r="G20" i="47"/>
  <c r="I20" i="47" s="1"/>
  <c r="I27" i="47"/>
  <c r="L38" i="41"/>
  <c r="J27" i="47"/>
  <c r="I15" i="47"/>
  <c r="L26" i="41"/>
  <c r="J15" i="47"/>
  <c r="G16" i="47"/>
  <c r="N34" i="41"/>
  <c r="E25" i="21"/>
  <c r="K34" i="41"/>
  <c r="M54" i="51"/>
  <c r="G21" i="47"/>
  <c r="E23" i="47"/>
  <c r="F23" i="47"/>
  <c r="H23" i="47" s="1"/>
  <c r="M34" i="41" s="1"/>
  <c r="Q34" i="41" s="1"/>
  <c r="D23" i="47"/>
  <c r="K27" i="41"/>
  <c r="M47" i="51"/>
  <c r="M60" i="51"/>
  <c r="K40" i="41"/>
  <c r="K24" i="41"/>
  <c r="M44" i="51"/>
  <c r="N22" i="41"/>
  <c r="E13" i="21"/>
  <c r="F9" i="47"/>
  <c r="H9" i="47" s="1"/>
  <c r="E9" i="47"/>
  <c r="D9" i="47"/>
  <c r="K20" i="41"/>
  <c r="M40" i="51"/>
  <c r="K22" i="41"/>
  <c r="M42" i="51"/>
  <c r="M53" i="51"/>
  <c r="K33" i="41"/>
  <c r="E11" i="47"/>
  <c r="D11" i="47"/>
  <c r="F11" i="47"/>
  <c r="H11" i="47" s="1"/>
  <c r="M22" i="41" s="1"/>
  <c r="Q22" i="41" s="1"/>
  <c r="L25" i="41"/>
  <c r="P25" i="41" s="1"/>
  <c r="I14" i="47"/>
  <c r="J14" i="47"/>
  <c r="E12" i="21"/>
  <c r="N21" i="41"/>
  <c r="G12" i="47"/>
  <c r="E29" i="47"/>
  <c r="D29" i="47"/>
  <c r="F29" i="47"/>
  <c r="H29" i="47" s="1"/>
  <c r="M40" i="41" s="1"/>
  <c r="Q40" i="41" s="1"/>
  <c r="M51" i="51"/>
  <c r="K31" i="41"/>
  <c r="G10" i="47"/>
  <c r="G19" i="47"/>
  <c r="K36" i="41"/>
  <c r="M56" i="51"/>
  <c r="N27" i="41"/>
  <c r="E18" i="21"/>
  <c r="E24" i="21"/>
  <c r="N33" i="41"/>
  <c r="D13" i="47"/>
  <c r="E13" i="47"/>
  <c r="F13" i="47"/>
  <c r="H13" i="47" s="1"/>
  <c r="M24" i="41" s="1"/>
  <c r="Q24" i="41" s="1"/>
  <c r="G24" i="47"/>
  <c r="G25" i="47"/>
  <c r="G18" i="47"/>
  <c r="G26" i="47"/>
  <c r="J17" i="47" l="1"/>
  <c r="L28" i="41"/>
  <c r="P28" i="41" s="1"/>
  <c r="R28" i="41" s="1"/>
  <c r="J41" i="41"/>
  <c r="K41" i="41"/>
  <c r="D11" i="21"/>
  <c r="D32" i="21" s="1"/>
  <c r="C2" i="21" s="1"/>
  <c r="C32" i="21"/>
  <c r="G9" i="47"/>
  <c r="J22" i="47"/>
  <c r="I22" i="47"/>
  <c r="L39" i="41"/>
  <c r="I28" i="47"/>
  <c r="P26" i="41"/>
  <c r="C26" i="41" s="1"/>
  <c r="D26" i="41" s="1"/>
  <c r="O38" i="41"/>
  <c r="J20" i="47"/>
  <c r="L31" i="41"/>
  <c r="P31" i="41" s="1"/>
  <c r="P38" i="41"/>
  <c r="C38" i="41" s="1"/>
  <c r="D38" i="41" s="1"/>
  <c r="G13" i="47"/>
  <c r="I13" i="47" s="1"/>
  <c r="O26" i="41"/>
  <c r="O25" i="41"/>
  <c r="R25" i="41"/>
  <c r="C25" i="41"/>
  <c r="D25" i="41" s="1"/>
  <c r="H30" i="47"/>
  <c r="M20" i="41"/>
  <c r="M41" i="41" s="1"/>
  <c r="J21" i="47"/>
  <c r="I21" i="47"/>
  <c r="L32" i="41"/>
  <c r="P39" i="41"/>
  <c r="O39" i="41"/>
  <c r="O33" i="41"/>
  <c r="P33" i="41"/>
  <c r="L23" i="41"/>
  <c r="J12" i="47"/>
  <c r="I12" i="47"/>
  <c r="L30" i="41"/>
  <c r="I19" i="47"/>
  <c r="J19" i="47"/>
  <c r="L37" i="41"/>
  <c r="J26" i="47"/>
  <c r="I26" i="47"/>
  <c r="I10" i="47"/>
  <c r="J10" i="47"/>
  <c r="L21" i="41"/>
  <c r="J25" i="47"/>
  <c r="I25" i="47"/>
  <c r="L36" i="41"/>
  <c r="P36" i="41" s="1"/>
  <c r="I24" i="47"/>
  <c r="L35" i="41"/>
  <c r="J24" i="47"/>
  <c r="I16" i="47"/>
  <c r="L27" i="41"/>
  <c r="J16" i="47"/>
  <c r="J18" i="47"/>
  <c r="L29" i="41"/>
  <c r="I18" i="47"/>
  <c r="L20" i="41"/>
  <c r="I9" i="47"/>
  <c r="J9" i="47"/>
  <c r="G29" i="47"/>
  <c r="G11" i="47"/>
  <c r="G23" i="47"/>
  <c r="C28" i="41" l="1"/>
  <c r="D28" i="41" s="1"/>
  <c r="O28" i="41"/>
  <c r="O31" i="41"/>
  <c r="R26" i="41"/>
  <c r="N20" i="41"/>
  <c r="N41" i="41" s="1"/>
  <c r="E11" i="21"/>
  <c r="R38" i="41"/>
  <c r="L24" i="41"/>
  <c r="J13" i="47"/>
  <c r="C36" i="41"/>
  <c r="D36" i="41" s="1"/>
  <c r="R36" i="41"/>
  <c r="I23" i="47"/>
  <c r="L34" i="41"/>
  <c r="J23" i="47"/>
  <c r="P24" i="41"/>
  <c r="O24" i="41"/>
  <c r="R31" i="41"/>
  <c r="C31" i="41"/>
  <c r="D31" i="41" s="1"/>
  <c r="O30" i="41"/>
  <c r="P30" i="41"/>
  <c r="Q20" i="41"/>
  <c r="Q41" i="41" s="1"/>
  <c r="O32" i="41"/>
  <c r="P32" i="41"/>
  <c r="O36" i="41"/>
  <c r="O29" i="41"/>
  <c r="P29" i="41"/>
  <c r="J29" i="47"/>
  <c r="I29" i="47"/>
  <c r="L40" i="41"/>
  <c r="O40" i="41" s="1"/>
  <c r="R33" i="41"/>
  <c r="C33" i="41"/>
  <c r="D33" i="41" s="1"/>
  <c r="L22" i="41"/>
  <c r="L41" i="41" s="1"/>
  <c r="J11" i="47"/>
  <c r="I11" i="47"/>
  <c r="O23" i="41"/>
  <c r="P23" i="41"/>
  <c r="P37" i="41"/>
  <c r="O37" i="41"/>
  <c r="O27" i="41"/>
  <c r="P27" i="41"/>
  <c r="G30" i="47"/>
  <c r="C39" i="41"/>
  <c r="D39" i="41" s="1"/>
  <c r="R39" i="41"/>
  <c r="P21" i="41"/>
  <c r="O21" i="41"/>
  <c r="O35" i="41"/>
  <c r="P35" i="41"/>
  <c r="P20" i="41"/>
  <c r="I30" i="47" l="1"/>
  <c r="C2" i="47" s="1"/>
  <c r="E32" i="21"/>
  <c r="C3" i="21" s="1"/>
  <c r="J30" i="47"/>
  <c r="C3" i="47" s="1"/>
  <c r="O20" i="41"/>
  <c r="C35" i="41"/>
  <c r="D35" i="41" s="1"/>
  <c r="R35" i="41"/>
  <c r="P22" i="41"/>
  <c r="O22" i="41"/>
  <c r="P40" i="41"/>
  <c r="R30" i="41"/>
  <c r="C30" i="41"/>
  <c r="D30" i="41" s="1"/>
  <c r="R29" i="41"/>
  <c r="C29" i="41"/>
  <c r="D29" i="41" s="1"/>
  <c r="P34" i="41"/>
  <c r="O34" i="41"/>
  <c r="C27" i="41"/>
  <c r="D27" i="41" s="1"/>
  <c r="R27" i="41"/>
  <c r="R20" i="41"/>
  <c r="C20" i="41"/>
  <c r="C24" i="41"/>
  <c r="D24" i="41" s="1"/>
  <c r="R24" i="41"/>
  <c r="C32" i="41"/>
  <c r="D32" i="41" s="1"/>
  <c r="R32" i="41"/>
  <c r="R21" i="41"/>
  <c r="C21" i="41"/>
  <c r="D21" i="41" s="1"/>
  <c r="C37" i="41"/>
  <c r="D37" i="41" s="1"/>
  <c r="R37" i="41"/>
  <c r="R23" i="41"/>
  <c r="C23" i="41"/>
  <c r="D23" i="41" s="1"/>
  <c r="O41" i="41" l="1"/>
  <c r="F3" i="12" s="1"/>
  <c r="P41" i="41"/>
  <c r="D20" i="41"/>
  <c r="R40" i="41"/>
  <c r="C40" i="41"/>
  <c r="D40" i="41" s="1"/>
  <c r="C22" i="41"/>
  <c r="D22" i="41" s="1"/>
  <c r="R22" i="41"/>
  <c r="R34" i="41"/>
  <c r="C34" i="41"/>
  <c r="D34" i="41" s="1"/>
  <c r="R41" i="41" l="1"/>
  <c r="C4" i="41" s="1"/>
  <c r="H3" i="12" s="1"/>
  <c r="E20" i="41"/>
  <c r="C5" i="41"/>
  <c r="D41" i="41"/>
  <c r="C41" i="41"/>
  <c r="E21" i="41" l="1"/>
  <c r="E22" i="41" s="1"/>
  <c r="E23" i="41" s="1"/>
  <c r="E24" i="41" s="1"/>
  <c r="E25" i="41" s="1"/>
  <c r="E26" i="41" s="1"/>
  <c r="E27" i="41" s="1"/>
  <c r="E28" i="41" s="1"/>
  <c r="E29" i="41" s="1"/>
  <c r="E30" i="41" s="1"/>
  <c r="E31" i="41" s="1"/>
  <c r="E32" i="41" s="1"/>
  <c r="E33" i="41" s="1"/>
  <c r="E34" i="41" s="1"/>
  <c r="E35" i="41" s="1"/>
  <c r="E36" i="41" s="1"/>
  <c r="E37" i="41" s="1"/>
  <c r="E38" i="41" s="1"/>
  <c r="E39" i="41" s="1"/>
  <c r="E40" i="41" s="1"/>
  <c r="C6" i="41"/>
  <c r="G3" i="12"/>
  <c r="L61" i="51"/>
  <c r="E3" i="51" s="1"/>
  <c r="N33" i="51"/>
  <c r="C3" i="51" s="1"/>
  <c r="C4" i="51"/>
  <c r="E41" i="41" l="1"/>
  <c r="M61" i="51"/>
  <c r="E4" i="51" s="1"/>
</calcChain>
</file>

<file path=xl/sharedStrings.xml><?xml version="1.0" encoding="utf-8"?>
<sst xmlns="http://schemas.openxmlformats.org/spreadsheetml/2006/main" count="374" uniqueCount="223">
  <si>
    <t>Project</t>
  </si>
  <si>
    <t>Capital Costs</t>
  </si>
  <si>
    <t>Project Costs (NPV)</t>
  </si>
  <si>
    <t>Total Net Benefit</t>
  </si>
  <si>
    <t>Total Net Benefit (NPV)</t>
  </si>
  <si>
    <t>Benefit-Cost Ratio</t>
  </si>
  <si>
    <t>Direct User Benefits</t>
  </si>
  <si>
    <t>Benefit/Cost Ratio</t>
  </si>
  <si>
    <t>Internal Rate of Return</t>
  </si>
  <si>
    <t>Net Present Value</t>
  </si>
  <si>
    <t>Discount Rate</t>
  </si>
  <si>
    <t>Net Direct Benefits - 7% Discount</t>
  </si>
  <si>
    <t>Analysis Year</t>
  </si>
  <si>
    <t>Economic Competitiveness</t>
  </si>
  <si>
    <t>Environmental</t>
  </si>
  <si>
    <t>Safety</t>
  </si>
  <si>
    <t>Total</t>
  </si>
  <si>
    <t>7% Discount</t>
  </si>
  <si>
    <t>3% Discount</t>
  </si>
  <si>
    <t>Total Discount</t>
  </si>
  <si>
    <t>Total Costs</t>
  </si>
  <si>
    <t>Total Benefits</t>
  </si>
  <si>
    <t>Net Direct Benefits</t>
  </si>
  <si>
    <t>Cumulative</t>
  </si>
  <si>
    <t>Operation and Maintenance Costs</t>
  </si>
  <si>
    <t>Travel Time Savings</t>
  </si>
  <si>
    <t>Operational Savings</t>
  </si>
  <si>
    <t>Reduced Pollutants (Nox &amp; PM2.5)</t>
  </si>
  <si>
    <t>Reduced Pollutants (CO2)</t>
  </si>
  <si>
    <t>Crash Savings</t>
  </si>
  <si>
    <t>Total Cost</t>
  </si>
  <si>
    <t>Net Present Value (NPV)</t>
  </si>
  <si>
    <t>Inflation Adjustment</t>
  </si>
  <si>
    <t>Base Year</t>
  </si>
  <si>
    <t>Multiplier</t>
  </si>
  <si>
    <t>Table A-7, 2022 BCA Guidance</t>
  </si>
  <si>
    <t>Capital and Operating Cost Calculations</t>
  </si>
  <si>
    <t>Total Project Costs (2020$)</t>
  </si>
  <si>
    <t>Project Costs</t>
  </si>
  <si>
    <t>Year</t>
  </si>
  <si>
    <t>Percent Project Cost Paid</t>
  </si>
  <si>
    <t>Project Cost</t>
  </si>
  <si>
    <t>Project Cost (NPV)</t>
  </si>
  <si>
    <t>Project Life (Years)</t>
  </si>
  <si>
    <t>Maintenance Cost Calculations</t>
  </si>
  <si>
    <t>Existing O&amp;M</t>
  </si>
  <si>
    <t>Future O&amp;M</t>
  </si>
  <si>
    <t>Savings</t>
  </si>
  <si>
    <t>Source: ODOT</t>
  </si>
  <si>
    <t>Safety Crash Savings - Summary</t>
  </si>
  <si>
    <t>Potential Cost Savings</t>
  </si>
  <si>
    <t>Potential Cost Savings (NPV)</t>
  </si>
  <si>
    <t>Safety Crash Savings</t>
  </si>
  <si>
    <t>No Build</t>
  </si>
  <si>
    <t>Build</t>
  </si>
  <si>
    <t>ADT</t>
  </si>
  <si>
    <t>No Build Scenario</t>
  </si>
  <si>
    <t>Build Scenario</t>
  </si>
  <si>
    <t>Est. # of Collisions</t>
  </si>
  <si>
    <t>Est. # of Vehicles</t>
  </si>
  <si>
    <t>PDO (Vehicle)</t>
  </si>
  <si>
    <t>Severity Per Collision</t>
  </si>
  <si>
    <t>PDO</t>
  </si>
  <si>
    <t>Pos. Injury</t>
  </si>
  <si>
    <t>Non-Incap. Injury</t>
  </si>
  <si>
    <t>Incap. Injury</t>
  </si>
  <si>
    <t>Fatality</t>
  </si>
  <si>
    <t>All Crashes within project extents</t>
  </si>
  <si>
    <t>Collision by Severity</t>
  </si>
  <si>
    <t>Total (5 Years)</t>
  </si>
  <si>
    <t>Collisions</t>
  </si>
  <si>
    <t>Persons</t>
  </si>
  <si>
    <t>Incapacitating Injury</t>
  </si>
  <si>
    <t>Non-Incapacitating Injury</t>
  </si>
  <si>
    <t>Possible Injury</t>
  </si>
  <si>
    <t>Property Damage</t>
  </si>
  <si>
    <t>Source: ODOT US 412 Will Rogers to Cherokee TPK Crash Data 2016-2020</t>
  </si>
  <si>
    <t>Property Damage Only Crashes</t>
  </si>
  <si>
    <t>Unit Value ($2020)</t>
  </si>
  <si>
    <t>Per Vehicle</t>
  </si>
  <si>
    <t>Source: BCA Guidance 2022</t>
  </si>
  <si>
    <t>Value of Reduced Fatalities and Injuries</t>
  </si>
  <si>
    <t>KABCO Level</t>
  </si>
  <si>
    <t>Monetized Value</t>
  </si>
  <si>
    <t>O - No Injury</t>
  </si>
  <si>
    <t>C - Possible Injury</t>
  </si>
  <si>
    <t>B - Non-incapacitating</t>
  </si>
  <si>
    <t>A - Incapacitating</t>
  </si>
  <si>
    <t>K - Killed</t>
  </si>
  <si>
    <t>U - Injured (Severity Unknown)</t>
  </si>
  <si>
    <t># of Accidents Reported (Unknown if Injured)</t>
  </si>
  <si>
    <t>Average Vehicle Occupancy</t>
  </si>
  <si>
    <t>Vehicle Type</t>
  </si>
  <si>
    <t>Occupancy</t>
  </si>
  <si>
    <t>Passenger Vehicles</t>
  </si>
  <si>
    <t>Trucks</t>
  </si>
  <si>
    <t>Average Vehicles per Crash</t>
  </si>
  <si>
    <t>Collision Rate per Average Daily Traffic</t>
  </si>
  <si>
    <t>Existing (No Build Rate)</t>
  </si>
  <si>
    <t>Growth Rate and 2022 ADT Calculation</t>
  </si>
  <si>
    <t>Growth 2022-2055</t>
  </si>
  <si>
    <t>Economic Competitiveness - Summary</t>
  </si>
  <si>
    <t>Scenario</t>
  </si>
  <si>
    <t>Benefit</t>
  </si>
  <si>
    <t>Benefit (NPV)</t>
  </si>
  <si>
    <t>No-Build</t>
  </si>
  <si>
    <t>Reduction in VHT</t>
  </si>
  <si>
    <t>VHT Benefit</t>
  </si>
  <si>
    <t>VHT Benefit (NPV)</t>
  </si>
  <si>
    <t>Traffic Volumes</t>
  </si>
  <si>
    <t>Vehicle Hours Traveled</t>
  </si>
  <si>
    <t>Total Delay (Hours)</t>
  </si>
  <si>
    <t>Reduction in VMT</t>
  </si>
  <si>
    <t>VMT Benefit</t>
  </si>
  <si>
    <t>VMT Benefit (NPV)</t>
  </si>
  <si>
    <t>Vehicle Miles Traveled</t>
  </si>
  <si>
    <t>Weighted Average</t>
  </si>
  <si>
    <t>Truck</t>
  </si>
  <si>
    <t>No Build ADT</t>
  </si>
  <si>
    <t>Build ADT</t>
  </si>
  <si>
    <t>VHT</t>
  </si>
  <si>
    <t>VMT</t>
  </si>
  <si>
    <t>Truck VHT</t>
  </si>
  <si>
    <t>Passenger Vehicle VHT</t>
  </si>
  <si>
    <t>Truck VMT</t>
  </si>
  <si>
    <t>Passenger Vehicle VMT</t>
  </si>
  <si>
    <t>Existing ADT of each roadway segment (2022)</t>
  </si>
  <si>
    <t xml:space="preserve">Segment </t>
  </si>
  <si>
    <t>Segment (2022) - Existing</t>
  </si>
  <si>
    <t>Two-Axle AADT</t>
  </si>
  <si>
    <t>Truck AADT</t>
  </si>
  <si>
    <t>Total AADT</t>
  </si>
  <si>
    <t>Segment Distance (Miles)</t>
  </si>
  <si>
    <t>Segment Miles/Total Miles</t>
  </si>
  <si>
    <t>Segment AADT</t>
  </si>
  <si>
    <t>Source: ODOT, Google Maps</t>
  </si>
  <si>
    <t>Growth Rates &amp; Truck Data</t>
  </si>
  <si>
    <t>Truck % - No Build</t>
  </si>
  <si>
    <t>Truck % - Build</t>
  </si>
  <si>
    <t>Corridor Information</t>
  </si>
  <si>
    <t>Corridor Length (Mi.)</t>
  </si>
  <si>
    <t>Speed Limit (MPH)</t>
  </si>
  <si>
    <t>Travel Time (Hr.)</t>
  </si>
  <si>
    <t>Travel Time Savings and Operating Costs</t>
  </si>
  <si>
    <t xml:space="preserve">Bus Hourly TT Savings </t>
  </si>
  <si>
    <t>General  Hourly TT Savings</t>
  </si>
  <si>
    <t>Commercial Truck Operating Cost</t>
  </si>
  <si>
    <t>Light Duty Vehicle Operating Cost</t>
  </si>
  <si>
    <t>Source: USDOT BCA Guidance 2022 Revised</t>
  </si>
  <si>
    <t>Equation 7</t>
  </si>
  <si>
    <t>Environmental Cost Savings - Summary</t>
  </si>
  <si>
    <t>Total Reduced Damage of Pollutant Emissions</t>
  </si>
  <si>
    <t>Total Reduced Damage of Pollutant Emissions (NPV)</t>
  </si>
  <si>
    <t>Environmental Protection Cost Savings</t>
  </si>
  <si>
    <t>VMT Savings</t>
  </si>
  <si>
    <t>Pollutant Emissions Calculations (metric tons)</t>
  </si>
  <si>
    <t>Benefit of Reduced Damage</t>
  </si>
  <si>
    <t>Nitrogen Oxides</t>
  </si>
  <si>
    <t>Particulate Matter (2.5)</t>
  </si>
  <si>
    <t>Carbon Dioxide</t>
  </si>
  <si>
    <t>Nox &amp; PM 2.5</t>
  </si>
  <si>
    <t>CO2</t>
  </si>
  <si>
    <t>Environmental Benefit</t>
  </si>
  <si>
    <t>Environmental Benefit (NPV)</t>
  </si>
  <si>
    <t>Damage Costs for Pollutant Emissions</t>
  </si>
  <si>
    <t>$/Metric Ton</t>
  </si>
  <si>
    <t>Nox</t>
  </si>
  <si>
    <t>SO2</t>
  </si>
  <si>
    <t>PM2.5</t>
  </si>
  <si>
    <t>Source: BCA Guildelines 2022 Revised</t>
  </si>
  <si>
    <t>Pollution Emission by Mode (g/Mile)</t>
  </si>
  <si>
    <t>Mode</t>
  </si>
  <si>
    <t>CO2e</t>
  </si>
  <si>
    <t>Automobile</t>
  </si>
  <si>
    <t>Trucks - Diesel</t>
  </si>
  <si>
    <t>Source: https://www.bts.gov/content/estimated-national-average-vehicle-emissions-rates-vehicle-vehicle-type-using-gasoline-and, cell V6,7,8 &amp; cell V49,50,51</t>
  </si>
  <si>
    <t>Maintenance Costs</t>
  </si>
  <si>
    <t>20 Year O&amp;M Costs</t>
  </si>
  <si>
    <t>Savings (NPV)</t>
  </si>
  <si>
    <t>O&amp;M Savings - Summary</t>
  </si>
  <si>
    <t>Segment (2052) - FNB</t>
  </si>
  <si>
    <t>I-44 to N 305th Ave</t>
  </si>
  <si>
    <t>N 305th Ave to Hwy 88</t>
  </si>
  <si>
    <t>S 4240 Rd to US 69</t>
  </si>
  <si>
    <t>Average Vehicle/Crash</t>
  </si>
  <si>
    <t>Mayes County</t>
  </si>
  <si>
    <t>Rogers County</t>
  </si>
  <si>
    <t>CAGR - 2022-2052</t>
  </si>
  <si>
    <t>Note: Segments based on where volumes were provided, not the full length of the corridor</t>
  </si>
  <si>
    <t>Hwy 88 to S 4240 Rd</t>
  </si>
  <si>
    <t>Source: Google Maps.</t>
  </si>
  <si>
    <t>ADT Build</t>
  </si>
  <si>
    <t>20 Year BENEFITS</t>
  </si>
  <si>
    <t>20 Year COSTS</t>
  </si>
  <si>
    <t>Note: 3% CO2 Discount</t>
  </si>
  <si>
    <t>CMF Table</t>
  </si>
  <si>
    <t>Name</t>
  </si>
  <si>
    <t>Number</t>
  </si>
  <si>
    <t>CMF</t>
  </si>
  <si>
    <t>Applicability</t>
  </si>
  <si>
    <t xml:space="preserve">Type </t>
  </si>
  <si>
    <t>Severity</t>
  </si>
  <si>
    <t>All</t>
  </si>
  <si>
    <t>Source: CMF Clearinghouse</t>
  </si>
  <si>
    <t>Raise posted speed by 5 mph</t>
  </si>
  <si>
    <t>Convert at-grade intersection into grade-separated interchange</t>
  </si>
  <si>
    <t>4 LANE DIVIDED RDWYS-PARTIAL ACCESS CNTRL</t>
  </si>
  <si>
    <t>4 LANE DIVIDED RDWYS-FULL ACCESS CNTRL</t>
  </si>
  <si>
    <t>Highway Classification</t>
  </si>
  <si>
    <t>Perent change</t>
  </si>
  <si>
    <t>Statewide Average Crash Rate Comparison</t>
  </si>
  <si>
    <t>Fatal</t>
  </si>
  <si>
    <t>Source: ODOT 2018-2020 Statewide Collision Rate Study</t>
  </si>
  <si>
    <t>Injury</t>
  </si>
  <si>
    <t>Build Crash Reductions</t>
  </si>
  <si>
    <t>Overall</t>
  </si>
  <si>
    <t>Option 1 using Statewide Average Comparision</t>
  </si>
  <si>
    <t>Option 2 using CMFs</t>
  </si>
  <si>
    <t xml:space="preserve"> https://oklahoma.gov/odot/search.html?q=posted+speed+limit</t>
  </si>
  <si>
    <t>CMF Speed Limit Determination:</t>
  </si>
  <si>
    <t>Residual Value (2048$)</t>
  </si>
  <si>
    <t>Source: https://ohso.ok.gov/sites/g/files/gmc751/f/2020_s3_drivers.pdf - for total drivers, https://ohso.ok.gov/sites/g/files/gmc751/f/2020_s2_crashes.pdf - for total crashes</t>
  </si>
  <si>
    <t>2022 BCA SUMMARY - U.S. 412 IMPROVEMENTS TO INTERSTATE STANDARDS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</si>
</sst>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_(&quot;$&quot;* #,##0_);_(&quot;$&quot;* \(#,##0\);_(&quot;$&quot;* &quot;-&quot;??_);_(@_)"/>
    <numFmt numFmtId="166" formatCode="0.00000"/>
    <numFmt numFmtId="167" formatCode="0.000"/>
    <numFmt numFmtId="168" formatCode="0.0%"/>
    <numFmt numFmtId="169" formatCode="&quot;$&quot;#,##0"/>
    <numFmt numFmtId="170" formatCode="_(* #,##0_);_(* \(#,##0\);_(* &quot;-&quot;??_);_(@_)"/>
    <numFmt numFmtId="171" formatCode="&quot;$&quot;#,##0.00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1"/>
      <color theme="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12"/>
      <color theme="0"/>
      <name val="Arial Narrow"/>
      <family val="2"/>
    </font>
    <font>
      <b/>
      <sz val="16"/>
      <name val="Arial Narrow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name val="Arial Narrow"/>
      <family val="2"/>
    </font>
    <font>
      <b/>
      <sz val="10"/>
      <color theme="6"/>
      <name val="Arial Narrow"/>
      <family val="2"/>
    </font>
    <font>
      <sz val="14"/>
      <name val="Arial Narrow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rgb="FF0F3141"/>
      <name val="Lato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5E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36">
    <xf numFmtId="0" fontId="0" fillId="0" borderId="0"/>
    <xf numFmtId="0" fontId="10" fillId="0" borderId="0" applyNumberFormat="0" applyAlignment="0"/>
    <xf numFmtId="44" fontId="9" fillId="0" borderId="0" applyFont="0" applyFill="0" applyBorder="0" applyAlignment="0" applyProtection="0"/>
    <xf numFmtId="38" fontId="10" fillId="2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10" fontId="10" fillId="3" borderId="3" applyNumberFormat="0" applyBorder="0" applyAlignment="0" applyProtection="0"/>
    <xf numFmtId="164" fontId="9" fillId="0" borderId="0"/>
    <xf numFmtId="0" fontId="9" fillId="0" borderId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3">
    <xf numFmtId="0" fontId="0" fillId="0" borderId="0" xfId="0"/>
    <xf numFmtId="0" fontId="16" fillId="0" borderId="0" xfId="0" applyFont="1"/>
    <xf numFmtId="1" fontId="16" fillId="0" borderId="17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 vertical="center"/>
    </xf>
    <xf numFmtId="169" fontId="16" fillId="0" borderId="17" xfId="0" applyNumberFormat="1" applyFont="1" applyBorder="1"/>
    <xf numFmtId="0" fontId="18" fillId="7" borderId="6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 wrapText="1"/>
    </xf>
    <xf numFmtId="0" fontId="21" fillId="7" borderId="6" xfId="8" applyFont="1" applyFill="1" applyBorder="1" applyAlignment="1">
      <alignment horizontal="center" vertical="center"/>
    </xf>
    <xf numFmtId="5" fontId="22" fillId="0" borderId="5" xfId="2" applyNumberFormat="1" applyFont="1" applyFill="1" applyBorder="1" applyAlignment="1">
      <alignment horizontal="center" vertical="center"/>
    </xf>
    <xf numFmtId="2" fontId="22" fillId="0" borderId="5" xfId="8" applyNumberFormat="1" applyFont="1" applyBorder="1" applyAlignment="1">
      <alignment horizontal="center" vertical="center"/>
    </xf>
    <xf numFmtId="0" fontId="18" fillId="7" borderId="3" xfId="0" applyFont="1" applyFill="1" applyBorder="1" applyAlignment="1">
      <alignment horizontal="center" wrapText="1"/>
    </xf>
    <xf numFmtId="3" fontId="16" fillId="0" borderId="17" xfId="0" applyNumberFormat="1" applyFont="1" applyBorder="1" applyAlignment="1">
      <alignment horizontal="center"/>
    </xf>
    <xf numFmtId="3" fontId="16" fillId="5" borderId="17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9" fontId="16" fillId="0" borderId="13" xfId="9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9" fontId="16" fillId="0" borderId="14" xfId="9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left"/>
    </xf>
    <xf numFmtId="0" fontId="18" fillId="7" borderId="3" xfId="0" applyFont="1" applyFill="1" applyBorder="1" applyAlignment="1">
      <alignment horizontal="left" vertical="center" wrapText="1"/>
    </xf>
    <xf numFmtId="3" fontId="16" fillId="4" borderId="3" xfId="0" applyNumberFormat="1" applyFont="1" applyFill="1" applyBorder="1" applyAlignment="1">
      <alignment horizontal="right"/>
    </xf>
    <xf numFmtId="10" fontId="16" fillId="5" borderId="3" xfId="9" applyNumberFormat="1" applyFont="1" applyFill="1" applyBorder="1" applyAlignment="1">
      <alignment horizontal="center"/>
    </xf>
    <xf numFmtId="166" fontId="16" fillId="5" borderId="13" xfId="0" applyNumberFormat="1" applyFont="1" applyFill="1" applyBorder="1" applyAlignment="1">
      <alignment horizontal="center" wrapText="1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/>
    </xf>
    <xf numFmtId="1" fontId="16" fillId="5" borderId="17" xfId="0" applyNumberFormat="1" applyFont="1" applyFill="1" applyBorder="1" applyAlignment="1">
      <alignment horizontal="center"/>
    </xf>
    <xf numFmtId="169" fontId="16" fillId="5" borderId="17" xfId="0" applyNumberFormat="1" applyFont="1" applyFill="1" applyBorder="1"/>
    <xf numFmtId="1" fontId="16" fillId="5" borderId="17" xfId="0" applyNumberFormat="1" applyFont="1" applyFill="1" applyBorder="1" applyAlignment="1">
      <alignment horizontal="center" vertical="center"/>
    </xf>
    <xf numFmtId="9" fontId="16" fillId="0" borderId="17" xfId="9" applyFont="1" applyFill="1" applyBorder="1" applyAlignment="1">
      <alignment horizontal="center"/>
    </xf>
    <xf numFmtId="9" fontId="16" fillId="0" borderId="15" xfId="9" applyFont="1" applyFill="1" applyBorder="1" applyAlignment="1">
      <alignment horizontal="center"/>
    </xf>
    <xf numFmtId="5" fontId="16" fillId="5" borderId="3" xfId="2" applyNumberFormat="1" applyFont="1" applyFill="1" applyBorder="1" applyAlignment="1">
      <alignment horizontal="right"/>
    </xf>
    <xf numFmtId="5" fontId="16" fillId="4" borderId="3" xfId="2" applyNumberFormat="1" applyFont="1" applyFill="1" applyBorder="1" applyAlignment="1">
      <alignment horizontal="right"/>
    </xf>
    <xf numFmtId="0" fontId="16" fillId="4" borderId="3" xfId="2" applyNumberFormat="1" applyFont="1" applyFill="1" applyBorder="1" applyAlignment="1">
      <alignment horizontal="right"/>
    </xf>
    <xf numFmtId="9" fontId="17" fillId="0" borderId="5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9" fontId="16" fillId="0" borderId="3" xfId="9" applyFont="1" applyFill="1" applyBorder="1"/>
    <xf numFmtId="169" fontId="16" fillId="4" borderId="3" xfId="2" applyNumberFormat="1" applyFont="1" applyFill="1" applyBorder="1"/>
    <xf numFmtId="169" fontId="17" fillId="5" borderId="5" xfId="0" applyNumberFormat="1" applyFont="1" applyFill="1" applyBorder="1"/>
    <xf numFmtId="169" fontId="16" fillId="4" borderId="13" xfId="2" applyNumberFormat="1" applyFont="1" applyFill="1" applyBorder="1" applyAlignment="1">
      <alignment horizontal="right"/>
    </xf>
    <xf numFmtId="169" fontId="16" fillId="4" borderId="15" xfId="2" applyNumberFormat="1" applyFont="1" applyFill="1" applyBorder="1" applyAlignment="1">
      <alignment horizontal="right"/>
    </xf>
    <xf numFmtId="169" fontId="16" fillId="4" borderId="15" xfId="2" applyNumberFormat="1" applyFont="1" applyFill="1" applyBorder="1" applyAlignment="1">
      <alignment horizontal="right" vertical="center"/>
    </xf>
    <xf numFmtId="169" fontId="16" fillId="4" borderId="14" xfId="2" applyNumberFormat="1" applyFont="1" applyFill="1" applyBorder="1" applyAlignment="1">
      <alignment horizontal="right" vertical="center"/>
    </xf>
    <xf numFmtId="169" fontId="17" fillId="0" borderId="5" xfId="0" applyNumberFormat="1" applyFont="1" applyBorder="1"/>
    <xf numFmtId="3" fontId="16" fillId="5" borderId="28" xfId="0" applyNumberFormat="1" applyFont="1" applyFill="1" applyBorder="1" applyAlignment="1">
      <alignment horizontal="center"/>
    </xf>
    <xf numFmtId="169" fontId="16" fillId="5" borderId="28" xfId="0" applyNumberFormat="1" applyFont="1" applyFill="1" applyBorder="1"/>
    <xf numFmtId="169" fontId="16" fillId="0" borderId="28" xfId="0" applyNumberFormat="1" applyFont="1" applyBorder="1"/>
    <xf numFmtId="0" fontId="16" fillId="0" borderId="0" xfId="12" applyFont="1"/>
    <xf numFmtId="0" fontId="18" fillId="7" borderId="6" xfId="12" applyFont="1" applyFill="1" applyBorder="1" applyAlignment="1">
      <alignment horizontal="center" vertical="center" wrapText="1"/>
    </xf>
    <xf numFmtId="0" fontId="17" fillId="8" borderId="17" xfId="12" applyFont="1" applyFill="1" applyBorder="1" applyAlignment="1">
      <alignment horizontal="center"/>
    </xf>
    <xf numFmtId="3" fontId="16" fillId="5" borderId="17" xfId="12" applyNumberFormat="1" applyFont="1" applyFill="1" applyBorder="1" applyAlignment="1">
      <alignment horizontal="center"/>
    </xf>
    <xf numFmtId="0" fontId="17" fillId="8" borderId="15" xfId="12" applyFont="1" applyFill="1" applyBorder="1" applyAlignment="1">
      <alignment horizontal="center"/>
    </xf>
    <xf numFmtId="3" fontId="16" fillId="5" borderId="24" xfId="12" applyNumberFormat="1" applyFont="1" applyFill="1" applyBorder="1" applyAlignment="1">
      <alignment horizontal="center"/>
    </xf>
    <xf numFmtId="0" fontId="17" fillId="8" borderId="28" xfId="12" applyFont="1" applyFill="1" applyBorder="1" applyAlignment="1">
      <alignment horizontal="center"/>
    </xf>
    <xf numFmtId="3" fontId="16" fillId="5" borderId="28" xfId="12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10" fontId="25" fillId="6" borderId="3" xfId="12" applyNumberFormat="1" applyFont="1" applyFill="1" applyBorder="1" applyAlignment="1">
      <alignment horizontal="center"/>
    </xf>
    <xf numFmtId="6" fontId="25" fillId="6" borderId="3" xfId="12" applyNumberFormat="1" applyFont="1" applyFill="1" applyBorder="1" applyAlignment="1">
      <alignment horizontal="center"/>
    </xf>
    <xf numFmtId="40" fontId="30" fillId="6" borderId="3" xfId="12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right"/>
    </xf>
    <xf numFmtId="0" fontId="18" fillId="7" borderId="6" xfId="0" applyFont="1" applyFill="1" applyBorder="1" applyAlignment="1">
      <alignment horizontal="center" wrapText="1"/>
    </xf>
    <xf numFmtId="3" fontId="16" fillId="5" borderId="15" xfId="12" applyNumberFormat="1" applyFont="1" applyFill="1" applyBorder="1" applyAlignment="1">
      <alignment horizontal="center"/>
    </xf>
    <xf numFmtId="0" fontId="18" fillId="7" borderId="3" xfId="12" applyFont="1" applyFill="1" applyBorder="1" applyAlignment="1">
      <alignment horizontal="center" vertical="center" wrapText="1"/>
    </xf>
    <xf numFmtId="0" fontId="0" fillId="9" borderId="0" xfId="0" applyFill="1"/>
    <xf numFmtId="0" fontId="17" fillId="8" borderId="15" xfId="0" applyFont="1" applyFill="1" applyBorder="1" applyAlignment="1">
      <alignment horizontal="center"/>
    </xf>
    <xf numFmtId="3" fontId="16" fillId="9" borderId="17" xfId="0" applyNumberFormat="1" applyFont="1" applyFill="1" applyBorder="1" applyAlignment="1">
      <alignment horizontal="center"/>
    </xf>
    <xf numFmtId="0" fontId="17" fillId="8" borderId="13" xfId="0" applyFont="1" applyFill="1" applyBorder="1"/>
    <xf numFmtId="0" fontId="17" fillId="8" borderId="14" xfId="0" applyFont="1" applyFill="1" applyBorder="1"/>
    <xf numFmtId="0" fontId="18" fillId="7" borderId="5" xfId="0" applyFont="1" applyFill="1" applyBorder="1" applyAlignment="1">
      <alignment horizontal="center" wrapText="1"/>
    </xf>
    <xf numFmtId="0" fontId="0" fillId="8" borderId="3" xfId="0" applyFill="1" applyBorder="1" applyAlignment="1">
      <alignment horizontal="center"/>
    </xf>
    <xf numFmtId="0" fontId="31" fillId="9" borderId="0" xfId="27" applyFill="1"/>
    <xf numFmtId="0" fontId="0" fillId="9" borderId="0" xfId="0" applyFill="1" applyAlignment="1">
      <alignment wrapText="1"/>
    </xf>
    <xf numFmtId="0" fontId="0" fillId="9" borderId="0" xfId="0" applyFill="1" applyAlignment="1">
      <alignment vertical="top" wrapText="1"/>
    </xf>
    <xf numFmtId="0" fontId="16" fillId="9" borderId="0" xfId="0" applyFont="1" applyFill="1" applyAlignment="1">
      <alignment horizontal="left" wrapText="1"/>
    </xf>
    <xf numFmtId="0" fontId="17" fillId="9" borderId="0" xfId="0" applyFont="1" applyFill="1" applyAlignment="1">
      <alignment horizontal="left" wrapText="1"/>
    </xf>
    <xf numFmtId="0" fontId="16" fillId="9" borderId="0" xfId="0" applyFont="1" applyFill="1"/>
    <xf numFmtId="3" fontId="16" fillId="9" borderId="0" xfId="0" applyNumberFormat="1" applyFont="1" applyFill="1"/>
    <xf numFmtId="43" fontId="16" fillId="9" borderId="0" xfId="0" applyNumberFormat="1" applyFont="1" applyFill="1"/>
    <xf numFmtId="0" fontId="17" fillId="9" borderId="0" xfId="0" applyFont="1" applyFill="1" applyAlignment="1">
      <alignment horizontal="left"/>
    </xf>
    <xf numFmtId="0" fontId="9" fillId="9" borderId="0" xfId="0" applyFont="1" applyFill="1"/>
    <xf numFmtId="0" fontId="16" fillId="9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 wrapText="1"/>
    </xf>
    <xf numFmtId="0" fontId="16" fillId="9" borderId="0" xfId="0" applyFont="1" applyFill="1" applyAlignment="1">
      <alignment vertical="center" wrapText="1"/>
    </xf>
    <xf numFmtId="167" fontId="16" fillId="9" borderId="0" xfId="0" applyNumberFormat="1" applyFont="1" applyFill="1"/>
    <xf numFmtId="0" fontId="19" fillId="9" borderId="0" xfId="0" applyFont="1" applyFill="1"/>
    <xf numFmtId="0" fontId="17" fillId="9" borderId="0" xfId="0" applyFont="1" applyFill="1"/>
    <xf numFmtId="0" fontId="11" fillId="9" borderId="0" xfId="0" applyFont="1" applyFill="1" applyAlignment="1">
      <alignment horizontal="center"/>
    </xf>
    <xf numFmtId="0" fontId="11" fillId="9" borderId="0" xfId="0" applyFont="1" applyFill="1"/>
    <xf numFmtId="0" fontId="18" fillId="9" borderId="0" xfId="0" applyFont="1" applyFill="1"/>
    <xf numFmtId="0" fontId="9" fillId="9" borderId="0" xfId="0" applyFont="1" applyFill="1" applyAlignment="1">
      <alignment horizontal="center"/>
    </xf>
    <xf numFmtId="0" fontId="9" fillId="9" borderId="0" xfId="0" quotePrefix="1" applyFont="1" applyFill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168" fontId="9" fillId="9" borderId="0" xfId="0" applyNumberFormat="1" applyFont="1" applyFill="1" applyAlignment="1">
      <alignment horizontal="center" vertical="center" wrapText="1"/>
    </xf>
    <xf numFmtId="10" fontId="9" fillId="9" borderId="0" xfId="0" applyNumberFormat="1" applyFont="1" applyFill="1" applyAlignment="1">
      <alignment horizontal="center" vertical="center"/>
    </xf>
    <xf numFmtId="0" fontId="9" fillId="9" borderId="0" xfId="0" applyFont="1" applyFill="1" applyAlignment="1">
      <alignment vertical="center"/>
    </xf>
    <xf numFmtId="0" fontId="0" fillId="9" borderId="0" xfId="0" applyFill="1" applyAlignment="1">
      <alignment horizontal="center" vertical="center"/>
    </xf>
    <xf numFmtId="10" fontId="0" fillId="9" borderId="0" xfId="0" applyNumberFormat="1" applyFill="1" applyAlignment="1">
      <alignment horizontal="center"/>
    </xf>
    <xf numFmtId="0" fontId="16" fillId="9" borderId="0" xfId="0" applyFont="1" applyFill="1" applyAlignment="1">
      <alignment vertical="center"/>
    </xf>
    <xf numFmtId="9" fontId="16" fillId="9" borderId="0" xfId="9" applyFont="1" applyFill="1" applyBorder="1" applyAlignment="1">
      <alignment horizontal="center"/>
    </xf>
    <xf numFmtId="0" fontId="0" fillId="9" borderId="0" xfId="0" applyFill="1" applyAlignment="1">
      <alignment horizontal="right" vertical="center"/>
    </xf>
    <xf numFmtId="0" fontId="16" fillId="9" borderId="0" xfId="0" applyFont="1" applyFill="1" applyAlignment="1">
      <alignment horizontal="center"/>
    </xf>
    <xf numFmtId="0" fontId="16" fillId="9" borderId="20" xfId="0" applyFont="1" applyFill="1" applyBorder="1" applyAlignment="1">
      <alignment vertical="center"/>
    </xf>
    <xf numFmtId="0" fontId="20" fillId="9" borderId="0" xfId="0" applyFont="1" applyFill="1"/>
    <xf numFmtId="0" fontId="20" fillId="9" borderId="0" xfId="0" applyFont="1" applyFill="1" applyAlignment="1">
      <alignment horizontal="center"/>
    </xf>
    <xf numFmtId="0" fontId="26" fillId="9" borderId="0" xfId="0" applyFont="1" applyFill="1"/>
    <xf numFmtId="0" fontId="23" fillId="9" borderId="0" xfId="0" applyFont="1" applyFill="1"/>
    <xf numFmtId="0" fontId="16" fillId="9" borderId="0" xfId="0" quotePrefix="1" applyFont="1" applyFill="1" applyAlignment="1">
      <alignment horizontal="center" vertical="center" wrapText="1"/>
    </xf>
    <xf numFmtId="0" fontId="16" fillId="9" borderId="0" xfId="12" applyFont="1" applyFill="1"/>
    <xf numFmtId="3" fontId="16" fillId="9" borderId="0" xfId="12" applyNumberFormat="1" applyFont="1" applyFill="1" applyAlignment="1">
      <alignment horizontal="center"/>
    </xf>
    <xf numFmtId="0" fontId="17" fillId="9" borderId="0" xfId="12" applyFont="1" applyFill="1" applyAlignment="1">
      <alignment horizontal="center"/>
    </xf>
    <xf numFmtId="1" fontId="16" fillId="9" borderId="0" xfId="12" applyNumberFormat="1" applyFont="1" applyFill="1"/>
    <xf numFmtId="0" fontId="20" fillId="9" borderId="0" xfId="12" applyFont="1" applyFill="1" applyAlignment="1">
      <alignment horizontal="center"/>
    </xf>
    <xf numFmtId="0" fontId="16" fillId="9" borderId="0" xfId="12" quotePrefix="1" applyFont="1" applyFill="1"/>
    <xf numFmtId="0" fontId="18" fillId="7" borderId="3" xfId="12" applyFont="1" applyFill="1" applyBorder="1" applyAlignment="1">
      <alignment horizontal="center" wrapText="1"/>
    </xf>
    <xf numFmtId="14" fontId="15" fillId="9" borderId="0" xfId="0" applyNumberFormat="1" applyFont="1" applyFill="1"/>
    <xf numFmtId="0" fontId="23" fillId="9" borderId="0" xfId="12" applyFont="1" applyFill="1"/>
    <xf numFmtId="0" fontId="18" fillId="9" borderId="0" xfId="12" applyFont="1" applyFill="1"/>
    <xf numFmtId="0" fontId="24" fillId="9" borderId="0" xfId="24" applyFont="1" applyFill="1"/>
    <xf numFmtId="0" fontId="0" fillId="9" borderId="0" xfId="0" applyFill="1" applyAlignment="1">
      <alignment horizontal="center"/>
    </xf>
    <xf numFmtId="0" fontId="16" fillId="9" borderId="0" xfId="12" applyFont="1" applyFill="1" applyAlignment="1">
      <alignment horizontal="center"/>
    </xf>
    <xf numFmtId="0" fontId="12" fillId="9" borderId="0" xfId="4" applyFill="1" applyBorder="1" applyAlignment="1"/>
    <xf numFmtId="6" fontId="16" fillId="5" borderId="15" xfId="2" applyNumberFormat="1" applyFont="1" applyFill="1" applyBorder="1" applyAlignment="1">
      <alignment horizontal="right"/>
    </xf>
    <xf numFmtId="6" fontId="16" fillId="5" borderId="17" xfId="2" applyNumberFormat="1" applyFont="1" applyFill="1" applyBorder="1" applyAlignment="1">
      <alignment horizontal="right"/>
    </xf>
    <xf numFmtId="6" fontId="16" fillId="5" borderId="28" xfId="2" applyNumberFormat="1" applyFont="1" applyFill="1" applyBorder="1" applyAlignment="1">
      <alignment horizontal="right"/>
    </xf>
    <xf numFmtId="6" fontId="17" fillId="5" borderId="5" xfId="2" applyNumberFormat="1" applyFont="1" applyFill="1" applyBorder="1" applyAlignment="1">
      <alignment horizontal="right"/>
    </xf>
    <xf numFmtId="6" fontId="16" fillId="0" borderId="17" xfId="9" applyNumberFormat="1" applyFont="1" applyFill="1" applyBorder="1" applyAlignment="1"/>
    <xf numFmtId="6" fontId="16" fillId="0" borderId="15" xfId="2" applyNumberFormat="1" applyFont="1" applyFill="1" applyBorder="1" applyAlignment="1"/>
    <xf numFmtId="6" fontId="16" fillId="5" borderId="17" xfId="2" applyNumberFormat="1" applyFont="1" applyFill="1" applyBorder="1" applyAlignment="1"/>
    <xf numFmtId="6" fontId="16" fillId="0" borderId="17" xfId="2" applyNumberFormat="1" applyFont="1" applyFill="1" applyBorder="1" applyAlignment="1"/>
    <xf numFmtId="6" fontId="16" fillId="0" borderId="28" xfId="9" applyNumberFormat="1" applyFont="1" applyFill="1" applyBorder="1" applyAlignment="1"/>
    <xf numFmtId="6" fontId="16" fillId="0" borderId="28" xfId="2" applyNumberFormat="1" applyFont="1" applyFill="1" applyBorder="1" applyAlignment="1"/>
    <xf numFmtId="6" fontId="16" fillId="5" borderId="28" xfId="2" applyNumberFormat="1" applyFont="1" applyFill="1" applyBorder="1" applyAlignment="1"/>
    <xf numFmtId="6" fontId="16" fillId="0" borderId="5" xfId="9" applyNumberFormat="1" applyFont="1" applyFill="1" applyBorder="1" applyAlignment="1">
      <alignment horizontal="right"/>
    </xf>
    <xf numFmtId="0" fontId="17" fillId="9" borderId="20" xfId="12" applyFont="1" applyFill="1" applyBorder="1" applyAlignment="1">
      <alignment wrapText="1"/>
    </xf>
    <xf numFmtId="0" fontId="17" fillId="9" borderId="25" xfId="12" applyFont="1" applyFill="1" applyBorder="1" applyAlignment="1">
      <alignment wrapText="1"/>
    </xf>
    <xf numFmtId="169" fontId="16" fillId="9" borderId="17" xfId="0" applyNumberFormat="1" applyFont="1" applyFill="1" applyBorder="1"/>
    <xf numFmtId="169" fontId="16" fillId="9" borderId="28" xfId="0" applyNumberFormat="1" applyFont="1" applyFill="1" applyBorder="1"/>
    <xf numFmtId="169" fontId="17" fillId="9" borderId="5" xfId="0" applyNumberFormat="1" applyFont="1" applyFill="1" applyBorder="1"/>
    <xf numFmtId="6" fontId="16" fillId="9" borderId="17" xfId="2" applyNumberFormat="1" applyFont="1" applyFill="1" applyBorder="1" applyAlignment="1"/>
    <xf numFmtId="6" fontId="16" fillId="9" borderId="28" xfId="2" applyNumberFormat="1" applyFont="1" applyFill="1" applyBorder="1" applyAlignment="1"/>
    <xf numFmtId="6" fontId="16" fillId="5" borderId="5" xfId="2" applyNumberFormat="1" applyFont="1" applyFill="1" applyBorder="1" applyAlignment="1"/>
    <xf numFmtId="6" fontId="33" fillId="9" borderId="17" xfId="0" applyNumberFormat="1" applyFont="1" applyFill="1" applyBorder="1" applyAlignment="1">
      <alignment horizontal="right"/>
    </xf>
    <xf numFmtId="6" fontId="33" fillId="5" borderId="17" xfId="0" applyNumberFormat="1" applyFont="1" applyFill="1" applyBorder="1" applyAlignment="1">
      <alignment horizontal="right"/>
    </xf>
    <xf numFmtId="6" fontId="33" fillId="5" borderId="16" xfId="0" applyNumberFormat="1" applyFont="1" applyFill="1" applyBorder="1" applyAlignment="1">
      <alignment horizontal="right"/>
    </xf>
    <xf numFmtId="6" fontId="33" fillId="5" borderId="15" xfId="0" applyNumberFormat="1" applyFont="1" applyFill="1" applyBorder="1" applyAlignment="1">
      <alignment horizontal="right"/>
    </xf>
    <xf numFmtId="6" fontId="33" fillId="9" borderId="5" xfId="0" applyNumberFormat="1" applyFont="1" applyFill="1" applyBorder="1" applyAlignment="1">
      <alignment horizontal="right"/>
    </xf>
    <xf numFmtId="6" fontId="33" fillId="5" borderId="5" xfId="0" applyNumberFormat="1" applyFont="1" applyFill="1" applyBorder="1" applyAlignment="1">
      <alignment horizontal="right"/>
    </xf>
    <xf numFmtId="6" fontId="33" fillId="9" borderId="17" xfId="0" applyNumberFormat="1" applyFont="1" applyFill="1" applyBorder="1" applyAlignment="1">
      <alignment horizontal="right" vertical="center" wrapText="1"/>
    </xf>
    <xf numFmtId="6" fontId="33" fillId="5" borderId="17" xfId="0" applyNumberFormat="1" applyFont="1" applyFill="1" applyBorder="1" applyAlignment="1">
      <alignment horizontal="right" vertical="center" wrapText="1"/>
    </xf>
    <xf numFmtId="6" fontId="33" fillId="5" borderId="5" xfId="0" applyNumberFormat="1" applyFont="1" applyFill="1" applyBorder="1"/>
    <xf numFmtId="0" fontId="18" fillId="7" borderId="3" xfId="12" applyFont="1" applyFill="1" applyBorder="1" applyAlignment="1">
      <alignment horizontal="center"/>
    </xf>
    <xf numFmtId="0" fontId="18" fillId="7" borderId="3" xfId="12" applyFont="1" applyFill="1" applyBorder="1" applyAlignment="1">
      <alignment horizontal="center" vertical="center"/>
    </xf>
    <xf numFmtId="10" fontId="16" fillId="5" borderId="3" xfId="12" applyNumberFormat="1" applyFont="1" applyFill="1" applyBorder="1" applyAlignment="1">
      <alignment horizontal="right" vertical="center" wrapText="1"/>
    </xf>
    <xf numFmtId="2" fontId="16" fillId="5" borderId="3" xfId="12" applyNumberFormat="1" applyFont="1" applyFill="1" applyBorder="1" applyAlignment="1">
      <alignment horizontal="right" vertical="center" wrapText="1"/>
    </xf>
    <xf numFmtId="0" fontId="28" fillId="9" borderId="0" xfId="12" applyFont="1" applyFill="1"/>
    <xf numFmtId="0" fontId="18" fillId="7" borderId="6" xfId="12" applyFont="1" applyFill="1" applyBorder="1" applyAlignment="1">
      <alignment horizontal="center" vertical="center"/>
    </xf>
    <xf numFmtId="3" fontId="16" fillId="0" borderId="17" xfId="12" applyNumberFormat="1" applyFont="1" applyBorder="1" applyAlignment="1">
      <alignment horizontal="center"/>
    </xf>
    <xf numFmtId="3" fontId="16" fillId="0" borderId="28" xfId="12" applyNumberFormat="1" applyFont="1" applyBorder="1" applyAlignment="1">
      <alignment horizontal="center"/>
    </xf>
    <xf numFmtId="0" fontId="17" fillId="9" borderId="0" xfId="12" applyFont="1" applyFill="1"/>
    <xf numFmtId="165" fontId="17" fillId="9" borderId="0" xfId="2" applyNumberFormat="1" applyFont="1" applyFill="1"/>
    <xf numFmtId="0" fontId="16" fillId="9" borderId="0" xfId="12" applyFont="1" applyFill="1" applyAlignment="1">
      <alignment horizontal="right"/>
    </xf>
    <xf numFmtId="0" fontId="17" fillId="9" borderId="0" xfId="12" applyFont="1" applyFill="1" applyAlignment="1">
      <alignment horizontal="right"/>
    </xf>
    <xf numFmtId="3" fontId="16" fillId="0" borderId="15" xfId="12" applyNumberFormat="1" applyFont="1" applyBorder="1" applyAlignment="1">
      <alignment horizontal="center"/>
    </xf>
    <xf numFmtId="0" fontId="16" fillId="9" borderId="0" xfId="12" applyFont="1" applyFill="1" applyAlignment="1">
      <alignment horizontal="center" vertical="center"/>
    </xf>
    <xf numFmtId="43" fontId="16" fillId="9" borderId="0" xfId="35" applyFont="1" applyFill="1" applyAlignment="1">
      <alignment vertical="center"/>
    </xf>
    <xf numFmtId="0" fontId="16" fillId="9" borderId="0" xfId="12" applyFont="1" applyFill="1" applyAlignment="1">
      <alignment vertical="center"/>
    </xf>
    <xf numFmtId="0" fontId="17" fillId="9" borderId="0" xfId="12" applyFont="1" applyFill="1" applyAlignment="1">
      <alignment horizontal="center" vertical="center"/>
    </xf>
    <xf numFmtId="9" fontId="16" fillId="9" borderId="0" xfId="12" applyNumberFormat="1" applyFont="1" applyFill="1" applyAlignment="1">
      <alignment horizontal="center" vertical="center"/>
    </xf>
    <xf numFmtId="0" fontId="17" fillId="9" borderId="0" xfId="12" applyFont="1" applyFill="1" applyAlignment="1">
      <alignment horizontal="left" wrapText="1"/>
    </xf>
    <xf numFmtId="0" fontId="17" fillId="9" borderId="0" xfId="12" applyFont="1" applyFill="1" applyAlignment="1">
      <alignment horizontal="center" vertical="center" wrapText="1"/>
    </xf>
    <xf numFmtId="0" fontId="17" fillId="9" borderId="0" xfId="12" applyFont="1" applyFill="1" applyAlignment="1">
      <alignment wrapText="1"/>
    </xf>
    <xf numFmtId="0" fontId="17" fillId="8" borderId="3" xfId="12" applyFont="1" applyFill="1" applyBorder="1"/>
    <xf numFmtId="170" fontId="16" fillId="0" borderId="3" xfId="35" applyNumberFormat="1" applyFont="1" applyBorder="1" applyAlignment="1">
      <alignment horizontal="right" vertical="center" wrapText="1"/>
    </xf>
    <xf numFmtId="170" fontId="16" fillId="5" borderId="3" xfId="35" applyNumberFormat="1" applyFont="1" applyFill="1" applyBorder="1" applyAlignment="1">
      <alignment horizontal="right" vertical="center" wrapText="1"/>
    </xf>
    <xf numFmtId="10" fontId="16" fillId="0" borderId="3" xfId="12" applyNumberFormat="1" applyFont="1" applyBorder="1" applyAlignment="1">
      <alignment horizontal="right" vertical="center" wrapText="1"/>
    </xf>
    <xf numFmtId="10" fontId="17" fillId="6" borderId="3" xfId="12" applyNumberFormat="1" applyFont="1" applyFill="1" applyBorder="1"/>
    <xf numFmtId="2" fontId="17" fillId="8" borderId="3" xfId="12" applyNumberFormat="1" applyFont="1" applyFill="1" applyBorder="1"/>
    <xf numFmtId="2" fontId="17" fillId="6" borderId="3" xfId="12" applyNumberFormat="1" applyFont="1" applyFill="1" applyBorder="1"/>
    <xf numFmtId="0" fontId="17" fillId="9" borderId="0" xfId="12" applyFont="1" applyFill="1" applyAlignment="1">
      <alignment horizontal="left"/>
    </xf>
    <xf numFmtId="2" fontId="17" fillId="7" borderId="3" xfId="12" applyNumberFormat="1" applyFont="1" applyFill="1" applyBorder="1"/>
    <xf numFmtId="0" fontId="27" fillId="9" borderId="0" xfId="12" applyFont="1" applyFill="1"/>
    <xf numFmtId="0" fontId="16" fillId="9" borderId="0" xfId="2" applyNumberFormat="1" applyFont="1" applyFill="1" applyAlignment="1">
      <alignment horizontal="right"/>
    </xf>
    <xf numFmtId="0" fontId="17" fillId="9" borderId="0" xfId="12" applyFont="1" applyFill="1" applyAlignment="1">
      <alignment horizontal="left" vertical="center"/>
    </xf>
    <xf numFmtId="0" fontId="16" fillId="9" borderId="0" xfId="12" applyFont="1" applyFill="1" applyAlignment="1">
      <alignment horizontal="left"/>
    </xf>
    <xf numFmtId="3" fontId="16" fillId="9" borderId="0" xfId="2" applyNumberFormat="1" applyFont="1" applyFill="1" applyAlignment="1">
      <alignment horizontal="center"/>
    </xf>
    <xf numFmtId="10" fontId="16" fillId="5" borderId="3" xfId="12" applyNumberFormat="1" applyFont="1" applyFill="1" applyBorder="1" applyAlignment="1">
      <alignment vertical="center" wrapText="1"/>
    </xf>
    <xf numFmtId="170" fontId="16" fillId="5" borderId="3" xfId="35" applyNumberFormat="1" applyFont="1" applyFill="1" applyBorder="1" applyAlignment="1">
      <alignment vertical="center" wrapText="1"/>
    </xf>
    <xf numFmtId="0" fontId="18" fillId="9" borderId="0" xfId="12" applyFont="1" applyFill="1" applyAlignment="1">
      <alignment horizontal="center"/>
    </xf>
    <xf numFmtId="0" fontId="18" fillId="9" borderId="0" xfId="12" applyFont="1" applyFill="1" applyAlignment="1">
      <alignment horizontal="center" vertical="center"/>
    </xf>
    <xf numFmtId="169" fontId="35" fillId="9" borderId="0" xfId="12" applyNumberFormat="1" applyFont="1" applyFill="1"/>
    <xf numFmtId="2" fontId="16" fillId="9" borderId="3" xfId="12" applyNumberFormat="1" applyFont="1" applyFill="1" applyBorder="1" applyAlignment="1">
      <alignment horizontal="right" vertical="center" wrapText="1"/>
    </xf>
    <xf numFmtId="3" fontId="16" fillId="9" borderId="17" xfId="12" applyNumberFormat="1" applyFont="1" applyFill="1" applyBorder="1" applyAlignment="1">
      <alignment horizontal="center"/>
    </xf>
    <xf numFmtId="0" fontId="17" fillId="8" borderId="17" xfId="0" applyFont="1" applyFill="1" applyBorder="1" applyAlignment="1">
      <alignment horizontal="center"/>
    </xf>
    <xf numFmtId="0" fontId="17" fillId="8" borderId="28" xfId="0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0" fontId="17" fillId="8" borderId="16" xfId="0" applyFont="1" applyFill="1" applyBorder="1"/>
    <xf numFmtId="0" fontId="17" fillId="8" borderId="3" xfId="0" applyFont="1" applyFill="1" applyBorder="1" applyAlignment="1">
      <alignment horizontal="left"/>
    </xf>
    <xf numFmtId="0" fontId="17" fillId="8" borderId="13" xfId="0" applyFont="1" applyFill="1" applyBorder="1" applyAlignment="1">
      <alignment horizontal="left"/>
    </xf>
    <xf numFmtId="0" fontId="17" fillId="8" borderId="15" xfId="0" applyFont="1" applyFill="1" applyBorder="1" applyAlignment="1">
      <alignment horizontal="left"/>
    </xf>
    <xf numFmtId="0" fontId="17" fillId="8" borderId="15" xfId="0" applyFont="1" applyFill="1" applyBorder="1" applyAlignment="1">
      <alignment horizontal="left" wrapText="1"/>
    </xf>
    <xf numFmtId="0" fontId="17" fillId="8" borderId="14" xfId="0" applyFont="1" applyFill="1" applyBorder="1" applyAlignment="1">
      <alignment horizontal="left" wrapText="1"/>
    </xf>
    <xf numFmtId="0" fontId="17" fillId="8" borderId="13" xfId="0" applyFont="1" applyFill="1" applyBorder="1" applyAlignment="1">
      <alignment horizontal="left" vertical="center" wrapText="1"/>
    </xf>
    <xf numFmtId="0" fontId="17" fillId="8" borderId="14" xfId="0" applyFont="1" applyFill="1" applyBorder="1" applyAlignment="1">
      <alignment horizontal="left" vertical="center" wrapText="1"/>
    </xf>
    <xf numFmtId="0" fontId="17" fillId="8" borderId="12" xfId="0" applyFont="1" applyFill="1" applyBorder="1"/>
    <xf numFmtId="0" fontId="17" fillId="8" borderId="12" xfId="0" applyFont="1" applyFill="1" applyBorder="1" applyAlignment="1">
      <alignment horizontal="left"/>
    </xf>
    <xf numFmtId="6" fontId="25" fillId="6" borderId="3" xfId="12" applyNumberFormat="1" applyFont="1" applyFill="1" applyBorder="1" applyAlignment="1">
      <alignment horizontal="center" vertical="center" wrapText="1"/>
    </xf>
    <xf numFmtId="6" fontId="16" fillId="5" borderId="17" xfId="0" applyNumberFormat="1" applyFont="1" applyFill="1" applyBorder="1"/>
    <xf numFmtId="6" fontId="16" fillId="0" borderId="17" xfId="0" applyNumberFormat="1" applyFont="1" applyBorder="1"/>
    <xf numFmtId="6" fontId="16" fillId="5" borderId="28" xfId="0" applyNumberFormat="1" applyFont="1" applyFill="1" applyBorder="1"/>
    <xf numFmtId="6" fontId="16" fillId="0" borderId="28" xfId="0" applyNumberFormat="1" applyFont="1" applyBorder="1"/>
    <xf numFmtId="6" fontId="17" fillId="5" borderId="5" xfId="0" applyNumberFormat="1" applyFont="1" applyFill="1" applyBorder="1"/>
    <xf numFmtId="6" fontId="17" fillId="0" borderId="5" xfId="0" applyNumberFormat="1" applyFont="1" applyBorder="1"/>
    <xf numFmtId="6" fontId="34" fillId="8" borderId="5" xfId="0" applyNumberFormat="1" applyFont="1" applyFill="1" applyBorder="1" applyAlignment="1">
      <alignment horizontal="center"/>
    </xf>
    <xf numFmtId="6" fontId="33" fillId="9" borderId="28" xfId="0" applyNumberFormat="1" applyFont="1" applyFill="1" applyBorder="1" applyAlignment="1">
      <alignment horizontal="right" vertical="center" wrapText="1"/>
    </xf>
    <xf numFmtId="6" fontId="33" fillId="5" borderId="28" xfId="0" applyNumberFormat="1" applyFont="1" applyFill="1" applyBorder="1" applyAlignment="1">
      <alignment horizontal="right" vertical="center" wrapText="1"/>
    </xf>
    <xf numFmtId="0" fontId="30" fillId="9" borderId="0" xfId="12" applyFont="1" applyFill="1"/>
    <xf numFmtId="6" fontId="17" fillId="0" borderId="17" xfId="2" applyNumberFormat="1" applyFont="1" applyBorder="1"/>
    <xf numFmtId="6" fontId="17" fillId="5" borderId="15" xfId="2" applyNumberFormat="1" applyFont="1" applyFill="1" applyBorder="1"/>
    <xf numFmtId="6" fontId="17" fillId="0" borderId="28" xfId="2" applyNumberFormat="1" applyFont="1" applyBorder="1"/>
    <xf numFmtId="6" fontId="17" fillId="5" borderId="28" xfId="2" applyNumberFormat="1" applyFont="1" applyFill="1" applyBorder="1"/>
    <xf numFmtId="6" fontId="17" fillId="0" borderId="5" xfId="2" applyNumberFormat="1" applyFont="1" applyBorder="1"/>
    <xf numFmtId="6" fontId="17" fillId="5" borderId="5" xfId="2" applyNumberFormat="1" applyFont="1" applyFill="1" applyBorder="1"/>
    <xf numFmtId="6" fontId="16" fillId="9" borderId="17" xfId="0" applyNumberFormat="1" applyFont="1" applyFill="1" applyBorder="1" applyAlignment="1">
      <alignment horizontal="right"/>
    </xf>
    <xf numFmtId="6" fontId="16" fillId="5" borderId="17" xfId="0" applyNumberFormat="1" applyFont="1" applyFill="1" applyBorder="1" applyAlignment="1">
      <alignment horizontal="right"/>
    </xf>
    <xf numFmtId="6" fontId="0" fillId="9" borderId="0" xfId="0" applyNumberFormat="1" applyFill="1"/>
    <xf numFmtId="0" fontId="18" fillId="7" borderId="7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/>
    </xf>
    <xf numFmtId="5" fontId="16" fillId="0" borderId="17" xfId="0" applyNumberFormat="1" applyFont="1" applyBorder="1" applyAlignment="1">
      <alignment horizontal="right"/>
    </xf>
    <xf numFmtId="5" fontId="16" fillId="0" borderId="14" xfId="0" applyNumberFormat="1" applyFont="1" applyBorder="1" applyAlignment="1">
      <alignment horizontal="right"/>
    </xf>
    <xf numFmtId="0" fontId="11" fillId="9" borderId="20" xfId="0" applyFont="1" applyFill="1" applyBorder="1"/>
    <xf numFmtId="4" fontId="16" fillId="9" borderId="17" xfId="0" applyNumberFormat="1" applyFont="1" applyFill="1" applyBorder="1" applyAlignment="1">
      <alignment horizontal="center"/>
    </xf>
    <xf numFmtId="4" fontId="16" fillId="5" borderId="17" xfId="0" applyNumberFormat="1" applyFont="1" applyFill="1" applyBorder="1" applyAlignment="1">
      <alignment horizontal="center"/>
    </xf>
    <xf numFmtId="0" fontId="18" fillId="7" borderId="31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vertical="center" wrapText="1"/>
    </xf>
    <xf numFmtId="0" fontId="18" fillId="7" borderId="3" xfId="0" applyFont="1" applyFill="1" applyBorder="1"/>
    <xf numFmtId="0" fontId="17" fillId="8" borderId="14" xfId="0" applyFont="1" applyFill="1" applyBorder="1" applyAlignment="1">
      <alignment horizontal="center"/>
    </xf>
    <xf numFmtId="5" fontId="16" fillId="5" borderId="17" xfId="0" applyNumberFormat="1" applyFont="1" applyFill="1" applyBorder="1" applyAlignment="1">
      <alignment horizontal="right"/>
    </xf>
    <xf numFmtId="5" fontId="16" fillId="5" borderId="14" xfId="0" applyNumberFormat="1" applyFont="1" applyFill="1" applyBorder="1" applyAlignment="1">
      <alignment horizontal="right"/>
    </xf>
    <xf numFmtId="6" fontId="11" fillId="5" borderId="5" xfId="0" applyNumberFormat="1" applyFont="1" applyFill="1" applyBorder="1" applyAlignment="1">
      <alignment horizontal="right"/>
    </xf>
    <xf numFmtId="6" fontId="11" fillId="9" borderId="5" xfId="0" applyNumberFormat="1" applyFont="1" applyFill="1" applyBorder="1" applyAlignment="1">
      <alignment horizontal="right"/>
    </xf>
    <xf numFmtId="4" fontId="16" fillId="9" borderId="28" xfId="0" applyNumberFormat="1" applyFont="1" applyFill="1" applyBorder="1" applyAlignment="1">
      <alignment horizontal="center"/>
    </xf>
    <xf numFmtId="4" fontId="16" fillId="5" borderId="28" xfId="0" applyNumberFormat="1" applyFont="1" applyFill="1" applyBorder="1" applyAlignment="1">
      <alignment horizontal="center"/>
    </xf>
    <xf numFmtId="6" fontId="16" fillId="5" borderId="28" xfId="0" applyNumberFormat="1" applyFont="1" applyFill="1" applyBorder="1" applyAlignment="1">
      <alignment horizontal="right"/>
    </xf>
    <xf numFmtId="6" fontId="16" fillId="9" borderId="28" xfId="0" applyNumberFormat="1" applyFont="1" applyFill="1" applyBorder="1" applyAlignment="1">
      <alignment horizontal="right"/>
    </xf>
    <xf numFmtId="0" fontId="11" fillId="9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167" fontId="11" fillId="9" borderId="3" xfId="0" applyNumberFormat="1" applyFont="1" applyFill="1" applyBorder="1" applyAlignment="1">
      <alignment horizontal="center" vertical="center"/>
    </xf>
    <xf numFmtId="0" fontId="16" fillId="9" borderId="0" xfId="2" applyNumberFormat="1" applyFont="1" applyFill="1" applyAlignment="1">
      <alignment horizontal="left"/>
    </xf>
    <xf numFmtId="0" fontId="16" fillId="0" borderId="3" xfId="12" applyFont="1" applyBorder="1" applyAlignment="1">
      <alignment wrapText="1"/>
    </xf>
    <xf numFmtId="2" fontId="16" fillId="4" borderId="13" xfId="0" applyNumberFormat="1" applyFont="1" applyFill="1" applyBorder="1" applyAlignment="1">
      <alignment horizontal="center" vertical="center" wrapText="1"/>
    </xf>
    <xf numFmtId="2" fontId="17" fillId="9" borderId="17" xfId="0" applyNumberFormat="1" applyFont="1" applyFill="1" applyBorder="1" applyAlignment="1">
      <alignment horizontal="center"/>
    </xf>
    <xf numFmtId="170" fontId="16" fillId="10" borderId="3" xfId="35" applyNumberFormat="1" applyFont="1" applyFill="1" applyBorder="1" applyAlignment="1">
      <alignment horizontal="right" vertical="center" wrapText="1"/>
    </xf>
    <xf numFmtId="170" fontId="16" fillId="10" borderId="3" xfId="35" applyNumberFormat="1" applyFont="1" applyFill="1" applyBorder="1" applyAlignment="1">
      <alignment vertical="center" wrapText="1"/>
    </xf>
    <xf numFmtId="0" fontId="16" fillId="0" borderId="17" xfId="0" applyFont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/>
    </xf>
    <xf numFmtId="0" fontId="18" fillId="7" borderId="32" xfId="0" applyFont="1" applyFill="1" applyBorder="1" applyAlignment="1">
      <alignment horizontal="center" vertical="center"/>
    </xf>
    <xf numFmtId="2" fontId="16" fillId="4" borderId="14" xfId="0" applyNumberFormat="1" applyFont="1" applyFill="1" applyBorder="1" applyAlignment="1">
      <alignment horizontal="center" vertical="center" wrapText="1"/>
    </xf>
    <xf numFmtId="0" fontId="10" fillId="9" borderId="0" xfId="0" applyFont="1" applyFill="1"/>
    <xf numFmtId="8" fontId="10" fillId="9" borderId="0" xfId="0" applyNumberFormat="1" applyFont="1" applyFill="1" applyAlignment="1">
      <alignment horizontal="center"/>
    </xf>
    <xf numFmtId="44" fontId="17" fillId="6" borderId="3" xfId="2" applyFont="1" applyFill="1" applyBorder="1"/>
    <xf numFmtId="0" fontId="14" fillId="9" borderId="0" xfId="0" applyFont="1" applyFill="1"/>
    <xf numFmtId="3" fontId="16" fillId="9" borderId="28" xfId="0" applyNumberFormat="1" applyFont="1" applyFill="1" applyBorder="1" applyAlignment="1">
      <alignment horizontal="center"/>
    </xf>
    <xf numFmtId="0" fontId="37" fillId="9" borderId="3" xfId="12" applyFont="1" applyFill="1" applyBorder="1" applyAlignment="1">
      <alignment horizontal="center"/>
    </xf>
    <xf numFmtId="6" fontId="17" fillId="5" borderId="17" xfId="2" applyNumberFormat="1" applyFont="1" applyFill="1" applyBorder="1"/>
    <xf numFmtId="0" fontId="18" fillId="7" borderId="7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 wrapText="1"/>
    </xf>
    <xf numFmtId="0" fontId="18" fillId="7" borderId="3" xfId="12" applyFont="1" applyFill="1" applyBorder="1" applyAlignment="1">
      <alignment horizontal="center"/>
    </xf>
    <xf numFmtId="0" fontId="39" fillId="8" borderId="17" xfId="12" applyFont="1" applyFill="1" applyBorder="1" applyAlignment="1">
      <alignment horizontal="center"/>
    </xf>
    <xf numFmtId="171" fontId="40" fillId="9" borderId="3" xfId="2" applyNumberFormat="1" applyFont="1" applyFill="1" applyBorder="1" applyAlignment="1">
      <alignment horizontal="right" vertical="center"/>
    </xf>
    <xf numFmtId="0" fontId="39" fillId="8" borderId="28" xfId="12" applyFont="1" applyFill="1" applyBorder="1" applyAlignment="1">
      <alignment horizontal="center"/>
    </xf>
    <xf numFmtId="171" fontId="40" fillId="9" borderId="6" xfId="2" applyNumberFormat="1" applyFont="1" applyFill="1" applyBorder="1" applyAlignment="1">
      <alignment horizontal="right" vertical="center"/>
    </xf>
    <xf numFmtId="0" fontId="39" fillId="8" borderId="22" xfId="12" applyFont="1" applyFill="1" applyBorder="1" applyAlignment="1">
      <alignment horizontal="left"/>
    </xf>
    <xf numFmtId="171" fontId="40" fillId="9" borderId="5" xfId="2" applyNumberFormat="1" applyFont="1" applyFill="1" applyBorder="1" applyAlignment="1">
      <alignment horizontal="right" vertical="center"/>
    </xf>
    <xf numFmtId="9" fontId="16" fillId="0" borderId="28" xfId="9" applyFont="1" applyFill="1" applyBorder="1" applyAlignment="1">
      <alignment horizontal="center"/>
    </xf>
    <xf numFmtId="170" fontId="16" fillId="0" borderId="12" xfId="35" applyNumberFormat="1" applyFont="1" applyBorder="1" applyAlignment="1">
      <alignment vertical="center" wrapText="1"/>
    </xf>
    <xf numFmtId="170" fontId="16" fillId="10" borderId="12" xfId="35" applyNumberFormat="1" applyFont="1" applyFill="1" applyBorder="1" applyAlignment="1">
      <alignment vertical="center" wrapText="1"/>
    </xf>
    <xf numFmtId="10" fontId="16" fillId="0" borderId="12" xfId="12" applyNumberFormat="1" applyFont="1" applyBorder="1" applyAlignment="1">
      <alignment vertical="center" wrapText="1"/>
    </xf>
    <xf numFmtId="2" fontId="16" fillId="4" borderId="8" xfId="0" applyNumberFormat="1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2" fontId="16" fillId="4" borderId="15" xfId="0" applyNumberFormat="1" applyFont="1" applyFill="1" applyBorder="1" applyAlignment="1">
      <alignment horizontal="center" vertical="center" wrapText="1"/>
    </xf>
    <xf numFmtId="2" fontId="16" fillId="5" borderId="5" xfId="0" applyNumberFormat="1" applyFont="1" applyFill="1" applyBorder="1" applyAlignment="1">
      <alignment horizontal="center" vertical="center" wrapText="1"/>
    </xf>
    <xf numFmtId="0" fontId="16" fillId="9" borderId="12" xfId="12" applyFont="1" applyFill="1" applyBorder="1" applyAlignment="1">
      <alignment horizontal="left"/>
    </xf>
    <xf numFmtId="0" fontId="16" fillId="9" borderId="2" xfId="12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7" fillId="8" borderId="16" xfId="12" applyFont="1" applyFill="1" applyBorder="1" applyAlignment="1">
      <alignment horizontal="center"/>
    </xf>
    <xf numFmtId="3" fontId="16" fillId="0" borderId="4" xfId="12" applyNumberFormat="1" applyFont="1" applyBorder="1" applyAlignment="1">
      <alignment horizontal="center"/>
    </xf>
    <xf numFmtId="3" fontId="16" fillId="5" borderId="4" xfId="12" applyNumberFormat="1" applyFont="1" applyFill="1" applyBorder="1" applyAlignment="1">
      <alignment horizontal="center"/>
    </xf>
    <xf numFmtId="3" fontId="16" fillId="5" borderId="20" xfId="12" applyNumberFormat="1" applyFont="1" applyFill="1" applyBorder="1" applyAlignment="1">
      <alignment horizontal="center"/>
    </xf>
    <xf numFmtId="6" fontId="17" fillId="0" borderId="4" xfId="2" applyNumberFormat="1" applyFont="1" applyBorder="1"/>
    <xf numFmtId="6" fontId="17" fillId="5" borderId="16" xfId="2" applyNumberFormat="1" applyFont="1" applyFill="1" applyBorder="1"/>
    <xf numFmtId="3" fontId="16" fillId="5" borderId="34" xfId="12" applyNumberFormat="1" applyFont="1" applyFill="1" applyBorder="1" applyAlignment="1">
      <alignment horizontal="center"/>
    </xf>
    <xf numFmtId="0" fontId="17" fillId="8" borderId="33" xfId="0" applyFont="1" applyFill="1" applyBorder="1" applyAlignment="1">
      <alignment horizontal="center"/>
    </xf>
    <xf numFmtId="169" fontId="16" fillId="5" borderId="4" xfId="0" applyNumberFormat="1" applyFont="1" applyFill="1" applyBorder="1"/>
    <xf numFmtId="169" fontId="16" fillId="0" borderId="4" xfId="0" applyNumberFormat="1" applyFont="1" applyBorder="1"/>
    <xf numFmtId="6" fontId="16" fillId="5" borderId="4" xfId="0" applyNumberFormat="1" applyFont="1" applyFill="1" applyBorder="1"/>
    <xf numFmtId="6" fontId="16" fillId="0" borderId="4" xfId="0" applyNumberFormat="1" applyFont="1" applyBorder="1"/>
    <xf numFmtId="0" fontId="9" fillId="0" borderId="0" xfId="0" applyFont="1" applyFill="1" applyAlignment="1">
      <alignment horizontal="center" wrapText="1"/>
    </xf>
    <xf numFmtId="0" fontId="9" fillId="0" borderId="0" xfId="0" applyFont="1" applyFill="1"/>
    <xf numFmtId="6" fontId="33" fillId="9" borderId="4" xfId="0" applyNumberFormat="1" applyFont="1" applyFill="1" applyBorder="1" applyAlignment="1">
      <alignment horizontal="right" vertical="center" wrapText="1"/>
    </xf>
    <xf numFmtId="6" fontId="33" fillId="5" borderId="4" xfId="0" applyNumberFormat="1" applyFont="1" applyFill="1" applyBorder="1" applyAlignment="1">
      <alignment horizontal="right" vertical="center" wrapText="1"/>
    </xf>
    <xf numFmtId="0" fontId="17" fillId="8" borderId="4" xfId="0" applyFont="1" applyFill="1" applyBorder="1" applyAlignment="1">
      <alignment horizontal="center"/>
    </xf>
    <xf numFmtId="6" fontId="16" fillId="9" borderId="4" xfId="2" applyNumberFormat="1" applyFont="1" applyFill="1" applyBorder="1" applyAlignment="1"/>
    <xf numFmtId="6" fontId="16" fillId="5" borderId="4" xfId="2" applyNumberFormat="1" applyFont="1" applyFill="1" applyBorder="1" applyAlignment="1"/>
    <xf numFmtId="9" fontId="16" fillId="0" borderId="17" xfId="9" applyNumberFormat="1" applyFont="1" applyFill="1" applyBorder="1" applyAlignment="1">
      <alignment horizontal="center"/>
    </xf>
    <xf numFmtId="6" fontId="16" fillId="9" borderId="5" xfId="2" applyNumberFormat="1" applyFont="1" applyFill="1" applyBorder="1"/>
    <xf numFmtId="0" fontId="39" fillId="8" borderId="3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 wrapText="1"/>
    </xf>
    <xf numFmtId="0" fontId="39" fillId="8" borderId="4" xfId="0" applyFont="1" applyFill="1" applyBorder="1" applyAlignment="1">
      <alignment horizontal="right" vertical="center" wrapText="1"/>
    </xf>
    <xf numFmtId="0" fontId="39" fillId="8" borderId="5" xfId="0" applyFont="1" applyFill="1" applyBorder="1" applyAlignment="1">
      <alignment vertical="center"/>
    </xf>
    <xf numFmtId="2" fontId="40" fillId="0" borderId="5" xfId="0" applyNumberFormat="1" applyFont="1" applyBorder="1" applyAlignment="1">
      <alignment horizontal="center" vertical="center"/>
    </xf>
    <xf numFmtId="0" fontId="40" fillId="5" borderId="5" xfId="0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2" fillId="8" borderId="3" xfId="0" applyFont="1" applyFill="1" applyBorder="1" applyAlignment="1">
      <alignment wrapText="1"/>
    </xf>
    <xf numFmtId="0" fontId="38" fillId="7" borderId="5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wrapText="1"/>
    </xf>
    <xf numFmtId="9" fontId="16" fillId="4" borderId="3" xfId="9" applyFont="1" applyFill="1" applyBorder="1" applyAlignment="1">
      <alignment horizontal="right"/>
    </xf>
    <xf numFmtId="4" fontId="16" fillId="4" borderId="3" xfId="0" applyNumberFormat="1" applyFont="1" applyFill="1" applyBorder="1" applyAlignment="1">
      <alignment horizontal="right"/>
    </xf>
    <xf numFmtId="0" fontId="17" fillId="8" borderId="12" xfId="0" applyFont="1" applyFill="1" applyBorder="1" applyAlignment="1">
      <alignment wrapText="1"/>
    </xf>
    <xf numFmtId="6" fontId="33" fillId="9" borderId="28" xfId="0" applyNumberFormat="1" applyFont="1" applyFill="1" applyBorder="1" applyAlignment="1">
      <alignment horizontal="right"/>
    </xf>
    <xf numFmtId="6" fontId="33" fillId="5" borderId="28" xfId="0" applyNumberFormat="1" applyFont="1" applyFill="1" applyBorder="1" applyAlignment="1">
      <alignment horizontal="right"/>
    </xf>
    <xf numFmtId="6" fontId="33" fillId="9" borderId="5" xfId="0" applyNumberFormat="1" applyFont="1" applyFill="1" applyBorder="1"/>
    <xf numFmtId="0" fontId="17" fillId="8" borderId="14" xfId="12" applyFont="1" applyFill="1" applyBorder="1" applyAlignment="1">
      <alignment horizontal="center"/>
    </xf>
    <xf numFmtId="3" fontId="16" fillId="0" borderId="14" xfId="12" applyNumberFormat="1" applyFont="1" applyBorder="1" applyAlignment="1">
      <alignment horizontal="center"/>
    </xf>
    <xf numFmtId="3" fontId="16" fillId="5" borderId="14" xfId="12" applyNumberFormat="1" applyFont="1" applyFill="1" applyBorder="1" applyAlignment="1">
      <alignment horizontal="center"/>
    </xf>
    <xf numFmtId="0" fontId="21" fillId="7" borderId="6" xfId="8" applyFont="1" applyFill="1" applyBorder="1" applyAlignment="1">
      <alignment horizontal="center" vertical="center"/>
    </xf>
    <xf numFmtId="0" fontId="25" fillId="8" borderId="10" xfId="8" applyFont="1" applyFill="1" applyBorder="1" applyAlignment="1">
      <alignment horizontal="center" vertical="center" wrapText="1"/>
    </xf>
    <xf numFmtId="0" fontId="25" fillId="8" borderId="18" xfId="8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8" fillId="7" borderId="30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horizontal="center" vertical="center"/>
    </xf>
    <xf numFmtId="0" fontId="29" fillId="7" borderId="9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horizontal="left"/>
    </xf>
    <xf numFmtId="0" fontId="25" fillId="8" borderId="3" xfId="0" applyFont="1" applyFill="1" applyBorder="1" applyAlignment="1">
      <alignment horizontal="left"/>
    </xf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 wrapText="1"/>
    </xf>
    <xf numFmtId="0" fontId="18" fillId="7" borderId="7" xfId="0" applyFont="1" applyFill="1" applyBorder="1" applyAlignment="1">
      <alignment horizontal="center" wrapText="1"/>
    </xf>
    <xf numFmtId="0" fontId="18" fillId="7" borderId="22" xfId="0" applyFont="1" applyFill="1" applyBorder="1" applyAlignment="1">
      <alignment horizontal="center"/>
    </xf>
    <xf numFmtId="0" fontId="18" fillId="7" borderId="23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/>
    </xf>
    <xf numFmtId="0" fontId="17" fillId="8" borderId="9" xfId="0" applyFont="1" applyFill="1" applyBorder="1" applyAlignment="1">
      <alignment horizontal="center"/>
    </xf>
    <xf numFmtId="0" fontId="18" fillId="7" borderId="12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8" fillId="7" borderId="11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right" vertical="center"/>
    </xf>
    <xf numFmtId="0" fontId="18" fillId="7" borderId="12" xfId="0" applyFont="1" applyFill="1" applyBorder="1" applyAlignment="1">
      <alignment horizontal="center"/>
    </xf>
    <xf numFmtId="0" fontId="29" fillId="7" borderId="3" xfId="12" applyFont="1" applyFill="1" applyBorder="1" applyAlignment="1">
      <alignment horizontal="center" vertical="center" wrapText="1"/>
    </xf>
    <xf numFmtId="0" fontId="25" fillId="8" borderId="3" xfId="12" applyFont="1" applyFill="1" applyBorder="1" applyAlignment="1">
      <alignment horizontal="center" vertical="center" wrapText="1"/>
    </xf>
    <xf numFmtId="6" fontId="25" fillId="6" borderId="3" xfId="12" applyNumberFormat="1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/>
    </xf>
    <xf numFmtId="0" fontId="38" fillId="7" borderId="8" xfId="12" applyFont="1" applyFill="1" applyBorder="1" applyAlignment="1">
      <alignment horizontal="center" wrapText="1"/>
    </xf>
    <xf numFmtId="0" fontId="38" fillId="7" borderId="5" xfId="12" applyFont="1" applyFill="1" applyBorder="1" applyAlignment="1">
      <alignment horizontal="center" wrapText="1"/>
    </xf>
    <xf numFmtId="0" fontId="41" fillId="0" borderId="3" xfId="12" applyFont="1" applyBorder="1" applyAlignment="1">
      <alignment horizontal="left" vertical="center"/>
    </xf>
    <xf numFmtId="0" fontId="38" fillId="7" borderId="3" xfId="0" applyFont="1" applyFill="1" applyBorder="1" applyAlignment="1">
      <alignment horizontal="center"/>
    </xf>
    <xf numFmtId="0" fontId="38" fillId="7" borderId="8" xfId="12" applyFont="1" applyFill="1" applyBorder="1" applyAlignment="1">
      <alignment horizontal="center" vertical="center" wrapText="1"/>
    </xf>
    <xf numFmtId="0" fontId="38" fillId="7" borderId="5" xfId="12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/>
    </xf>
    <xf numFmtId="0" fontId="40" fillId="0" borderId="2" xfId="0" applyFont="1" applyBorder="1" applyAlignment="1">
      <alignment horizontal="left"/>
    </xf>
    <xf numFmtId="0" fontId="40" fillId="0" borderId="9" xfId="0" applyFont="1" applyBorder="1" applyAlignment="1">
      <alignment horizontal="left"/>
    </xf>
    <xf numFmtId="0" fontId="38" fillId="7" borderId="12" xfId="0" applyFont="1" applyFill="1" applyBorder="1" applyAlignment="1">
      <alignment horizontal="center"/>
    </xf>
    <xf numFmtId="0" fontId="38" fillId="7" borderId="2" xfId="0" applyFont="1" applyFill="1" applyBorder="1" applyAlignment="1">
      <alignment horizontal="center"/>
    </xf>
    <xf numFmtId="0" fontId="38" fillId="7" borderId="9" xfId="0" applyFont="1" applyFill="1" applyBorder="1" applyAlignment="1">
      <alignment horizontal="center"/>
    </xf>
    <xf numFmtId="0" fontId="38" fillId="7" borderId="3" xfId="0" applyFont="1" applyFill="1" applyBorder="1" applyAlignment="1">
      <alignment horizontal="center" vertical="center"/>
    </xf>
    <xf numFmtId="9" fontId="38" fillId="7" borderId="3" xfId="0" quotePrefix="1" applyNumberFormat="1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/>
    </xf>
    <xf numFmtId="0" fontId="16" fillId="0" borderId="3" xfId="0" applyFont="1" applyBorder="1" applyAlignment="1">
      <alignment horizontal="left" wrapText="1"/>
    </xf>
    <xf numFmtId="0" fontId="17" fillId="8" borderId="3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right"/>
    </xf>
    <xf numFmtId="0" fontId="17" fillId="0" borderId="29" xfId="0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0" fontId="16" fillId="0" borderId="1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8" fillId="7" borderId="3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6" fillId="9" borderId="3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17" fillId="8" borderId="8" xfId="0" applyFont="1" applyFill="1" applyBorder="1" applyAlignment="1">
      <alignment horizontal="center" vertical="center" wrapText="1"/>
    </xf>
    <xf numFmtId="0" fontId="18" fillId="9" borderId="0" xfId="12" applyFont="1" applyFill="1" applyAlignment="1">
      <alignment horizontal="center"/>
    </xf>
    <xf numFmtId="0" fontId="18" fillId="9" borderId="0" xfId="12" applyFont="1" applyFill="1" applyAlignment="1">
      <alignment horizontal="center" vertical="center"/>
    </xf>
    <xf numFmtId="0" fontId="16" fillId="0" borderId="12" xfId="12" applyFont="1" applyBorder="1" applyAlignment="1">
      <alignment horizontal="left" wrapText="1"/>
    </xf>
    <xf numFmtId="0" fontId="17" fillId="0" borderId="10" xfId="12" applyFont="1" applyBorder="1" applyAlignment="1">
      <alignment horizontal="right"/>
    </xf>
    <xf numFmtId="0" fontId="18" fillId="7" borderId="12" xfId="12" applyFont="1" applyFill="1" applyBorder="1" applyAlignment="1">
      <alignment horizontal="center"/>
    </xf>
    <xf numFmtId="0" fontId="18" fillId="7" borderId="12" xfId="12" applyFont="1" applyFill="1" applyBorder="1" applyAlignment="1">
      <alignment horizontal="center" vertical="center"/>
    </xf>
    <xf numFmtId="0" fontId="18" fillId="7" borderId="2" xfId="12" applyFont="1" applyFill="1" applyBorder="1" applyAlignment="1">
      <alignment horizontal="center" vertical="center"/>
    </xf>
    <xf numFmtId="0" fontId="18" fillId="7" borderId="9" xfId="12" applyFont="1" applyFill="1" applyBorder="1" applyAlignment="1">
      <alignment horizontal="center" vertical="center"/>
    </xf>
    <xf numFmtId="0" fontId="18" fillId="7" borderId="12" xfId="12" applyFont="1" applyFill="1" applyBorder="1" applyAlignment="1">
      <alignment horizontal="center" vertical="center" wrapText="1"/>
    </xf>
    <xf numFmtId="0" fontId="18" fillId="7" borderId="2" xfId="12" applyFont="1" applyFill="1" applyBorder="1" applyAlignment="1">
      <alignment horizontal="center" vertical="center" wrapText="1"/>
    </xf>
    <xf numFmtId="0" fontId="36" fillId="7" borderId="12" xfId="12" applyFont="1" applyFill="1" applyBorder="1" applyAlignment="1">
      <alignment horizontal="center"/>
    </xf>
    <xf numFmtId="0" fontId="36" fillId="7" borderId="2" xfId="12" applyFont="1" applyFill="1" applyBorder="1" applyAlignment="1">
      <alignment horizontal="center"/>
    </xf>
    <xf numFmtId="0" fontId="18" fillId="7" borderId="2" xfId="12" applyFont="1" applyFill="1" applyBorder="1" applyAlignment="1">
      <alignment horizontal="center"/>
    </xf>
    <xf numFmtId="0" fontId="18" fillId="7" borderId="9" xfId="12" applyFont="1" applyFill="1" applyBorder="1" applyAlignment="1">
      <alignment horizontal="center"/>
    </xf>
    <xf numFmtId="0" fontId="18" fillId="7" borderId="19" xfId="12" applyFont="1" applyFill="1" applyBorder="1" applyAlignment="1">
      <alignment horizontal="center" vertical="center" wrapText="1"/>
    </xf>
    <xf numFmtId="0" fontId="17" fillId="7" borderId="3" xfId="12" applyFont="1" applyFill="1" applyBorder="1" applyAlignment="1">
      <alignment horizontal="center" vertical="center" wrapText="1"/>
    </xf>
    <xf numFmtId="170" fontId="16" fillId="0" borderId="3" xfId="35" applyNumberFormat="1" applyFont="1" applyBorder="1" applyAlignment="1">
      <alignment horizontal="center"/>
    </xf>
    <xf numFmtId="2" fontId="17" fillId="9" borderId="12" xfId="12" applyNumberFormat="1" applyFont="1" applyFill="1" applyBorder="1" applyAlignment="1">
      <alignment horizontal="center"/>
    </xf>
    <xf numFmtId="0" fontId="29" fillId="7" borderId="12" xfId="12" applyFont="1" applyFill="1" applyBorder="1" applyAlignment="1">
      <alignment horizontal="center" vertical="center" wrapText="1"/>
    </xf>
    <xf numFmtId="6" fontId="25" fillId="6" borderId="12" xfId="12" applyNumberFormat="1" applyFont="1" applyFill="1" applyBorder="1" applyAlignment="1">
      <alignment horizontal="center" vertical="center" wrapText="1"/>
    </xf>
    <xf numFmtId="0" fontId="18" fillId="7" borderId="8" xfId="12" applyFont="1" applyFill="1" applyBorder="1" applyAlignment="1">
      <alignment horizontal="center" vertical="center"/>
    </xf>
    <xf numFmtId="0" fontId="18" fillId="7" borderId="3" xfId="12" applyFont="1" applyFill="1" applyBorder="1" applyAlignment="1">
      <alignment horizontal="center" vertical="center"/>
    </xf>
    <xf numFmtId="0" fontId="18" fillId="7" borderId="3" xfId="12" applyFont="1" applyFill="1" applyBorder="1" applyAlignment="1">
      <alignment horizontal="center"/>
    </xf>
    <xf numFmtId="0" fontId="17" fillId="0" borderId="22" xfId="12" applyFont="1" applyBorder="1" applyAlignment="1">
      <alignment horizontal="right"/>
    </xf>
    <xf numFmtId="0" fontId="18" fillId="7" borderId="3" xfId="12" applyFont="1" applyFill="1" applyBorder="1" applyAlignment="1">
      <alignment horizontal="center" vertical="center" wrapText="1"/>
    </xf>
    <xf numFmtId="0" fontId="18" fillId="7" borderId="8" xfId="12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0" fillId="9" borderId="9" xfId="0" applyFill="1" applyBorder="1" applyAlignment="1">
      <alignment horizontal="center" wrapText="1"/>
    </xf>
    <xf numFmtId="0" fontId="11" fillId="0" borderId="22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29" fillId="7" borderId="2" xfId="12" applyFont="1" applyFill="1" applyBorder="1" applyAlignment="1">
      <alignment horizontal="center" vertical="center" wrapText="1"/>
    </xf>
    <xf numFmtId="0" fontId="29" fillId="7" borderId="9" xfId="12" applyFont="1" applyFill="1" applyBorder="1" applyAlignment="1">
      <alignment horizontal="center" vertical="center" wrapText="1"/>
    </xf>
    <xf numFmtId="0" fontId="25" fillId="8" borderId="12" xfId="12" applyFont="1" applyFill="1" applyBorder="1" applyAlignment="1">
      <alignment horizontal="center" vertical="center" wrapText="1"/>
    </xf>
    <xf numFmtId="0" fontId="25" fillId="8" borderId="9" xfId="12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/>
    </xf>
    <xf numFmtId="0" fontId="21" fillId="7" borderId="12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/>
    </xf>
  </cellXfs>
  <cellStyles count="36">
    <cellStyle name="active" xfId="1" xr:uid="{00000000-0005-0000-0000-000000000000}"/>
    <cellStyle name="Comma 2" xfId="13" xr:uid="{00000000-0005-0000-0000-000002000000}"/>
    <cellStyle name="Comma 3" xfId="23" xr:uid="{00000000-0005-0000-0000-000003000000}"/>
    <cellStyle name="Comma 4" xfId="26" xr:uid="{70843B5B-5B20-425F-A562-FE6217C273E5}"/>
    <cellStyle name="Comma 4 2" xfId="29" xr:uid="{7F7CD4DC-138E-45B6-BD63-8E20BBB70E88}"/>
    <cellStyle name="Comma 4 3" xfId="34" xr:uid="{865A539E-9617-4A9C-8676-579A16C2A4E3}"/>
    <cellStyle name="Comma 5" xfId="35" xr:uid="{4BC2A7B7-C011-4A6D-9EDD-5D96C4863E16}"/>
    <cellStyle name="Currency" xfId="2" builtinId="4"/>
    <cellStyle name="Currency 2" xfId="30" xr:uid="{1EBC2143-73A8-4208-9DCD-D028241C161F}"/>
    <cellStyle name="Currency 2 2" xfId="20" xr:uid="{00000000-0005-0000-0000-000005000000}"/>
    <cellStyle name="Currency 2 3" xfId="33" xr:uid="{C888180E-8EEF-4125-8A3B-FB0092CDE3C9}"/>
    <cellStyle name="Currency 3" xfId="21" xr:uid="{00000000-0005-0000-0000-000006000000}"/>
    <cellStyle name="Currency 8" xfId="17" xr:uid="{00000000-0005-0000-0000-000007000000}"/>
    <cellStyle name="Grey" xfId="3" xr:uid="{00000000-0005-0000-0000-000008000000}"/>
    <cellStyle name="Header1" xfId="4" xr:uid="{00000000-0005-0000-0000-000009000000}"/>
    <cellStyle name="Header2" xfId="5" xr:uid="{00000000-0005-0000-0000-00000A000000}"/>
    <cellStyle name="Hyperlink" xfId="27" builtinId="8"/>
    <cellStyle name="Hyperlink 2" xfId="31" xr:uid="{A264FA62-74C7-4D6F-A50F-0F3D7D9AD2C0}"/>
    <cellStyle name="Input [yellow]" xfId="6" xr:uid="{00000000-0005-0000-0000-00000C000000}"/>
    <cellStyle name="Normal" xfId="0" builtinId="0"/>
    <cellStyle name="Normal - Style1" xfId="7" xr:uid="{00000000-0005-0000-0000-00000E000000}"/>
    <cellStyle name="Normal 11" xfId="16" xr:uid="{00000000-0005-0000-0000-00000F000000}"/>
    <cellStyle name="Normal 11 2" xfId="24" xr:uid="{00000000-0005-0000-0000-000010000000}"/>
    <cellStyle name="Normal 16" xfId="12" xr:uid="{00000000-0005-0000-0000-000011000000}"/>
    <cellStyle name="Normal 2" xfId="8" xr:uid="{00000000-0005-0000-0000-000012000000}"/>
    <cellStyle name="Normal 2 2" xfId="19" xr:uid="{00000000-0005-0000-0000-000013000000}"/>
    <cellStyle name="Normal 3" xfId="28" xr:uid="{1925518A-B263-4CFD-BB5E-0709EEAC8044}"/>
    <cellStyle name="Normal 3 2" xfId="32" xr:uid="{AA2B0321-D12C-419B-9E75-E60F81B6AD7A}"/>
    <cellStyle name="Normal 4" xfId="14" xr:uid="{00000000-0005-0000-0000-000014000000}"/>
    <cellStyle name="Normal 4 2" xfId="15" xr:uid="{00000000-0005-0000-0000-000015000000}"/>
    <cellStyle name="Normal 4 2 2" xfId="25" xr:uid="{BCC2316D-3890-4BC2-81F5-EA24DB0F5E68}"/>
    <cellStyle name="Normal 4 3" xfId="18" xr:uid="{00000000-0005-0000-0000-000016000000}"/>
    <cellStyle name="Normal 5" xfId="22" xr:uid="{00000000-0005-0000-0000-000017000000}"/>
    <cellStyle name="Percent" xfId="9" builtinId="5"/>
    <cellStyle name="Percent [2]" xfId="10" xr:uid="{00000000-0005-0000-0000-000019000000}"/>
    <cellStyle name="PSChar" xfId="11" xr:uid="{00000000-0005-0000-0000-00001A000000}"/>
  </cellStyles>
  <dxfs count="0"/>
  <tableStyles count="0" defaultTableStyle="TableStyleMedium9" defaultPivotStyle="PivotStyleLight16"/>
  <colors>
    <mruColors>
      <color rgb="FFFFFFCC"/>
      <color rgb="FFFEF5E4"/>
      <color rgb="FFFDB924"/>
      <color rgb="FF029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164</xdr:row>
      <xdr:rowOff>66675</xdr:rowOff>
    </xdr:from>
    <xdr:to>
      <xdr:col>8</xdr:col>
      <xdr:colOff>250646</xdr:colOff>
      <xdr:row>169</xdr:row>
      <xdr:rowOff>131011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90A893-DCFD-4C25-B679-0F9B1EF1A4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3543"/>
        <a:stretch/>
      </xdr:blipFill>
      <xdr:spPr>
        <a:xfrm>
          <a:off x="0" y="57607200"/>
          <a:ext cx="5346521" cy="9215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yoming%20TIGER\CBA%20Working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MCKEN~1\LOCALS~1\Temp\notesE97E9E\Template%20of%20Benefits%20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WFP01\Data\Project\FTW_TPTO\061018034\xls\Service%20Area%20D\2007_8_11_FTW_RIF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Matrix"/>
      <sheetName val="START Summary"/>
      <sheetName val="START Narrative"/>
      <sheetName val="START Distance Benefit"/>
      <sheetName val="START Costs"/>
      <sheetName val="START VMT Table"/>
      <sheetName val="START Assumptions"/>
      <sheetName val="START Inside Storage Benefit"/>
      <sheetName val="START Mobility Benefit"/>
      <sheetName val="START Safety Benefit"/>
      <sheetName val="START Cost of Extra Idling"/>
      <sheetName val="START Road Cost Benefit"/>
      <sheetName val="START Parking Benefit"/>
      <sheetName val="START Remaining Capital Value"/>
      <sheetName val="START Global Benefit"/>
      <sheetName val="START Energy Cost"/>
      <sheetName val="START CNG Benefits"/>
      <sheetName val="START Value of CO2 rdctn"/>
    </sheetNames>
    <sheetDataSet>
      <sheetData sheetId="0"/>
      <sheetData sheetId="1"/>
      <sheetData sheetId="2"/>
      <sheetData sheetId="3"/>
      <sheetData sheetId="4">
        <row r="5">
          <cell r="I5">
            <v>35873401.852506503</v>
          </cell>
          <cell r="L5">
            <v>-11950617.593879221</v>
          </cell>
        </row>
      </sheetData>
      <sheetData sheetId="5"/>
      <sheetData sheetId="6">
        <row r="31">
          <cell r="B31">
            <v>2013</v>
          </cell>
        </row>
        <row r="32">
          <cell r="B32">
            <v>2015</v>
          </cell>
        </row>
        <row r="33">
          <cell r="B33">
            <v>50</v>
          </cell>
        </row>
        <row r="35">
          <cell r="B35">
            <v>7.0000000000000007E-2</v>
          </cell>
        </row>
        <row r="37">
          <cell r="B37">
            <v>0.26</v>
          </cell>
        </row>
        <row r="39">
          <cell r="B39">
            <v>0.02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I8">
            <v>101752.39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nnel Capacity"/>
      <sheetName val="Notes"/>
    </sheetNames>
    <sheetDataSet>
      <sheetData sheetId="0">
        <row r="2">
          <cell r="C2">
            <v>8000</v>
          </cell>
        </row>
        <row r="3">
          <cell r="C3">
            <v>0.57999999999999996</v>
          </cell>
        </row>
        <row r="4">
          <cell r="C4">
            <v>0</v>
          </cell>
        </row>
        <row r="5">
          <cell r="C5">
            <v>63</v>
          </cell>
        </row>
        <row r="6">
          <cell r="C6">
            <v>36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NEW ROAD"/>
      <sheetName val="CCI"/>
      <sheetName val="PayItems"/>
      <sheetName val="Basswood (4)"/>
      <sheetName val="Basswood (5)"/>
      <sheetName val="Basswood (6)"/>
      <sheetName val="Basswood (7)"/>
      <sheetName val="Summerfields"/>
      <sheetName val="NTP (2)"/>
      <sheetName val="NTP (3)"/>
      <sheetName val="NTP (4)"/>
      <sheetName val="Shiver"/>
      <sheetName val="Heritage Trace (5)"/>
      <sheetName val="Heritage Trace (6)"/>
      <sheetName val="Heritage Trace (7)"/>
      <sheetName val="Golden Triangle (2)"/>
      <sheetName val="Golden Triangle (3)"/>
      <sheetName val="Golden Triangle (4)"/>
      <sheetName val="Keller Hicks (2)"/>
      <sheetName val="Keller Hicks (3)"/>
      <sheetName val="Keller Hicks (4)"/>
      <sheetName val="Timberland (1)"/>
      <sheetName val="Timberland (2)"/>
      <sheetName val="Timberland (3)"/>
      <sheetName val="N. Riverside (1)"/>
      <sheetName val="N. Riverside (2)"/>
      <sheetName val="N. Riverside (3)"/>
      <sheetName val="N. Riverside (4)"/>
      <sheetName val="N. Riverside (5)"/>
      <sheetName val="N. Riverside (6)"/>
      <sheetName val="N. Riverside (7)"/>
      <sheetName val="N. Beach (3)"/>
      <sheetName val="N. Beach (4)"/>
      <sheetName val="N. Beach (5)"/>
      <sheetName val="N. Beach (6)"/>
      <sheetName val="N. Beach (7)"/>
      <sheetName val="N. Beach (8)"/>
      <sheetName val="N. Beach (9)"/>
      <sheetName val="N. Beach (10)"/>
      <sheetName val="Park Vista (2)"/>
      <sheetName val="Park Vista (3)"/>
      <sheetName val="Park Vista (4)"/>
      <sheetName val="Park Vista (5)"/>
      <sheetName val="Summary"/>
      <sheetName val="CIP"/>
      <sheetName val="CIP-cost"/>
      <sheetName val="SupD"/>
      <sheetName val="E-D"/>
      <sheetName val="MaxFee"/>
      <sheetName val="PieCharts"/>
      <sheetName val="LUVMET"/>
      <sheetName val="LUVMET (2)"/>
      <sheetName val="10-Yr"/>
    </sheetNames>
    <sheetDataSet>
      <sheetData sheetId="0"/>
      <sheetData sheetId="1">
        <row r="2">
          <cell r="A2" t="str">
            <v>Median</v>
          </cell>
        </row>
        <row r="3">
          <cell r="A3" t="str">
            <v>NEW</v>
          </cell>
        </row>
        <row r="4">
          <cell r="A4" t="str">
            <v>EXISTING</v>
          </cell>
        </row>
      </sheetData>
      <sheetData sheetId="2">
        <row r="6">
          <cell r="B6">
            <v>155.07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  <pageSetUpPr fitToPage="1"/>
  </sheetPr>
  <dimension ref="A1:Z51"/>
  <sheetViews>
    <sheetView tabSelected="1" workbookViewId="0">
      <selection activeCell="C11" sqref="C11"/>
    </sheetView>
  </sheetViews>
  <sheetFormatPr defaultRowHeight="13.2"/>
  <cols>
    <col min="2" max="2" width="11.88671875" customWidth="1"/>
    <col min="3" max="3" width="11.33203125" bestFit="1" customWidth="1"/>
    <col min="4" max="4" width="14.33203125" customWidth="1"/>
    <col min="5" max="5" width="18.21875" customWidth="1"/>
    <col min="6" max="6" width="16" customWidth="1"/>
    <col min="7" max="7" width="19.5546875" customWidth="1"/>
    <col min="8" max="8" width="18.33203125" customWidth="1"/>
  </cols>
  <sheetData>
    <row r="1" spans="1:26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32.25" customHeight="1" thickBot="1">
      <c r="A2" s="65"/>
      <c r="B2" s="334" t="s">
        <v>0</v>
      </c>
      <c r="C2" s="334"/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62.25" customHeight="1" thickTop="1">
      <c r="A3" s="65"/>
      <c r="B3" s="335" t="str">
        <f>'Summary Table'!A1</f>
        <v>2022 BCA SUMMARY - U.S. 412 IMPROVEMENTS TO INTERSTATE STANDARDS PROJECT</v>
      </c>
      <c r="C3" s="336"/>
      <c r="D3" s="8">
        <f>Costs!C3</f>
        <v>139790000</v>
      </c>
      <c r="E3" s="8">
        <f>'Summary Table'!V41</f>
        <v>80590367</v>
      </c>
      <c r="F3" s="8">
        <f>'Summary Table'!O41</f>
        <v>435657500.87327421</v>
      </c>
      <c r="G3" s="8">
        <f>'Summary Table'!R41</f>
        <v>138195934.94165322</v>
      </c>
      <c r="H3" s="9">
        <f>'Summary Table'!C4</f>
        <v>1.7147947091698097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15.6">
      <c r="A7" s="65"/>
      <c r="B7" s="65"/>
      <c r="C7" s="65"/>
      <c r="D7" s="65"/>
      <c r="E7" s="65"/>
      <c r="F7" s="65"/>
      <c r="G7" s="65"/>
      <c r="H7" s="65"/>
      <c r="I7" s="122"/>
      <c r="J7" s="122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5.6">
      <c r="A8" s="65"/>
      <c r="B8" s="65"/>
      <c r="C8" s="65"/>
      <c r="D8" s="65"/>
      <c r="E8" s="65"/>
      <c r="F8" s="65"/>
      <c r="G8" s="65"/>
      <c r="H8" s="65"/>
      <c r="I8" s="122"/>
      <c r="J8" s="122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6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spans="1:26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</sheetData>
  <mergeCells count="2">
    <mergeCell ref="B2:C2"/>
    <mergeCell ref="B3:C3"/>
  </mergeCells>
  <pageMargins left="0.7" right="0.7" top="0.75" bottom="0.75" header="0.3" footer="0.3"/>
  <pageSetup scale="96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581F9-3E96-449E-A527-903E83E687E2}">
  <sheetPr>
    <tabColor theme="6"/>
    <pageSetUpPr fitToPage="1"/>
  </sheetPr>
  <dimension ref="A1:EY483"/>
  <sheetViews>
    <sheetView workbookViewId="0"/>
  </sheetViews>
  <sheetFormatPr defaultRowHeight="13.2"/>
  <cols>
    <col min="1" max="1" width="13.88671875" customWidth="1"/>
    <col min="2" max="2" width="16.6640625" customWidth="1"/>
    <col min="3" max="3" width="15.6640625" customWidth="1"/>
    <col min="4" max="4" width="16.109375" bestFit="1" customWidth="1"/>
    <col min="5" max="5" width="14.6640625" customWidth="1"/>
    <col min="6" max="7" width="11.88671875" customWidth="1"/>
    <col min="8" max="8" width="12.44140625" bestFit="1" customWidth="1"/>
    <col min="9" max="9" width="14" customWidth="1"/>
    <col min="10" max="10" width="12.33203125" customWidth="1"/>
    <col min="11" max="11" width="10.44140625" customWidth="1"/>
    <col min="12" max="12" width="11.77734375" customWidth="1"/>
    <col min="13" max="13" width="10.109375" customWidth="1"/>
    <col min="14" max="14" width="11.21875" customWidth="1"/>
    <col min="15" max="15" width="11.33203125" customWidth="1"/>
    <col min="16" max="16" width="12.5546875" customWidth="1"/>
    <col min="17" max="17" width="11.6640625" customWidth="1"/>
    <col min="18" max="18" width="12.6640625" customWidth="1"/>
    <col min="19" max="19" width="12.88671875" customWidth="1"/>
    <col min="20" max="20" width="12.5546875" customWidth="1"/>
    <col min="21" max="21" width="17.44140625" customWidth="1"/>
    <col min="22" max="22" width="14.6640625" customWidth="1"/>
    <col min="23" max="23" width="12.88671875" bestFit="1" customWidth="1"/>
    <col min="24" max="30" width="10.6640625" customWidth="1"/>
    <col min="31" max="155" width="8.88671875" style="65"/>
  </cols>
  <sheetData>
    <row r="1" spans="1:30" ht="23.4">
      <c r="A1" s="265" t="s">
        <v>222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0" ht="18">
      <c r="A2" s="11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18" customHeight="1">
      <c r="A3" s="343" t="s">
        <v>6</v>
      </c>
      <c r="B3" s="344"/>
      <c r="C3" s="34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0" ht="19.95" customHeight="1">
      <c r="A4" s="346" t="s">
        <v>7</v>
      </c>
      <c r="B4" s="346"/>
      <c r="C4" s="60">
        <f>R41/V41</f>
        <v>1.7147947091698097</v>
      </c>
      <c r="D4" s="7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</row>
    <row r="5" spans="1:30" ht="18" customHeight="1">
      <c r="A5" s="347" t="s">
        <v>8</v>
      </c>
      <c r="B5" s="347"/>
      <c r="C5" s="58">
        <f>IRR(D12:D40)</f>
        <v>5.0195386892320393E-2</v>
      </c>
      <c r="D5" s="77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</row>
    <row r="6" spans="1:30" ht="18" customHeight="1">
      <c r="A6" s="347" t="s">
        <v>9</v>
      </c>
      <c r="B6" s="347"/>
      <c r="C6" s="59">
        <f>R41-V41</f>
        <v>57605567.941653222</v>
      </c>
      <c r="D6" s="77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30" ht="18" customHeight="1">
      <c r="A7" s="347" t="s">
        <v>10</v>
      </c>
      <c r="B7" s="347"/>
      <c r="C7" s="58">
        <v>7.0000000000000007E-2</v>
      </c>
      <c r="D7" s="77" t="s">
        <v>194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30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30" ht="14.4" customHeight="1">
      <c r="A9" s="337" t="s">
        <v>11</v>
      </c>
      <c r="B9" s="338"/>
      <c r="C9" s="338"/>
      <c r="D9" s="338"/>
      <c r="E9" s="339"/>
      <c r="F9" s="65"/>
      <c r="G9" s="65"/>
      <c r="H9" s="354" t="s">
        <v>192</v>
      </c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65"/>
      <c r="T9" s="337" t="s">
        <v>193</v>
      </c>
      <c r="U9" s="338"/>
      <c r="V9" s="339"/>
      <c r="W9" s="65"/>
      <c r="X9" s="65"/>
      <c r="Y9" s="65"/>
      <c r="Z9" s="65"/>
      <c r="AA9" s="65"/>
      <c r="AB9" s="65"/>
      <c r="AC9" s="65"/>
      <c r="AD9" s="65"/>
    </row>
    <row r="10" spans="1:30" ht="14.4" customHeight="1">
      <c r="A10" s="340"/>
      <c r="B10" s="341"/>
      <c r="C10" s="341"/>
      <c r="D10" s="341"/>
      <c r="E10" s="342"/>
      <c r="F10" s="65"/>
      <c r="G10" s="65"/>
      <c r="H10" s="350" t="s">
        <v>12</v>
      </c>
      <c r="I10" s="237"/>
      <c r="J10" s="352" t="s">
        <v>13</v>
      </c>
      <c r="K10" s="353"/>
      <c r="L10" s="352" t="s">
        <v>14</v>
      </c>
      <c r="M10" s="353"/>
      <c r="N10" s="230" t="s">
        <v>15</v>
      </c>
      <c r="O10" s="348" t="s">
        <v>16</v>
      </c>
      <c r="P10" s="348" t="s">
        <v>17</v>
      </c>
      <c r="Q10" s="348" t="s">
        <v>18</v>
      </c>
      <c r="R10" s="348" t="s">
        <v>19</v>
      </c>
      <c r="S10" s="65"/>
      <c r="T10" s="340"/>
      <c r="U10" s="341"/>
      <c r="V10" s="342"/>
      <c r="W10" s="65"/>
      <c r="X10" s="65"/>
      <c r="Y10" s="65"/>
      <c r="Z10" s="65"/>
      <c r="AA10" s="65"/>
      <c r="AB10" s="65"/>
      <c r="AC10" s="65"/>
      <c r="AD10" s="65"/>
    </row>
    <row r="11" spans="1:30" ht="48.75" customHeight="1" thickBot="1">
      <c r="A11" s="62" t="s">
        <v>12</v>
      </c>
      <c r="B11" s="62" t="s">
        <v>20</v>
      </c>
      <c r="C11" s="62" t="s">
        <v>21</v>
      </c>
      <c r="D11" s="62" t="s">
        <v>22</v>
      </c>
      <c r="E11" s="62" t="s">
        <v>23</v>
      </c>
      <c r="F11" s="65"/>
      <c r="G11" s="65"/>
      <c r="H11" s="351"/>
      <c r="I11" s="62" t="s">
        <v>24</v>
      </c>
      <c r="J11" s="62" t="s">
        <v>25</v>
      </c>
      <c r="K11" s="62" t="s">
        <v>26</v>
      </c>
      <c r="L11" s="62" t="s">
        <v>27</v>
      </c>
      <c r="M11" s="62" t="s">
        <v>28</v>
      </c>
      <c r="N11" s="62" t="s">
        <v>29</v>
      </c>
      <c r="O11" s="349"/>
      <c r="P11" s="349"/>
      <c r="Q11" s="349"/>
      <c r="R11" s="349"/>
      <c r="S11" s="65"/>
      <c r="T11" s="62" t="s">
        <v>12</v>
      </c>
      <c r="U11" s="62" t="s">
        <v>1</v>
      </c>
      <c r="V11" s="62" t="s">
        <v>17</v>
      </c>
      <c r="W11" s="65"/>
      <c r="X11" s="65"/>
      <c r="Y11" s="65"/>
      <c r="Z11" s="65"/>
      <c r="AA11" s="65"/>
      <c r="AB11" s="65"/>
      <c r="AC11" s="65"/>
      <c r="AD11" s="65"/>
    </row>
    <row r="12" spans="1:30" ht="13.95" customHeight="1" thickTop="1">
      <c r="A12" s="194">
        <v>2020</v>
      </c>
      <c r="B12" s="143">
        <f t="shared" ref="B12" si="0">V12</f>
        <v>0</v>
      </c>
      <c r="C12" s="144">
        <f t="shared" ref="C12:C40" si="1">P12</f>
        <v>0</v>
      </c>
      <c r="D12" s="143">
        <f t="shared" ref="D12" si="2">C12-B12</f>
        <v>0</v>
      </c>
      <c r="E12" s="145">
        <f>D12</f>
        <v>0</v>
      </c>
      <c r="F12" s="65"/>
      <c r="G12" s="65"/>
      <c r="H12" s="194">
        <v>2020</v>
      </c>
      <c r="I12" s="150"/>
      <c r="J12" s="140"/>
      <c r="K12" s="129"/>
      <c r="L12" s="140"/>
      <c r="M12" s="129"/>
      <c r="N12" s="140"/>
      <c r="O12" s="129"/>
      <c r="P12" s="140"/>
      <c r="Q12" s="129"/>
      <c r="R12" s="140"/>
      <c r="S12" s="65"/>
      <c r="T12" s="194">
        <v>2020</v>
      </c>
      <c r="U12" s="149">
        <f>Costs!G5</f>
        <v>0</v>
      </c>
      <c r="V12" s="150">
        <f>Costs!H5</f>
        <v>0</v>
      </c>
      <c r="W12" s="65"/>
      <c r="X12" s="65"/>
      <c r="Y12" s="65"/>
      <c r="Z12" s="65"/>
      <c r="AA12" s="65"/>
      <c r="AB12" s="65"/>
      <c r="AC12" s="65"/>
      <c r="AD12" s="65"/>
    </row>
    <row r="13" spans="1:30" ht="13.8">
      <c r="A13" s="194">
        <v>2021</v>
      </c>
      <c r="B13" s="143">
        <f t="shared" ref="B13:B40" si="3">V13</f>
        <v>0</v>
      </c>
      <c r="C13" s="144">
        <f t="shared" si="1"/>
        <v>0</v>
      </c>
      <c r="D13" s="143">
        <f t="shared" ref="D13:D40" si="4">C13-B13</f>
        <v>0</v>
      </c>
      <c r="E13" s="145">
        <f>D13+E12</f>
        <v>0</v>
      </c>
      <c r="F13" s="65"/>
      <c r="G13" s="65"/>
      <c r="H13" s="194">
        <v>2021</v>
      </c>
      <c r="I13" s="150"/>
      <c r="J13" s="140"/>
      <c r="K13" s="129"/>
      <c r="L13" s="140"/>
      <c r="M13" s="129"/>
      <c r="N13" s="140"/>
      <c r="O13" s="129"/>
      <c r="P13" s="140"/>
      <c r="Q13" s="129"/>
      <c r="R13" s="140"/>
      <c r="S13" s="65"/>
      <c r="T13" s="194">
        <v>2021</v>
      </c>
      <c r="U13" s="149">
        <f>Costs!G6</f>
        <v>0</v>
      </c>
      <c r="V13" s="150">
        <f>Costs!H6</f>
        <v>0</v>
      </c>
      <c r="W13" s="65"/>
      <c r="X13" s="65"/>
      <c r="Y13" s="65"/>
      <c r="Z13" s="65"/>
      <c r="AA13" s="65"/>
      <c r="AB13" s="65"/>
      <c r="AC13" s="65"/>
      <c r="AD13" s="65"/>
    </row>
    <row r="14" spans="1:30" ht="13.8">
      <c r="A14" s="194">
        <f t="shared" ref="A14:A40" si="5">A13+1</f>
        <v>2022</v>
      </c>
      <c r="B14" s="143">
        <f t="shared" si="3"/>
        <v>1262282</v>
      </c>
      <c r="C14" s="144">
        <f t="shared" si="1"/>
        <v>0</v>
      </c>
      <c r="D14" s="143">
        <f t="shared" si="4"/>
        <v>-1262282</v>
      </c>
      <c r="E14" s="145">
        <f t="shared" ref="E14:E20" si="6">D14+E13</f>
        <v>-1262282</v>
      </c>
      <c r="F14" s="65"/>
      <c r="G14" s="65"/>
      <c r="H14" s="194">
        <f t="shared" ref="H14:H40" si="7">H13+1</f>
        <v>2022</v>
      </c>
      <c r="I14" s="150"/>
      <c r="J14" s="140"/>
      <c r="K14" s="129"/>
      <c r="L14" s="140"/>
      <c r="M14" s="129"/>
      <c r="N14" s="140"/>
      <c r="O14" s="129"/>
      <c r="P14" s="140"/>
      <c r="Q14" s="129"/>
      <c r="R14" s="140"/>
      <c r="S14" s="65"/>
      <c r="T14" s="194">
        <f t="shared" ref="T14:T40" si="8">T13+1</f>
        <v>2022</v>
      </c>
      <c r="U14" s="149">
        <f>Costs!G7</f>
        <v>1445187</v>
      </c>
      <c r="V14" s="150">
        <f>Costs!H7</f>
        <v>1262282</v>
      </c>
      <c r="W14" s="65"/>
      <c r="X14" s="65"/>
      <c r="Y14" s="65"/>
      <c r="Z14" s="65"/>
      <c r="AA14" s="65"/>
      <c r="AB14" s="65"/>
      <c r="AC14" s="65"/>
      <c r="AD14" s="65"/>
    </row>
    <row r="15" spans="1:30" ht="13.8">
      <c r="A15" s="194">
        <f t="shared" si="5"/>
        <v>2023</v>
      </c>
      <c r="B15" s="143">
        <f t="shared" si="3"/>
        <v>7800666</v>
      </c>
      <c r="C15" s="144">
        <f t="shared" si="1"/>
        <v>0</v>
      </c>
      <c r="D15" s="143">
        <f t="shared" si="4"/>
        <v>-7800666</v>
      </c>
      <c r="E15" s="145">
        <f t="shared" si="6"/>
        <v>-9062948</v>
      </c>
      <c r="F15" s="65"/>
      <c r="G15" s="65"/>
      <c r="H15" s="194">
        <f t="shared" si="7"/>
        <v>2023</v>
      </c>
      <c r="I15" s="150"/>
      <c r="J15" s="140"/>
      <c r="K15" s="129"/>
      <c r="L15" s="140"/>
      <c r="M15" s="129"/>
      <c r="N15" s="140"/>
      <c r="O15" s="129"/>
      <c r="P15" s="140"/>
      <c r="Q15" s="129"/>
      <c r="R15" s="140"/>
      <c r="S15" s="65"/>
      <c r="T15" s="194">
        <f t="shared" si="8"/>
        <v>2023</v>
      </c>
      <c r="U15" s="149">
        <f>Costs!G8</f>
        <v>9556151</v>
      </c>
      <c r="V15" s="150">
        <f>Costs!H8</f>
        <v>7800666</v>
      </c>
      <c r="W15" s="65"/>
      <c r="X15" s="65"/>
      <c r="Y15" s="65"/>
      <c r="Z15" s="65"/>
      <c r="AA15" s="65"/>
      <c r="AB15" s="65"/>
      <c r="AC15" s="65"/>
      <c r="AD15" s="65"/>
    </row>
    <row r="16" spans="1:30" ht="13.8">
      <c r="A16" s="194">
        <f t="shared" si="5"/>
        <v>2024</v>
      </c>
      <c r="B16" s="143">
        <f t="shared" si="3"/>
        <v>4464348</v>
      </c>
      <c r="C16" s="144">
        <f t="shared" si="1"/>
        <v>0</v>
      </c>
      <c r="D16" s="143">
        <f t="shared" si="4"/>
        <v>-4464348</v>
      </c>
      <c r="E16" s="145">
        <f t="shared" si="6"/>
        <v>-13527296</v>
      </c>
      <c r="F16" s="65"/>
      <c r="G16" s="65"/>
      <c r="H16" s="194">
        <f t="shared" si="7"/>
        <v>2024</v>
      </c>
      <c r="I16" s="150"/>
      <c r="J16" s="140"/>
      <c r="K16" s="129"/>
      <c r="L16" s="140"/>
      <c r="M16" s="129"/>
      <c r="N16" s="140"/>
      <c r="O16" s="129"/>
      <c r="P16" s="140"/>
      <c r="Q16" s="129"/>
      <c r="R16" s="140"/>
      <c r="S16" s="65"/>
      <c r="T16" s="194">
        <f t="shared" si="8"/>
        <v>2024</v>
      </c>
      <c r="U16" s="149">
        <f>Costs!G9</f>
        <v>5851849</v>
      </c>
      <c r="V16" s="150">
        <f>Costs!H9</f>
        <v>4464348</v>
      </c>
      <c r="W16" s="65"/>
      <c r="X16" s="65"/>
      <c r="Y16" s="65"/>
      <c r="Z16" s="65"/>
      <c r="AA16" s="65"/>
      <c r="AB16" s="65"/>
      <c r="AC16" s="65"/>
      <c r="AD16" s="65"/>
    </row>
    <row r="17" spans="1:30" ht="13.8">
      <c r="A17" s="194">
        <f t="shared" si="5"/>
        <v>2025</v>
      </c>
      <c r="B17" s="143">
        <f t="shared" si="3"/>
        <v>23973652</v>
      </c>
      <c r="C17" s="144">
        <f t="shared" si="1"/>
        <v>0</v>
      </c>
      <c r="D17" s="143">
        <f t="shared" si="4"/>
        <v>-23973652</v>
      </c>
      <c r="E17" s="145">
        <f>D17+E16</f>
        <v>-37500948</v>
      </c>
      <c r="F17" s="65"/>
      <c r="G17" s="65"/>
      <c r="H17" s="194">
        <f t="shared" si="7"/>
        <v>2025</v>
      </c>
      <c r="I17" s="150"/>
      <c r="J17" s="140"/>
      <c r="K17" s="129"/>
      <c r="L17" s="140"/>
      <c r="M17" s="129"/>
      <c r="N17" s="140"/>
      <c r="O17" s="129"/>
      <c r="P17" s="140"/>
      <c r="Q17" s="129"/>
      <c r="R17" s="140"/>
      <c r="S17" s="65"/>
      <c r="T17" s="194">
        <f t="shared" si="8"/>
        <v>2025</v>
      </c>
      <c r="U17" s="149">
        <f>Costs!G10</f>
        <v>33624287</v>
      </c>
      <c r="V17" s="150">
        <f>Costs!H10</f>
        <v>23973652</v>
      </c>
      <c r="W17" s="65"/>
      <c r="X17" s="65"/>
      <c r="Y17" s="65"/>
      <c r="Z17" s="65"/>
      <c r="AA17" s="65"/>
      <c r="AB17" s="65"/>
      <c r="AC17" s="65"/>
      <c r="AD17" s="65"/>
    </row>
    <row r="18" spans="1:30" ht="13.8">
      <c r="A18" s="194">
        <f t="shared" si="5"/>
        <v>2026</v>
      </c>
      <c r="B18" s="143">
        <f t="shared" si="3"/>
        <v>19837569</v>
      </c>
      <c r="C18" s="144">
        <f t="shared" si="1"/>
        <v>0</v>
      </c>
      <c r="D18" s="143">
        <f t="shared" si="4"/>
        <v>-19837569</v>
      </c>
      <c r="E18" s="145">
        <f t="shared" si="6"/>
        <v>-57338517</v>
      </c>
      <c r="F18" s="65"/>
      <c r="G18" s="65"/>
      <c r="H18" s="194">
        <f t="shared" si="7"/>
        <v>2026</v>
      </c>
      <c r="I18" s="150"/>
      <c r="J18" s="140"/>
      <c r="K18" s="129"/>
      <c r="L18" s="140"/>
      <c r="M18" s="129"/>
      <c r="N18" s="140"/>
      <c r="O18" s="129"/>
      <c r="P18" s="140"/>
      <c r="Q18" s="129"/>
      <c r="R18" s="140"/>
      <c r="S18" s="65"/>
      <c r="T18" s="194">
        <f t="shared" si="8"/>
        <v>2026</v>
      </c>
      <c r="U18" s="149">
        <f>Costs!G11</f>
        <v>29770842</v>
      </c>
      <c r="V18" s="150">
        <f>Costs!H11</f>
        <v>19837569</v>
      </c>
      <c r="W18" s="65"/>
      <c r="X18" s="65"/>
      <c r="Y18" s="65"/>
      <c r="Z18" s="65"/>
      <c r="AA18" s="65"/>
      <c r="AB18" s="65"/>
      <c r="AC18" s="65"/>
      <c r="AD18" s="65"/>
    </row>
    <row r="19" spans="1:30" ht="13.8">
      <c r="A19" s="194">
        <f t="shared" si="5"/>
        <v>2027</v>
      </c>
      <c r="B19" s="143">
        <f t="shared" si="3"/>
        <v>18539784</v>
      </c>
      <c r="C19" s="144">
        <f t="shared" si="1"/>
        <v>9500751.9681005739</v>
      </c>
      <c r="D19" s="143">
        <f t="shared" si="4"/>
        <v>-9039032.0318994261</v>
      </c>
      <c r="E19" s="145">
        <f t="shared" si="6"/>
        <v>-66377549.031899422</v>
      </c>
      <c r="F19" s="65"/>
      <c r="G19" s="65"/>
      <c r="H19" s="194">
        <f t="shared" si="7"/>
        <v>2027</v>
      </c>
      <c r="I19" s="150"/>
      <c r="J19" s="140">
        <f>'Travel Time'!N11</f>
        <v>12453.522991890386</v>
      </c>
      <c r="K19" s="129">
        <f>'Travel Time'!L39</f>
        <v>0</v>
      </c>
      <c r="L19" s="140">
        <f>'Environmental Protection'!G8</f>
        <v>0</v>
      </c>
      <c r="M19" s="129">
        <f>'Environmental Protection'!H8</f>
        <v>0</v>
      </c>
      <c r="N19" s="140">
        <f>Safety!D10</f>
        <v>15243678</v>
      </c>
      <c r="O19" s="129">
        <f>SUM(I19:N19)</f>
        <v>15256131.52299189</v>
      </c>
      <c r="P19" s="140">
        <f>SUM(I19,J19,K19,L19,N19)*INDEX(NPV!$C$3:$C$42,MATCH('Summary Table'!$H19,NPV!$B$3:$B$42,0))</f>
        <v>9500751.9681005739</v>
      </c>
      <c r="Q19" s="129">
        <f>M19*INDEX(NPV!$D$3:$D$42,MATCH('Summary Table'!$H19,NPV!$B$3:$B$42,0))</f>
        <v>0</v>
      </c>
      <c r="R19" s="140">
        <f>SUM(P19:Q19)</f>
        <v>9500751.9681005739</v>
      </c>
      <c r="S19" s="65"/>
      <c r="T19" s="194">
        <f t="shared" si="8"/>
        <v>2027</v>
      </c>
      <c r="U19" s="149">
        <f>Costs!G12</f>
        <v>29770842</v>
      </c>
      <c r="V19" s="150">
        <f>Costs!H12</f>
        <v>18539784</v>
      </c>
      <c r="W19" s="65"/>
      <c r="X19" s="65"/>
      <c r="Y19" s="65"/>
      <c r="Z19" s="65"/>
      <c r="AA19" s="65"/>
      <c r="AB19" s="65"/>
      <c r="AC19" s="65"/>
      <c r="AD19" s="65"/>
    </row>
    <row r="20" spans="1:30" ht="13.8">
      <c r="A20" s="194">
        <f t="shared" si="5"/>
        <v>2028</v>
      </c>
      <c r="B20" s="143">
        <f t="shared" si="3"/>
        <v>17326901</v>
      </c>
      <c r="C20" s="144">
        <f t="shared" si="1"/>
        <v>8881627.4066579826</v>
      </c>
      <c r="D20" s="143">
        <f t="shared" si="4"/>
        <v>-8445273.5933420174</v>
      </c>
      <c r="E20" s="145">
        <f t="shared" si="6"/>
        <v>-74822822.625241444</v>
      </c>
      <c r="F20" s="65"/>
      <c r="G20" s="65"/>
      <c r="H20" s="194">
        <f t="shared" si="7"/>
        <v>2028</v>
      </c>
      <c r="I20" s="150"/>
      <c r="J20" s="140">
        <f>'Travel Time'!N12</f>
        <v>12647.464536164387</v>
      </c>
      <c r="K20" s="129">
        <f>'Travel Time'!L40</f>
        <v>0</v>
      </c>
      <c r="L20" s="140">
        <f>'Environmental Protection'!G9</f>
        <v>0</v>
      </c>
      <c r="M20" s="129">
        <f>'Environmental Protection'!H9</f>
        <v>0</v>
      </c>
      <c r="N20" s="140">
        <f>Safety!D11</f>
        <v>15247642</v>
      </c>
      <c r="O20" s="129">
        <f t="shared" ref="O20:O39" si="9">SUM(I20:N20)</f>
        <v>15260289.464536164</v>
      </c>
      <c r="P20" s="140">
        <f>SUM(I20,J20,K20,L20,N20)*INDEX(NPV!$C$3:$C$42,MATCH('Summary Table'!$H20,NPV!$B$3:$B$42,0))</f>
        <v>8881627.4066579826</v>
      </c>
      <c r="Q20" s="129">
        <f>M20*INDEX(NPV!$D$3:$D$42,MATCH('Summary Table'!$H20,NPV!$B$3:$B$42,0))</f>
        <v>0</v>
      </c>
      <c r="R20" s="140">
        <f t="shared" ref="R20:R40" si="10">SUM(P20:Q20)</f>
        <v>8881627.4066579826</v>
      </c>
      <c r="S20" s="65"/>
      <c r="T20" s="194">
        <f t="shared" si="8"/>
        <v>2028</v>
      </c>
      <c r="U20" s="149">
        <f>Costs!G13</f>
        <v>29770842</v>
      </c>
      <c r="V20" s="150">
        <f>Costs!H13</f>
        <v>17326901</v>
      </c>
      <c r="W20" s="65"/>
      <c r="X20" s="65"/>
      <c r="Y20" s="65"/>
      <c r="Z20" s="65"/>
      <c r="AA20" s="65"/>
      <c r="AB20" s="65"/>
      <c r="AC20" s="65"/>
      <c r="AD20" s="65"/>
    </row>
    <row r="21" spans="1:30" ht="13.8">
      <c r="A21" s="194">
        <f t="shared" si="5"/>
        <v>2029</v>
      </c>
      <c r="B21" s="143">
        <f t="shared" si="3"/>
        <v>0</v>
      </c>
      <c r="C21" s="144">
        <f t="shared" si="1"/>
        <v>8260759.7929877276</v>
      </c>
      <c r="D21" s="143">
        <f t="shared" si="4"/>
        <v>8260759.7929877276</v>
      </c>
      <c r="E21" s="146">
        <f>D21+E20</f>
        <v>-66562062.832253717</v>
      </c>
      <c r="F21" s="65"/>
      <c r="G21" s="65"/>
      <c r="H21" s="194">
        <f t="shared" si="7"/>
        <v>2029</v>
      </c>
      <c r="I21" s="150">
        <f>Maintenance!D8</f>
        <v>-150000</v>
      </c>
      <c r="J21" s="140">
        <f>'Travel Time'!N13</f>
        <v>12844.943008297456</v>
      </c>
      <c r="K21" s="129">
        <f>'Travel Time'!L41</f>
        <v>0</v>
      </c>
      <c r="L21" s="140">
        <f>'Environmental Protection'!G10</f>
        <v>0</v>
      </c>
      <c r="M21" s="129">
        <f>'Environmental Protection'!H10</f>
        <v>0</v>
      </c>
      <c r="N21" s="140">
        <f>Safety!D12</f>
        <v>15324225</v>
      </c>
      <c r="O21" s="129">
        <f t="shared" si="9"/>
        <v>15187069.943008298</v>
      </c>
      <c r="P21" s="140">
        <f>SUM(I21,J21,K21,L21,N21)*INDEX(NPV!$C$3:$C$42,MATCH('Summary Table'!$H21,NPV!$B$3:$B$42,0))</f>
        <v>8260759.7929877276</v>
      </c>
      <c r="Q21" s="129">
        <f>M21*INDEX(NPV!$D$3:$D$42,MATCH('Summary Table'!$H21,NPV!$B$3:$B$42,0))</f>
        <v>0</v>
      </c>
      <c r="R21" s="140">
        <f t="shared" si="10"/>
        <v>8260759.7929877276</v>
      </c>
      <c r="S21" s="65"/>
      <c r="T21" s="194">
        <f t="shared" si="8"/>
        <v>2029</v>
      </c>
      <c r="U21" s="149">
        <f>Costs!G14</f>
        <v>0</v>
      </c>
      <c r="V21" s="150">
        <f>Costs!H14</f>
        <v>0</v>
      </c>
      <c r="W21" s="65"/>
      <c r="X21" s="65"/>
      <c r="Y21" s="65"/>
      <c r="Z21" s="65"/>
      <c r="AA21" s="65"/>
      <c r="AB21" s="65"/>
      <c r="AC21" s="65"/>
      <c r="AD21" s="65"/>
    </row>
    <row r="22" spans="1:30" ht="13.8">
      <c r="A22" s="194">
        <f t="shared" si="5"/>
        <v>2030</v>
      </c>
      <c r="B22" s="143">
        <f t="shared" si="3"/>
        <v>0</v>
      </c>
      <c r="C22" s="144">
        <f t="shared" si="1"/>
        <v>7772874.8793322043</v>
      </c>
      <c r="D22" s="143">
        <f t="shared" si="4"/>
        <v>7772874.8793322043</v>
      </c>
      <c r="E22" s="146">
        <f t="shared" ref="E22:E40" si="11">D22+E21</f>
        <v>-58789187.95292151</v>
      </c>
      <c r="F22" s="65"/>
      <c r="G22" s="65"/>
      <c r="H22" s="194">
        <f t="shared" si="7"/>
        <v>2030</v>
      </c>
      <c r="I22" s="150">
        <f>Maintenance!D9</f>
        <v>-85000</v>
      </c>
      <c r="J22" s="140">
        <f>'Travel Time'!N14</f>
        <v>13045.368920313113</v>
      </c>
      <c r="K22" s="129">
        <f>'Travel Time'!L42</f>
        <v>0</v>
      </c>
      <c r="L22" s="140">
        <f>'Environmental Protection'!G11</f>
        <v>0</v>
      </c>
      <c r="M22" s="129">
        <f>'Environmental Protection'!H11</f>
        <v>0</v>
      </c>
      <c r="N22" s="140">
        <f>Safety!D13</f>
        <v>15362376</v>
      </c>
      <c r="O22" s="129">
        <f t="shared" si="9"/>
        <v>15290421.368920313</v>
      </c>
      <c r="P22" s="140">
        <f>SUM(I22,J22,K22,L22,N22)*INDEX(NPV!$C$3:$C$42,MATCH('Summary Table'!$H22,NPV!$B$3:$B$42,0))</f>
        <v>7772874.8793322043</v>
      </c>
      <c r="Q22" s="129">
        <f>M22*INDEX(NPV!$D$3:$D$42,MATCH('Summary Table'!$H22,NPV!$B$3:$B$42,0))</f>
        <v>0</v>
      </c>
      <c r="R22" s="140">
        <f t="shared" si="10"/>
        <v>7772874.8793322043</v>
      </c>
      <c r="S22" s="65"/>
      <c r="T22" s="194">
        <f t="shared" si="8"/>
        <v>2030</v>
      </c>
      <c r="U22" s="149">
        <f>Costs!G15</f>
        <v>0</v>
      </c>
      <c r="V22" s="150">
        <f>Costs!H15</f>
        <v>0</v>
      </c>
      <c r="W22" s="65"/>
      <c r="X22" s="65"/>
      <c r="Y22" s="65"/>
      <c r="Z22" s="65"/>
      <c r="AA22" s="65"/>
      <c r="AB22" s="65"/>
      <c r="AC22" s="65"/>
      <c r="AD22" s="65"/>
    </row>
    <row r="23" spans="1:30" ht="13.8">
      <c r="A23" s="194">
        <f t="shared" si="5"/>
        <v>2031</v>
      </c>
      <c r="B23" s="143">
        <f t="shared" si="3"/>
        <v>0</v>
      </c>
      <c r="C23" s="144">
        <f t="shared" si="1"/>
        <v>7307751.3719981993</v>
      </c>
      <c r="D23" s="143">
        <f t="shared" si="4"/>
        <v>7307751.3719981993</v>
      </c>
      <c r="E23" s="146">
        <f t="shared" si="11"/>
        <v>-51481436.580923311</v>
      </c>
      <c r="F23" s="65"/>
      <c r="G23" s="65"/>
      <c r="H23" s="194">
        <f t="shared" si="7"/>
        <v>2031</v>
      </c>
      <c r="I23" s="150">
        <f>Maintenance!D10</f>
        <v>0</v>
      </c>
      <c r="J23" s="140">
        <f>'Travel Time'!N15</f>
        <v>13248.742272211346</v>
      </c>
      <c r="K23" s="129">
        <f>'Travel Time'!L43</f>
        <v>0</v>
      </c>
      <c r="L23" s="140">
        <f>'Environmental Protection'!G12</f>
        <v>0</v>
      </c>
      <c r="M23" s="129">
        <f>'Environmental Protection'!H12</f>
        <v>0</v>
      </c>
      <c r="N23" s="140">
        <f>Safety!D14</f>
        <v>15368486</v>
      </c>
      <c r="O23" s="129">
        <f t="shared" si="9"/>
        <v>15381734.742272211</v>
      </c>
      <c r="P23" s="140">
        <f>SUM(I23,J23,K23,L23,N23)*INDEX(NPV!$C$3:$C$42,MATCH('Summary Table'!$H23,NPV!$B$3:$B$42,0))</f>
        <v>7307751.3719981993</v>
      </c>
      <c r="Q23" s="129">
        <f>M23*INDEX(NPV!$D$3:$D$42,MATCH('Summary Table'!$H23,NPV!$B$3:$B$42,0))</f>
        <v>0</v>
      </c>
      <c r="R23" s="140">
        <f t="shared" si="10"/>
        <v>7307751.3719981993</v>
      </c>
      <c r="S23" s="65"/>
      <c r="T23" s="194">
        <f t="shared" si="8"/>
        <v>2031</v>
      </c>
      <c r="U23" s="149">
        <f>Costs!G16</f>
        <v>0</v>
      </c>
      <c r="V23" s="150">
        <f>Costs!H16</f>
        <v>0</v>
      </c>
      <c r="W23" s="65"/>
      <c r="X23" s="65"/>
      <c r="Y23" s="65"/>
      <c r="Z23" s="65"/>
      <c r="AA23" s="65"/>
      <c r="AB23" s="65"/>
      <c r="AC23" s="65"/>
      <c r="AD23" s="65"/>
    </row>
    <row r="24" spans="1:30" ht="13.8">
      <c r="A24" s="194">
        <f t="shared" si="5"/>
        <v>2032</v>
      </c>
      <c r="B24" s="143">
        <f t="shared" si="3"/>
        <v>0</v>
      </c>
      <c r="C24" s="144">
        <f t="shared" si="1"/>
        <v>6825076.134023061</v>
      </c>
      <c r="D24" s="143">
        <f t="shared" si="4"/>
        <v>6825076.134023061</v>
      </c>
      <c r="E24" s="146">
        <f t="shared" ref="E24:E34" si="12">D24+E23</f>
        <v>-44656360.446900249</v>
      </c>
      <c r="F24" s="65"/>
      <c r="G24" s="65"/>
      <c r="H24" s="194">
        <f t="shared" si="7"/>
        <v>2032</v>
      </c>
      <c r="I24" s="150">
        <f>Maintenance!D11</f>
        <v>-85000</v>
      </c>
      <c r="J24" s="140">
        <f>'Travel Time'!N16</f>
        <v>13455.063063992169</v>
      </c>
      <c r="K24" s="129">
        <f>'Travel Time'!L44</f>
        <v>0</v>
      </c>
      <c r="L24" s="140">
        <f>'Environmental Protection'!G13</f>
        <v>0</v>
      </c>
      <c r="M24" s="129">
        <f>'Environmental Protection'!H13</f>
        <v>0</v>
      </c>
      <c r="N24" s="140">
        <f>Safety!D15</f>
        <v>15442924</v>
      </c>
      <c r="O24" s="129">
        <f t="shared" si="9"/>
        <v>15371379.063063992</v>
      </c>
      <c r="P24" s="140">
        <f>SUM(I24,J24,K24,L24,N24)*INDEX(NPV!$C$3:$C$42,MATCH('Summary Table'!$H24,NPV!$B$3:$B$42,0))</f>
        <v>6825076.134023061</v>
      </c>
      <c r="Q24" s="129">
        <f>M24*INDEX(NPV!$D$3:$D$42,MATCH('Summary Table'!$H24,NPV!$B$3:$B$42,0))</f>
        <v>0</v>
      </c>
      <c r="R24" s="140">
        <f t="shared" si="10"/>
        <v>6825076.134023061</v>
      </c>
      <c r="S24" s="65"/>
      <c r="T24" s="194">
        <f t="shared" si="8"/>
        <v>2032</v>
      </c>
      <c r="U24" s="149">
        <f>Costs!G17</f>
        <v>0</v>
      </c>
      <c r="V24" s="150">
        <f>Costs!H17</f>
        <v>0</v>
      </c>
      <c r="W24" s="65"/>
      <c r="X24" s="65"/>
      <c r="Y24" s="65"/>
      <c r="Z24" s="65"/>
      <c r="AA24" s="65"/>
      <c r="AB24" s="65"/>
      <c r="AC24" s="65"/>
      <c r="AD24" s="65"/>
    </row>
    <row r="25" spans="1:30" ht="13.8">
      <c r="A25" s="194">
        <f t="shared" si="5"/>
        <v>2033</v>
      </c>
      <c r="B25" s="143">
        <f t="shared" si="3"/>
        <v>0</v>
      </c>
      <c r="C25" s="144">
        <f t="shared" si="1"/>
        <v>8610841.327622354</v>
      </c>
      <c r="D25" s="143">
        <f t="shared" si="4"/>
        <v>8610841.327622354</v>
      </c>
      <c r="E25" s="146">
        <f t="shared" si="12"/>
        <v>-36045519.119277894</v>
      </c>
      <c r="F25" s="65"/>
      <c r="G25" s="65"/>
      <c r="H25" s="194">
        <f t="shared" si="7"/>
        <v>2033</v>
      </c>
      <c r="I25" s="150">
        <f>Maintenance!D12</f>
        <v>-120000</v>
      </c>
      <c r="J25" s="140">
        <f>'Travel Time'!N17</f>
        <v>13664.920783632091</v>
      </c>
      <c r="K25" s="129">
        <f>'Travel Time'!L45</f>
        <v>0</v>
      </c>
      <c r="L25" s="140">
        <f>'Environmental Protection'!G14</f>
        <v>0</v>
      </c>
      <c r="M25" s="129">
        <f>'Environmental Protection'!H14</f>
        <v>0</v>
      </c>
      <c r="N25" s="140">
        <f>Safety!D16</f>
        <v>20857128</v>
      </c>
      <c r="O25" s="129">
        <f t="shared" si="9"/>
        <v>20750792.920783632</v>
      </c>
      <c r="P25" s="140">
        <f>SUM(I25,J25,K25,L25,N25)*INDEX(NPV!$C$3:$C$42,MATCH('Summary Table'!$H25,NPV!$B$3:$B$42,0))</f>
        <v>8610841.327622354</v>
      </c>
      <c r="Q25" s="129">
        <f>M25*INDEX(NPV!$D$3:$D$42,MATCH('Summary Table'!$H25,NPV!$B$3:$B$42,0))</f>
        <v>0</v>
      </c>
      <c r="R25" s="140">
        <f t="shared" si="10"/>
        <v>8610841.327622354</v>
      </c>
      <c r="S25" s="65"/>
      <c r="T25" s="194">
        <f t="shared" si="8"/>
        <v>2033</v>
      </c>
      <c r="U25" s="149">
        <f>Costs!G18</f>
        <v>0</v>
      </c>
      <c r="V25" s="150">
        <f>Costs!H18</f>
        <v>0</v>
      </c>
      <c r="W25" s="65"/>
      <c r="X25" s="65"/>
      <c r="Y25" s="65"/>
      <c r="Z25" s="65"/>
      <c r="AA25" s="65"/>
      <c r="AB25" s="65"/>
      <c r="AC25" s="65"/>
      <c r="AD25" s="65"/>
    </row>
    <row r="26" spans="1:30" ht="13.8">
      <c r="A26" s="194">
        <f t="shared" si="5"/>
        <v>2034</v>
      </c>
      <c r="B26" s="143">
        <f t="shared" si="3"/>
        <v>0</v>
      </c>
      <c r="C26" s="144">
        <f t="shared" si="1"/>
        <v>8077504.931941879</v>
      </c>
      <c r="D26" s="143">
        <f t="shared" si="4"/>
        <v>8077504.931941879</v>
      </c>
      <c r="E26" s="146">
        <f t="shared" si="12"/>
        <v>-27968014.187336016</v>
      </c>
      <c r="F26" s="65"/>
      <c r="G26" s="65"/>
      <c r="H26" s="194">
        <f t="shared" si="7"/>
        <v>2034</v>
      </c>
      <c r="I26" s="150">
        <f>Maintenance!D13</f>
        <v>-85000</v>
      </c>
      <c r="J26" s="140">
        <f>'Travel Time'!N18</f>
        <v>13878.315431131132</v>
      </c>
      <c r="K26" s="129">
        <f>'Travel Time'!L46</f>
        <v>0</v>
      </c>
      <c r="L26" s="140">
        <f>'Environmental Protection'!G15</f>
        <v>0</v>
      </c>
      <c r="M26" s="129">
        <f>'Environmental Protection'!H15</f>
        <v>0</v>
      </c>
      <c r="N26" s="140">
        <f>Safety!D17</f>
        <v>20899244</v>
      </c>
      <c r="O26" s="129">
        <f t="shared" si="9"/>
        <v>20828122.315431133</v>
      </c>
      <c r="P26" s="140">
        <f>SUM(I26,J26,K26,L26,N26)*INDEX(NPV!$C$3:$C$42,MATCH('Summary Table'!$H26,NPV!$B$3:$B$42,0))</f>
        <v>8077504.931941879</v>
      </c>
      <c r="Q26" s="129">
        <f>M26*INDEX(NPV!$D$3:$D$42,MATCH('Summary Table'!$H26,NPV!$B$3:$B$42,0))</f>
        <v>0</v>
      </c>
      <c r="R26" s="140">
        <f t="shared" si="10"/>
        <v>8077504.931941879</v>
      </c>
      <c r="S26" s="65"/>
      <c r="T26" s="194">
        <f t="shared" si="8"/>
        <v>2034</v>
      </c>
      <c r="U26" s="149">
        <f>Costs!G19</f>
        <v>0</v>
      </c>
      <c r="V26" s="150">
        <f>Costs!H19</f>
        <v>0</v>
      </c>
      <c r="W26" s="65"/>
      <c r="X26" s="65"/>
      <c r="Y26" s="65"/>
      <c r="Z26" s="65"/>
      <c r="AA26" s="65"/>
      <c r="AB26" s="65"/>
      <c r="AC26" s="65"/>
      <c r="AD26" s="65"/>
    </row>
    <row r="27" spans="1:30" ht="13.8">
      <c r="A27" s="194">
        <f t="shared" si="5"/>
        <v>2035</v>
      </c>
      <c r="B27" s="143">
        <f t="shared" si="3"/>
        <v>0</v>
      </c>
      <c r="C27" s="144">
        <f t="shared" si="1"/>
        <v>7700721.9178110305</v>
      </c>
      <c r="D27" s="143">
        <f t="shared" si="4"/>
        <v>7700721.9178110305</v>
      </c>
      <c r="E27" s="146">
        <f t="shared" si="12"/>
        <v>-20267292.269524984</v>
      </c>
      <c r="F27" s="65"/>
      <c r="G27" s="65"/>
      <c r="H27" s="194">
        <f t="shared" si="7"/>
        <v>2035</v>
      </c>
      <c r="I27" s="150">
        <f>Maintenance!D14</f>
        <v>0</v>
      </c>
      <c r="J27" s="140">
        <f>'Travel Time'!N19</f>
        <v>14094.657518512709</v>
      </c>
      <c r="K27" s="129">
        <f>'Travel Time'!L47</f>
        <v>0</v>
      </c>
      <c r="L27" s="140">
        <f>'Environmental Protection'!G16</f>
        <v>0</v>
      </c>
      <c r="M27" s="129">
        <f>'Environmental Protection'!H16</f>
        <v>0</v>
      </c>
      <c r="N27" s="140">
        <f>Safety!D18</f>
        <v>21232440</v>
      </c>
      <c r="O27" s="129">
        <f t="shared" si="9"/>
        <v>21246534.657518514</v>
      </c>
      <c r="P27" s="140">
        <f>SUM(I27,J27,K27,L27,N27)*INDEX(NPV!$C$3:$C$42,MATCH('Summary Table'!$H27,NPV!$B$3:$B$42,0))</f>
        <v>7700721.9178110305</v>
      </c>
      <c r="Q27" s="129">
        <f>M27*INDEX(NPV!$D$3:$D$42,MATCH('Summary Table'!$H27,NPV!$B$3:$B$42,0))</f>
        <v>0</v>
      </c>
      <c r="R27" s="140">
        <f t="shared" si="10"/>
        <v>7700721.9178110305</v>
      </c>
      <c r="S27" s="65"/>
      <c r="T27" s="194">
        <f t="shared" si="8"/>
        <v>2035</v>
      </c>
      <c r="U27" s="149">
        <f>Costs!G20</f>
        <v>0</v>
      </c>
      <c r="V27" s="150">
        <f>Costs!H20</f>
        <v>0</v>
      </c>
      <c r="W27" s="65"/>
      <c r="X27" s="65"/>
      <c r="Y27" s="65"/>
      <c r="Z27" s="65"/>
      <c r="AA27" s="65"/>
      <c r="AB27" s="65"/>
      <c r="AC27" s="65"/>
      <c r="AD27" s="65"/>
    </row>
    <row r="28" spans="1:30" ht="13.8">
      <c r="A28" s="194">
        <f t="shared" si="5"/>
        <v>2036</v>
      </c>
      <c r="B28" s="143">
        <f t="shared" si="3"/>
        <v>0</v>
      </c>
      <c r="C28" s="144">
        <f t="shared" si="1"/>
        <v>7168945.3360499628</v>
      </c>
      <c r="D28" s="143">
        <f t="shared" si="4"/>
        <v>7168945.3360499628</v>
      </c>
      <c r="E28" s="146">
        <f t="shared" si="12"/>
        <v>-13098346.933475021</v>
      </c>
      <c r="F28" s="65"/>
      <c r="G28" s="65"/>
      <c r="H28" s="194">
        <f t="shared" si="7"/>
        <v>2036</v>
      </c>
      <c r="I28" s="150">
        <f>Maintenance!D15</f>
        <v>-85000</v>
      </c>
      <c r="J28" s="140">
        <f>'Travel Time'!N20</f>
        <v>14314.536533753448</v>
      </c>
      <c r="K28" s="129">
        <f>'Travel Time'!L48</f>
        <v>0</v>
      </c>
      <c r="L28" s="140">
        <f>'Environmental Protection'!G17</f>
        <v>0</v>
      </c>
      <c r="M28" s="129">
        <f>'Environmental Protection'!H17</f>
        <v>0</v>
      </c>
      <c r="N28" s="140">
        <f>Safety!D19</f>
        <v>21234586</v>
      </c>
      <c r="O28" s="129">
        <f t="shared" si="9"/>
        <v>21163900.536533754</v>
      </c>
      <c r="P28" s="140">
        <f>SUM(I28,J28,K28,L28,N28)*INDEX(NPV!$C$3:$C$42,MATCH('Summary Table'!$H28,NPV!$B$3:$B$42,0))</f>
        <v>7168945.3360499628</v>
      </c>
      <c r="Q28" s="129">
        <f>M28*INDEX(NPV!$D$3:$D$42,MATCH('Summary Table'!$H28,NPV!$B$3:$B$42,0))</f>
        <v>0</v>
      </c>
      <c r="R28" s="140">
        <f t="shared" si="10"/>
        <v>7168945.3360499628</v>
      </c>
      <c r="S28" s="65"/>
      <c r="T28" s="194">
        <f t="shared" si="8"/>
        <v>2036</v>
      </c>
      <c r="U28" s="149">
        <f>Costs!G21</f>
        <v>0</v>
      </c>
      <c r="V28" s="150">
        <f>Costs!H21</f>
        <v>0</v>
      </c>
      <c r="W28" s="65"/>
      <c r="X28" s="65"/>
      <c r="Y28" s="65"/>
      <c r="Z28" s="65"/>
      <c r="AA28" s="65"/>
      <c r="AB28" s="65"/>
      <c r="AC28" s="65"/>
      <c r="AD28" s="65"/>
    </row>
    <row r="29" spans="1:30" ht="13.8">
      <c r="A29" s="194">
        <f t="shared" si="5"/>
        <v>2037</v>
      </c>
      <c r="B29" s="143">
        <f t="shared" si="3"/>
        <v>0</v>
      </c>
      <c r="C29" s="144">
        <f t="shared" si="1"/>
        <v>6740261.1235636733</v>
      </c>
      <c r="D29" s="143">
        <f t="shared" si="4"/>
        <v>6740261.1235636733</v>
      </c>
      <c r="E29" s="146">
        <f t="shared" si="12"/>
        <v>-6358085.8099113479</v>
      </c>
      <c r="F29" s="65"/>
      <c r="G29" s="65"/>
      <c r="H29" s="194">
        <f t="shared" si="7"/>
        <v>2037</v>
      </c>
      <c r="I29" s="150">
        <f>Maintenance!D16</f>
        <v>0</v>
      </c>
      <c r="J29" s="140">
        <f>'Travel Time'!N21</f>
        <v>14537.362988876746</v>
      </c>
      <c r="K29" s="129">
        <f>'Travel Time'!L49</f>
        <v>0</v>
      </c>
      <c r="L29" s="140">
        <f>'Environmental Protection'!G18</f>
        <v>0</v>
      </c>
      <c r="M29" s="129">
        <f>'Environmental Protection'!H18</f>
        <v>0</v>
      </c>
      <c r="N29" s="140">
        <f>Safety!D20</f>
        <v>21276702</v>
      </c>
      <c r="O29" s="129">
        <f t="shared" si="9"/>
        <v>21291239.362988878</v>
      </c>
      <c r="P29" s="140">
        <f>SUM(I29,J29,K29,L29,N29)*INDEX(NPV!$C$3:$C$42,MATCH('Summary Table'!$H29,NPV!$B$3:$B$42,0))</f>
        <v>6740261.1235636733</v>
      </c>
      <c r="Q29" s="129">
        <f>M29*INDEX(NPV!$D$3:$D$42,MATCH('Summary Table'!$H29,NPV!$B$3:$B$42,0))</f>
        <v>0</v>
      </c>
      <c r="R29" s="140">
        <f t="shared" si="10"/>
        <v>6740261.1235636733</v>
      </c>
      <c r="S29" s="65"/>
      <c r="T29" s="194">
        <f t="shared" si="8"/>
        <v>2037</v>
      </c>
      <c r="U29" s="149">
        <f>Costs!G22</f>
        <v>0</v>
      </c>
      <c r="V29" s="150">
        <f>Costs!H22</f>
        <v>0</v>
      </c>
      <c r="W29" s="65"/>
      <c r="X29" s="65"/>
      <c r="Y29" s="65"/>
      <c r="Z29" s="65"/>
      <c r="AA29" s="65"/>
      <c r="AB29" s="65"/>
      <c r="AC29" s="65"/>
      <c r="AD29" s="65"/>
    </row>
    <row r="30" spans="1:30" ht="13.8">
      <c r="A30" s="194">
        <f t="shared" si="5"/>
        <v>2038</v>
      </c>
      <c r="B30" s="143">
        <f t="shared" si="3"/>
        <v>0</v>
      </c>
      <c r="C30" s="144">
        <f t="shared" si="1"/>
        <v>6261382.3560334956</v>
      </c>
      <c r="D30" s="143">
        <f t="shared" si="4"/>
        <v>6261382.3560334956</v>
      </c>
      <c r="E30" s="146">
        <f>D30+E29</f>
        <v>-96703.453877852298</v>
      </c>
      <c r="F30" s="65"/>
      <c r="G30" s="65"/>
      <c r="H30" s="194">
        <f t="shared" si="7"/>
        <v>2038</v>
      </c>
      <c r="I30" s="150">
        <f>Maintenance!D17</f>
        <v>-205000</v>
      </c>
      <c r="J30" s="140">
        <f>'Travel Time'!N22</f>
        <v>14764.315859835657</v>
      </c>
      <c r="K30" s="129">
        <f>'Travel Time'!L50</f>
        <v>0</v>
      </c>
      <c r="L30" s="140">
        <f>'Environmental Protection'!G19</f>
        <v>0</v>
      </c>
      <c r="M30" s="129">
        <f>'Environmental Protection'!H19</f>
        <v>0</v>
      </c>
      <c r="N30" s="140">
        <f>Safety!D21</f>
        <v>21353284</v>
      </c>
      <c r="O30" s="129">
        <f t="shared" si="9"/>
        <v>21163048.315859836</v>
      </c>
      <c r="P30" s="140">
        <f>SUM(I30,J30,K30,L30,N30)*INDEX(NPV!$C$3:$C$42,MATCH('Summary Table'!$H30,NPV!$B$3:$B$42,0))</f>
        <v>6261382.3560334956</v>
      </c>
      <c r="Q30" s="129">
        <f>M30*INDEX(NPV!$D$3:$D$42,MATCH('Summary Table'!$H30,NPV!$B$3:$B$42,0))</f>
        <v>0</v>
      </c>
      <c r="R30" s="140">
        <f t="shared" si="10"/>
        <v>6261382.3560334956</v>
      </c>
      <c r="S30" s="65"/>
      <c r="T30" s="194">
        <f t="shared" si="8"/>
        <v>2038</v>
      </c>
      <c r="U30" s="149">
        <f>Costs!G23</f>
        <v>0</v>
      </c>
      <c r="V30" s="150">
        <f>Costs!H23</f>
        <v>0</v>
      </c>
      <c r="W30" s="65"/>
      <c r="X30" s="65"/>
      <c r="Y30" s="65"/>
      <c r="Z30" s="65"/>
      <c r="AA30" s="65"/>
      <c r="AB30" s="65"/>
      <c r="AC30" s="65"/>
      <c r="AD30" s="65"/>
    </row>
    <row r="31" spans="1:30" ht="13.8">
      <c r="A31" s="194">
        <f t="shared" si="5"/>
        <v>2039</v>
      </c>
      <c r="B31" s="143">
        <f t="shared" si="3"/>
        <v>0</v>
      </c>
      <c r="C31" s="144">
        <f t="shared" si="1"/>
        <v>5909603.3444055766</v>
      </c>
      <c r="D31" s="143">
        <f t="shared" si="4"/>
        <v>5909603.3444055766</v>
      </c>
      <c r="E31" s="146">
        <f t="shared" si="12"/>
        <v>5812899.8905277243</v>
      </c>
      <c r="F31" s="65"/>
      <c r="G31" s="65"/>
      <c r="H31" s="194">
        <f t="shared" si="7"/>
        <v>2039</v>
      </c>
      <c r="I31" s="150">
        <f>Maintenance!D18</f>
        <v>0</v>
      </c>
      <c r="J31" s="140">
        <f>'Travel Time'!N23</f>
        <v>14994.216170677089</v>
      </c>
      <c r="K31" s="129">
        <f>'Travel Time'!L51</f>
        <v>0</v>
      </c>
      <c r="L31" s="140">
        <f>'Environmental Protection'!G20</f>
        <v>0</v>
      </c>
      <c r="M31" s="129">
        <f>'Environmental Protection'!H20</f>
        <v>0</v>
      </c>
      <c r="N31" s="140">
        <f>Safety!D22</f>
        <v>21357249</v>
      </c>
      <c r="O31" s="129">
        <f t="shared" si="9"/>
        <v>21372243.216170676</v>
      </c>
      <c r="P31" s="140">
        <f>SUM(I31,J31,K31,L31,N31)*INDEX(NPV!$C$3:$C$42,MATCH('Summary Table'!$H31,NPV!$B$3:$B$42,0))</f>
        <v>5909603.3444055766</v>
      </c>
      <c r="Q31" s="129">
        <f>M31*INDEX(NPV!$D$3:$D$42,MATCH('Summary Table'!$H31,NPV!$B$3:$B$42,0))</f>
        <v>0</v>
      </c>
      <c r="R31" s="140">
        <f t="shared" si="10"/>
        <v>5909603.3444055766</v>
      </c>
      <c r="S31" s="65"/>
      <c r="T31" s="194">
        <f t="shared" si="8"/>
        <v>2039</v>
      </c>
      <c r="U31" s="149">
        <f>Costs!G24</f>
        <v>0</v>
      </c>
      <c r="V31" s="150">
        <f>Costs!H24</f>
        <v>0</v>
      </c>
      <c r="W31" s="65"/>
      <c r="X31" s="65"/>
      <c r="Y31" s="65"/>
      <c r="Z31" s="65"/>
      <c r="AA31" s="65"/>
      <c r="AB31" s="65"/>
      <c r="AC31" s="65"/>
      <c r="AD31" s="65"/>
    </row>
    <row r="32" spans="1:30" ht="13.8">
      <c r="A32" s="194">
        <f t="shared" si="5"/>
        <v>2040</v>
      </c>
      <c r="B32" s="143">
        <f t="shared" si="3"/>
        <v>0</v>
      </c>
      <c r="C32" s="144">
        <f t="shared" si="1"/>
        <v>5520324.576844913</v>
      </c>
      <c r="D32" s="143">
        <f t="shared" si="4"/>
        <v>5520324.576844913</v>
      </c>
      <c r="E32" s="146">
        <f t="shared" si="12"/>
        <v>11333224.467372637</v>
      </c>
      <c r="F32" s="65"/>
      <c r="G32" s="65"/>
      <c r="H32" s="194">
        <f t="shared" si="7"/>
        <v>2040</v>
      </c>
      <c r="I32" s="150">
        <f>Maintenance!D19</f>
        <v>-85000</v>
      </c>
      <c r="J32" s="140">
        <f>'Travel Time'!N24</f>
        <v>15228.242897354216</v>
      </c>
      <c r="K32" s="129">
        <f>'Travel Time'!L52</f>
        <v>0</v>
      </c>
      <c r="L32" s="140">
        <f>'Environmental Protection'!G21</f>
        <v>0</v>
      </c>
      <c r="M32" s="129">
        <f>'Environmental Protection'!H21</f>
        <v>0</v>
      </c>
      <c r="N32" s="140">
        <f>Safety!D23</f>
        <v>21431686</v>
      </c>
      <c r="O32" s="129">
        <f t="shared" si="9"/>
        <v>21361914.242897354</v>
      </c>
      <c r="P32" s="140">
        <f>SUM(I32,J32,K32,L32,N32)*INDEX(NPV!$C$3:$C$42,MATCH('Summary Table'!$H32,NPV!$B$3:$B$42,0))</f>
        <v>5520324.576844913</v>
      </c>
      <c r="Q32" s="129">
        <f>M32*INDEX(NPV!$D$3:$D$42,MATCH('Summary Table'!$H32,NPV!$B$3:$B$42,0))</f>
        <v>0</v>
      </c>
      <c r="R32" s="140">
        <f t="shared" si="10"/>
        <v>5520324.576844913</v>
      </c>
      <c r="S32" s="65"/>
      <c r="T32" s="194">
        <f t="shared" si="8"/>
        <v>2040</v>
      </c>
      <c r="U32" s="149">
        <f>Costs!G25</f>
        <v>0</v>
      </c>
      <c r="V32" s="150">
        <f>Costs!H25</f>
        <v>0</v>
      </c>
      <c r="W32" s="65"/>
      <c r="X32" s="65"/>
      <c r="Y32" s="65"/>
      <c r="Z32" s="65"/>
      <c r="AA32" s="65"/>
      <c r="AB32" s="65"/>
      <c r="AC32" s="65"/>
      <c r="AD32" s="65"/>
    </row>
    <row r="33" spans="1:30" ht="13.8">
      <c r="A33" s="194">
        <f t="shared" si="5"/>
        <v>2041</v>
      </c>
      <c r="B33" s="143">
        <f t="shared" si="3"/>
        <v>0</v>
      </c>
      <c r="C33" s="144">
        <f t="shared" si="1"/>
        <v>5189939.399784402</v>
      </c>
      <c r="D33" s="143">
        <f t="shared" si="4"/>
        <v>5189939.399784402</v>
      </c>
      <c r="E33" s="146">
        <f t="shared" si="12"/>
        <v>16523163.867157038</v>
      </c>
      <c r="F33" s="65"/>
      <c r="G33" s="65"/>
      <c r="H33" s="194">
        <f t="shared" si="7"/>
        <v>2041</v>
      </c>
      <c r="I33" s="150">
        <f>Maintenance!D20</f>
        <v>0</v>
      </c>
      <c r="J33" s="140">
        <f>'Travel Time'!N25</f>
        <v>15465.806551890426</v>
      </c>
      <c r="K33" s="129">
        <f>'Travel Time'!L53</f>
        <v>0</v>
      </c>
      <c r="L33" s="140">
        <f>'Environmental Protection'!G22</f>
        <v>0</v>
      </c>
      <c r="M33" s="129">
        <f>'Environmental Protection'!H22</f>
        <v>0</v>
      </c>
      <c r="N33" s="140">
        <f>Safety!D24</f>
        <v>21473802</v>
      </c>
      <c r="O33" s="129">
        <f t="shared" si="9"/>
        <v>21489267.806551889</v>
      </c>
      <c r="P33" s="140">
        <f>SUM(I33,J33,K33,L33,N33)*INDEX(NPV!$C$3:$C$42,MATCH('Summary Table'!$H33,NPV!$B$3:$B$42,0))</f>
        <v>5189939.399784402</v>
      </c>
      <c r="Q33" s="129">
        <f>M33*INDEX(NPV!$D$3:$D$42,MATCH('Summary Table'!$H33,NPV!$B$3:$B$42,0))</f>
        <v>0</v>
      </c>
      <c r="R33" s="140">
        <f t="shared" si="10"/>
        <v>5189939.399784402</v>
      </c>
      <c r="S33" s="65"/>
      <c r="T33" s="194">
        <f t="shared" si="8"/>
        <v>2041</v>
      </c>
      <c r="U33" s="149">
        <f>Costs!G26</f>
        <v>0</v>
      </c>
      <c r="V33" s="150">
        <f>Costs!H26</f>
        <v>0</v>
      </c>
      <c r="W33" s="65"/>
      <c r="X33" s="65"/>
      <c r="Y33" s="65"/>
      <c r="Z33" s="65"/>
      <c r="AA33" s="65"/>
      <c r="AB33" s="65"/>
      <c r="AC33" s="65"/>
      <c r="AD33" s="65"/>
    </row>
    <row r="34" spans="1:30" ht="13.8">
      <c r="A34" s="194">
        <f t="shared" si="5"/>
        <v>2042</v>
      </c>
      <c r="B34" s="143">
        <f t="shared" si="3"/>
        <v>0</v>
      </c>
      <c r="C34" s="144">
        <f t="shared" si="1"/>
        <v>4891063.8748873435</v>
      </c>
      <c r="D34" s="143">
        <f t="shared" si="4"/>
        <v>4891063.8748873435</v>
      </c>
      <c r="E34" s="146">
        <f t="shared" si="12"/>
        <v>21414227.742044382</v>
      </c>
      <c r="F34" s="65"/>
      <c r="G34" s="65"/>
      <c r="H34" s="194">
        <f t="shared" si="7"/>
        <v>2042</v>
      </c>
      <c r="I34" s="150">
        <f>Maintenance!D21</f>
        <v>-85000</v>
      </c>
      <c r="J34" s="140">
        <f>'Travel Time'!N26</f>
        <v>15706.907134285693</v>
      </c>
      <c r="K34" s="129">
        <f>'Travel Time'!L54</f>
        <v>0</v>
      </c>
      <c r="L34" s="140">
        <f>'Environmental Protection'!G23</f>
        <v>0</v>
      </c>
      <c r="M34" s="129">
        <f>'Environmental Protection'!H23</f>
        <v>0</v>
      </c>
      <c r="N34" s="140">
        <f>Safety!D25</f>
        <v>21738671</v>
      </c>
      <c r="O34" s="129">
        <f t="shared" si="9"/>
        <v>21669377.907134287</v>
      </c>
      <c r="P34" s="140">
        <f>SUM(I34,J34,K34,L34,N34)*INDEX(NPV!$C$3:$C$42,MATCH('Summary Table'!$H34,NPV!$B$3:$B$42,0))</f>
        <v>4891063.8748873435</v>
      </c>
      <c r="Q34" s="129">
        <f>M34*INDEX(NPV!$D$3:$D$42,MATCH('Summary Table'!$H34,NPV!$B$3:$B$42,0))</f>
        <v>0</v>
      </c>
      <c r="R34" s="140">
        <f t="shared" si="10"/>
        <v>4891063.8748873435</v>
      </c>
      <c r="S34" s="65"/>
      <c r="T34" s="194">
        <f t="shared" si="8"/>
        <v>2042</v>
      </c>
      <c r="U34" s="149">
        <f>Costs!G27</f>
        <v>0</v>
      </c>
      <c r="V34" s="150">
        <f>Costs!H27</f>
        <v>0</v>
      </c>
      <c r="W34" s="65"/>
      <c r="X34" s="65"/>
      <c r="Y34" s="65"/>
      <c r="Z34" s="65"/>
      <c r="AA34" s="65"/>
      <c r="AB34" s="65"/>
      <c r="AC34" s="65"/>
      <c r="AD34" s="65"/>
    </row>
    <row r="35" spans="1:30" ht="13.8">
      <c r="A35" s="194">
        <f t="shared" si="5"/>
        <v>2043</v>
      </c>
      <c r="B35" s="143">
        <f t="shared" si="3"/>
        <v>0</v>
      </c>
      <c r="C35" s="144">
        <f t="shared" si="1"/>
        <v>4587053.929130774</v>
      </c>
      <c r="D35" s="143">
        <f t="shared" si="4"/>
        <v>4587053.929130774</v>
      </c>
      <c r="E35" s="146">
        <f t="shared" si="11"/>
        <v>26001281.671175156</v>
      </c>
      <c r="F35" s="65"/>
      <c r="G35" s="65"/>
      <c r="H35" s="194">
        <f t="shared" si="7"/>
        <v>2043</v>
      </c>
      <c r="I35" s="150">
        <f>Maintenance!D22</f>
        <v>-120000</v>
      </c>
      <c r="J35" s="140">
        <f>'Travel Time'!N27</f>
        <v>15952.134132516643</v>
      </c>
      <c r="K35" s="129">
        <f>'Travel Time'!L55</f>
        <v>0</v>
      </c>
      <c r="L35" s="140">
        <f>'Environmental Protection'!G24</f>
        <v>0</v>
      </c>
      <c r="M35" s="129">
        <f>'Environmental Protection'!H24</f>
        <v>0</v>
      </c>
      <c r="N35" s="140">
        <f>Safety!D26</f>
        <v>21849114</v>
      </c>
      <c r="O35" s="129">
        <f t="shared" si="9"/>
        <v>21745066.134132516</v>
      </c>
      <c r="P35" s="140">
        <f>SUM(I35,J35,K35,L35,N35)*INDEX(NPV!$C$3:$C$42,MATCH('Summary Table'!$H35,NPV!$B$3:$B$42,0))</f>
        <v>4587053.929130774</v>
      </c>
      <c r="Q35" s="129">
        <f>M35*INDEX(NPV!$D$3:$D$42,MATCH('Summary Table'!$H35,NPV!$B$3:$B$42,0))</f>
        <v>0</v>
      </c>
      <c r="R35" s="140">
        <f t="shared" si="10"/>
        <v>4587053.929130774</v>
      </c>
      <c r="S35" s="65"/>
      <c r="T35" s="194">
        <f t="shared" si="8"/>
        <v>2043</v>
      </c>
      <c r="U35" s="149">
        <f>Costs!G28</f>
        <v>0</v>
      </c>
      <c r="V35" s="150">
        <f>Costs!H28</f>
        <v>0</v>
      </c>
      <c r="W35" s="65"/>
      <c r="X35" s="65"/>
      <c r="Y35" s="65"/>
      <c r="Z35" s="65"/>
      <c r="AA35" s="65"/>
      <c r="AB35" s="65"/>
      <c r="AC35" s="65"/>
      <c r="AD35" s="65"/>
    </row>
    <row r="36" spans="1:30" ht="13.8">
      <c r="A36" s="194">
        <f t="shared" si="5"/>
        <v>2044</v>
      </c>
      <c r="B36" s="143">
        <f t="shared" si="3"/>
        <v>0</v>
      </c>
      <c r="C36" s="144">
        <f t="shared" si="1"/>
        <v>4295120.0294205556</v>
      </c>
      <c r="D36" s="143">
        <f t="shared" si="4"/>
        <v>4295120.0294205556</v>
      </c>
      <c r="E36" s="146">
        <f t="shared" si="11"/>
        <v>30296401.70059571</v>
      </c>
      <c r="F36" s="65"/>
      <c r="G36" s="65"/>
      <c r="H36" s="194">
        <f t="shared" si="7"/>
        <v>2044</v>
      </c>
      <c r="I36" s="150">
        <f>Maintenance!D23</f>
        <v>-85000</v>
      </c>
      <c r="J36" s="140">
        <f>'Travel Time'!N28</f>
        <v>16200.898058606643</v>
      </c>
      <c r="K36" s="129">
        <f>'Travel Time'!L56</f>
        <v>0</v>
      </c>
      <c r="L36" s="140">
        <f>'Environmental Protection'!G25</f>
        <v>0</v>
      </c>
      <c r="M36" s="129">
        <f>'Environmental Protection'!H25</f>
        <v>0</v>
      </c>
      <c r="N36" s="140">
        <f>Safety!D27</f>
        <v>21855224</v>
      </c>
      <c r="O36" s="129">
        <f t="shared" si="9"/>
        <v>21786424.898058608</v>
      </c>
      <c r="P36" s="140">
        <f>SUM(I36,J36,K36,L36,N36)*INDEX(NPV!$C$3:$C$42,MATCH('Summary Table'!$H36,NPV!$B$3:$B$42,0))</f>
        <v>4295120.0294205556</v>
      </c>
      <c r="Q36" s="129">
        <f>M36*INDEX(NPV!$D$3:$D$42,MATCH('Summary Table'!$H36,NPV!$B$3:$B$42,0))</f>
        <v>0</v>
      </c>
      <c r="R36" s="140">
        <f t="shared" si="10"/>
        <v>4295120.0294205556</v>
      </c>
      <c r="S36" s="65"/>
      <c r="T36" s="194">
        <f t="shared" si="8"/>
        <v>2044</v>
      </c>
      <c r="U36" s="149">
        <f>Costs!G29</f>
        <v>0</v>
      </c>
      <c r="V36" s="150">
        <f>Costs!H29</f>
        <v>0</v>
      </c>
      <c r="W36" s="65"/>
      <c r="X36" s="65"/>
      <c r="Y36" s="65"/>
      <c r="Z36" s="65"/>
      <c r="AA36" s="65"/>
      <c r="AB36" s="65"/>
      <c r="AC36" s="65"/>
      <c r="AD36" s="65"/>
    </row>
    <row r="37" spans="1:30" ht="13.8">
      <c r="A37" s="194">
        <f t="shared" si="5"/>
        <v>2045</v>
      </c>
      <c r="B37" s="143">
        <f t="shared" si="3"/>
        <v>0</v>
      </c>
      <c r="C37" s="144">
        <f t="shared" si="1"/>
        <v>4043948.8896937449</v>
      </c>
      <c r="D37" s="143">
        <f t="shared" si="4"/>
        <v>4043948.8896937449</v>
      </c>
      <c r="E37" s="146">
        <f t="shared" si="11"/>
        <v>34340350.590289459</v>
      </c>
      <c r="F37" s="65"/>
      <c r="G37" s="65"/>
      <c r="H37" s="194">
        <f t="shared" si="7"/>
        <v>2045</v>
      </c>
      <c r="I37" s="150">
        <f>Maintenance!D24</f>
        <v>0</v>
      </c>
      <c r="J37" s="140">
        <f>'Travel Time'!N29</f>
        <v>16453.198912555774</v>
      </c>
      <c r="K37" s="129">
        <f>'Travel Time'!L57</f>
        <v>0</v>
      </c>
      <c r="L37" s="140">
        <f>'Environmental Protection'!G26</f>
        <v>0</v>
      </c>
      <c r="M37" s="129">
        <f>'Environmental Protection'!H26</f>
        <v>0</v>
      </c>
      <c r="N37" s="140">
        <f>Safety!D28</f>
        <v>21931807</v>
      </c>
      <c r="O37" s="129">
        <f t="shared" si="9"/>
        <v>21948260.198912557</v>
      </c>
      <c r="P37" s="140">
        <f>SUM(I37,J37,K37,L37,N37)*INDEX(NPV!$C$3:$C$42,MATCH('Summary Table'!$H37,NPV!$B$3:$B$42,0))</f>
        <v>4043948.8896937449</v>
      </c>
      <c r="Q37" s="129">
        <f>M37*INDEX(NPV!$D$3:$D$42,MATCH('Summary Table'!$H37,NPV!$B$3:$B$42,0))</f>
        <v>0</v>
      </c>
      <c r="R37" s="140">
        <f t="shared" si="10"/>
        <v>4043948.8896937449</v>
      </c>
      <c r="S37" s="65"/>
      <c r="T37" s="194">
        <f t="shared" si="8"/>
        <v>2045</v>
      </c>
      <c r="U37" s="149">
        <f>Costs!G30</f>
        <v>0</v>
      </c>
      <c r="V37" s="150">
        <f>Costs!H30</f>
        <v>0</v>
      </c>
      <c r="W37" s="65"/>
      <c r="X37" s="65"/>
      <c r="Y37" s="65"/>
      <c r="Z37" s="65"/>
      <c r="AA37" s="65"/>
      <c r="AB37" s="65"/>
      <c r="AC37" s="65"/>
      <c r="AD37" s="65"/>
    </row>
    <row r="38" spans="1:30" ht="13.8">
      <c r="A38" s="194">
        <f t="shared" si="5"/>
        <v>2046</v>
      </c>
      <c r="B38" s="143">
        <f t="shared" si="3"/>
        <v>0</v>
      </c>
      <c r="C38" s="144">
        <f t="shared" si="1"/>
        <v>3771681.850460419</v>
      </c>
      <c r="D38" s="143">
        <f t="shared" si="4"/>
        <v>3771681.850460419</v>
      </c>
      <c r="E38" s="146">
        <f t="shared" si="11"/>
        <v>38112032.440749876</v>
      </c>
      <c r="F38" s="65"/>
      <c r="G38" s="65"/>
      <c r="H38" s="194">
        <f t="shared" si="7"/>
        <v>2046</v>
      </c>
      <c r="I38" s="150">
        <f>Maintenance!D25</f>
        <v>-85000</v>
      </c>
      <c r="J38" s="140">
        <f>'Travel Time'!N30</f>
        <v>16709.626182340537</v>
      </c>
      <c r="K38" s="129">
        <f>'Travel Time'!L58</f>
        <v>0</v>
      </c>
      <c r="L38" s="140">
        <f>'Environmental Protection'!G27</f>
        <v>0</v>
      </c>
      <c r="M38" s="129">
        <f>'Environmental Protection'!H27</f>
        <v>0</v>
      </c>
      <c r="N38" s="140">
        <f>Safety!D29</f>
        <v>21971778</v>
      </c>
      <c r="O38" s="129">
        <f t="shared" si="9"/>
        <v>21903487.62618234</v>
      </c>
      <c r="P38" s="140">
        <f>SUM(I38,J38,K38,L38,N38)*INDEX(NPV!$C$3:$C$42,MATCH('Summary Table'!$H38,NPV!$B$3:$B$42,0))</f>
        <v>3771681.850460419</v>
      </c>
      <c r="Q38" s="129">
        <f>M38*INDEX(NPV!$D$3:$D$42,MATCH('Summary Table'!$H38,NPV!$B$3:$B$42,0))</f>
        <v>0</v>
      </c>
      <c r="R38" s="140">
        <f t="shared" si="10"/>
        <v>3771681.850460419</v>
      </c>
      <c r="S38" s="65"/>
      <c r="T38" s="194">
        <f t="shared" si="8"/>
        <v>2046</v>
      </c>
      <c r="U38" s="149">
        <f>Costs!G31</f>
        <v>0</v>
      </c>
      <c r="V38" s="150">
        <f>Costs!H31</f>
        <v>0</v>
      </c>
      <c r="W38" s="65"/>
      <c r="X38" s="65"/>
      <c r="Y38" s="65"/>
      <c r="Z38" s="65"/>
      <c r="AA38" s="65"/>
      <c r="AB38" s="65"/>
      <c r="AC38" s="65"/>
      <c r="AD38" s="65"/>
    </row>
    <row r="39" spans="1:30" ht="13.8">
      <c r="A39" s="194">
        <f t="shared" si="5"/>
        <v>2047</v>
      </c>
      <c r="B39" s="143">
        <f t="shared" si="3"/>
        <v>0</v>
      </c>
      <c r="C39" s="144">
        <f t="shared" si="1"/>
        <v>3550981.7853174922</v>
      </c>
      <c r="D39" s="143">
        <f t="shared" si="4"/>
        <v>3550981.7853174922</v>
      </c>
      <c r="E39" s="146">
        <f t="shared" si="11"/>
        <v>41663014.226067372</v>
      </c>
      <c r="F39" s="65"/>
      <c r="G39" s="65"/>
      <c r="H39" s="308">
        <f t="shared" si="7"/>
        <v>2047</v>
      </c>
      <c r="I39" s="307">
        <f>Maintenance!D26</f>
        <v>0</v>
      </c>
      <c r="J39" s="309">
        <f>'Travel Time'!N31</f>
        <v>16970.769355937355</v>
      </c>
      <c r="K39" s="310">
        <f>'Travel Time'!L59</f>
        <v>0</v>
      </c>
      <c r="L39" s="309">
        <f>'Environmental Protection'!G28</f>
        <v>0</v>
      </c>
      <c r="M39" s="310">
        <f>'Environmental Protection'!H28</f>
        <v>0</v>
      </c>
      <c r="N39" s="309">
        <f>Safety!D30</f>
        <v>22048360</v>
      </c>
      <c r="O39" s="310">
        <f t="shared" si="9"/>
        <v>22065330.769355938</v>
      </c>
      <c r="P39" s="309">
        <f>SUM(I39,J39,K39,L39,N39)*INDEX(NPV!$C$3:$C$42,MATCH('Summary Table'!$H39,NPV!$B$3:$B$42,0))</f>
        <v>3550981.7853174922</v>
      </c>
      <c r="Q39" s="310">
        <f>M39*INDEX(NPV!$D$3:$D$42,MATCH('Summary Table'!$H39,NPV!$B$3:$B$42,0))</f>
        <v>0</v>
      </c>
      <c r="R39" s="309">
        <f t="shared" si="10"/>
        <v>3550981.7853174922</v>
      </c>
      <c r="S39" s="65"/>
      <c r="T39" s="194">
        <f t="shared" si="8"/>
        <v>2047</v>
      </c>
      <c r="U39" s="306">
        <f>Costs!G32</f>
        <v>0</v>
      </c>
      <c r="V39" s="307">
        <f>Costs!H32</f>
        <v>0</v>
      </c>
      <c r="W39" s="65"/>
      <c r="X39" s="65"/>
      <c r="Y39" s="65"/>
      <c r="Z39" s="65"/>
      <c r="AA39" s="65"/>
      <c r="AB39" s="65"/>
      <c r="AC39" s="65"/>
      <c r="AD39" s="65"/>
    </row>
    <row r="40" spans="1:30" ht="14.4" thickBot="1">
      <c r="A40" s="195">
        <f t="shared" si="5"/>
        <v>2048</v>
      </c>
      <c r="B40" s="328">
        <f t="shared" si="3"/>
        <v>-12614835</v>
      </c>
      <c r="C40" s="329">
        <f t="shared" si="1"/>
        <v>3327718.7155858218</v>
      </c>
      <c r="D40" s="328">
        <f t="shared" si="4"/>
        <v>15942553.715585822</v>
      </c>
      <c r="E40" s="329">
        <f t="shared" si="11"/>
        <v>57605567.941653192</v>
      </c>
      <c r="F40" s="65"/>
      <c r="G40" s="65"/>
      <c r="H40" s="195">
        <f t="shared" si="7"/>
        <v>2048</v>
      </c>
      <c r="I40" s="216">
        <f>Maintenance!D27</f>
        <v>-205000</v>
      </c>
      <c r="J40" s="141">
        <f>'Travel Time'!N32</f>
        <v>17234.859969416837</v>
      </c>
      <c r="K40" s="133">
        <f>'Travel Time'!L60</f>
        <v>0</v>
      </c>
      <c r="L40" s="141">
        <f>'Environmental Protection'!G29</f>
        <v>0</v>
      </c>
      <c r="M40" s="133">
        <f>'Environmental Protection'!H29</f>
        <v>0</v>
      </c>
      <c r="N40" s="141">
        <f>Safety!D31</f>
        <v>22313229</v>
      </c>
      <c r="O40" s="133">
        <f>SUM(I40:N40)</f>
        <v>22125463.859969418</v>
      </c>
      <c r="P40" s="141">
        <f>SUM(I40,J40,K40,L40,N40)*INDEX(NPV!$C$3:$C$42,MATCH('Summary Table'!$H40,NPV!$B$3:$B$42,0))</f>
        <v>3327718.7155858218</v>
      </c>
      <c r="Q40" s="133">
        <f>M40*INDEX(NPV!$D$3:$D$42,MATCH('Summary Table'!$H40,NPV!$B$3:$B$42,0))</f>
        <v>0</v>
      </c>
      <c r="R40" s="141">
        <f t="shared" si="10"/>
        <v>3327718.7155858218</v>
      </c>
      <c r="S40" s="65"/>
      <c r="T40" s="195">
        <f t="shared" si="8"/>
        <v>2048</v>
      </c>
      <c r="U40" s="215">
        <f>Costs!G33</f>
        <v>-83874000</v>
      </c>
      <c r="V40" s="216">
        <f>Costs!H33</f>
        <v>-12614835</v>
      </c>
      <c r="W40" s="65"/>
      <c r="X40" s="65"/>
      <c r="Y40" s="65"/>
      <c r="Z40" s="65"/>
      <c r="AA40" s="65"/>
      <c r="AB40" s="65"/>
      <c r="AC40" s="65"/>
      <c r="AD40" s="65"/>
    </row>
    <row r="41" spans="1:30" ht="14.4" thickTop="1">
      <c r="A41" s="214" t="s">
        <v>16</v>
      </c>
      <c r="B41" s="147">
        <f>SUM(B12:B40)</f>
        <v>80590367</v>
      </c>
      <c r="C41" s="148">
        <f>SUM(C12:C40)</f>
        <v>138195934.94165322</v>
      </c>
      <c r="D41" s="147">
        <f>SUM(D12:D40)</f>
        <v>57605567.941653192</v>
      </c>
      <c r="E41" s="148">
        <f>SUM(E12:E40)</f>
        <v>-302113207.70591009</v>
      </c>
      <c r="F41" s="65"/>
      <c r="G41" s="65"/>
      <c r="H41" s="214" t="s">
        <v>16</v>
      </c>
      <c r="I41" s="142">
        <f t="shared" ref="I41:R41" si="13">SUM(I12:I40)</f>
        <v>-1480000</v>
      </c>
      <c r="J41" s="312">
        <f t="shared" si="13"/>
        <v>323865.87327419186</v>
      </c>
      <c r="K41" s="142">
        <f t="shared" si="13"/>
        <v>0</v>
      </c>
      <c r="L41" s="312">
        <f t="shared" si="13"/>
        <v>0</v>
      </c>
      <c r="M41" s="142">
        <f t="shared" si="13"/>
        <v>0</v>
      </c>
      <c r="N41" s="312">
        <f t="shared" si="13"/>
        <v>436813635</v>
      </c>
      <c r="O41" s="142">
        <f>SUM(O12:O40)</f>
        <v>435657500.87327421</v>
      </c>
      <c r="P41" s="312">
        <f t="shared" si="13"/>
        <v>138195934.94165322</v>
      </c>
      <c r="Q41" s="142">
        <f t="shared" si="13"/>
        <v>0</v>
      </c>
      <c r="R41" s="312">
        <f t="shared" si="13"/>
        <v>138195934.94165322</v>
      </c>
      <c r="S41" s="65"/>
      <c r="T41" s="214" t="s">
        <v>16</v>
      </c>
      <c r="U41" s="330">
        <f>SUM(U12:U40)</f>
        <v>55916000</v>
      </c>
      <c r="V41" s="151">
        <f>SUM(V12:V40)</f>
        <v>80590367</v>
      </c>
      <c r="W41" s="65"/>
      <c r="X41" s="65"/>
      <c r="Y41" s="65"/>
      <c r="Z41" s="65"/>
      <c r="AA41" s="65"/>
      <c r="AB41" s="65"/>
      <c r="AC41" s="65"/>
      <c r="AD41" s="65"/>
    </row>
    <row r="42" spans="1:30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  <row r="43" spans="1:30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</row>
    <row r="44" spans="1:30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</row>
    <row r="45" spans="1:30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</row>
    <row r="46" spans="1:30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:30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</row>
    <row r="48" spans="1:30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</row>
    <row r="49" spans="1:30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</row>
    <row r="50" spans="1:30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</row>
    <row r="51" spans="1:30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</row>
    <row r="52" spans="1:30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</row>
    <row r="53" spans="1:30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</row>
    <row r="54" spans="1:30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</row>
    <row r="55" spans="1:30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</row>
    <row r="56" spans="1:30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</row>
    <row r="57" spans="1:30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</row>
    <row r="58" spans="1:30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</row>
    <row r="59" spans="1:30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</row>
    <row r="60" spans="1:30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</row>
    <row r="61" spans="1:30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</row>
    <row r="62" spans="1:30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</row>
    <row r="63" spans="1:30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</row>
    <row r="64" spans="1:30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</row>
    <row r="65" spans="1:30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</row>
    <row r="66" spans="1:30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</row>
    <row r="67" spans="1:30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</row>
    <row r="68" spans="1:30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</row>
    <row r="69" spans="1:30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</row>
    <row r="70" spans="1:30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</row>
    <row r="71" spans="1:30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</row>
    <row r="72" spans="1:30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</row>
    <row r="73" spans="1:30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</row>
    <row r="74" spans="1:30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</row>
    <row r="75" spans="1:30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</row>
    <row r="76" spans="1:30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</row>
    <row r="77" spans="1:30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</row>
    <row r="78" spans="1:30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</row>
    <row r="79" spans="1:30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</row>
    <row r="80" spans="1:30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</row>
    <row r="81" spans="1:30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</row>
    <row r="82" spans="1:30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</row>
    <row r="83" spans="1:30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</row>
    <row r="84" spans="1:30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</row>
    <row r="85" spans="1:30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</row>
    <row r="86" spans="1:30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</row>
    <row r="87" spans="1:30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</row>
    <row r="88" spans="1:30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</row>
    <row r="89" spans="1:30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</row>
    <row r="90" spans="1:30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</row>
    <row r="91" spans="1:30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</row>
    <row r="92" spans="1:30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</row>
    <row r="93" spans="1:30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</row>
    <row r="94" spans="1:30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</row>
    <row r="95" spans="1:30" s="65" customFormat="1"/>
    <row r="96" spans="1:30" s="65" customFormat="1"/>
    <row r="97" s="65" customFormat="1"/>
    <row r="98" s="65" customFormat="1"/>
    <row r="99" s="65" customFormat="1"/>
    <row r="100" s="65" customFormat="1"/>
    <row r="101" s="65" customFormat="1"/>
    <row r="102" s="65" customFormat="1"/>
    <row r="103" s="65" customFormat="1"/>
    <row r="104" s="65" customFormat="1"/>
    <row r="105" s="65" customFormat="1"/>
    <row r="106" s="65" customFormat="1"/>
    <row r="107" s="65" customFormat="1"/>
    <row r="108" s="65" customFormat="1"/>
    <row r="109" s="65" customFormat="1"/>
    <row r="110" s="65" customFormat="1"/>
    <row r="111" s="65" customFormat="1"/>
    <row r="112" s="65" customFormat="1"/>
    <row r="113" s="65" customFormat="1"/>
    <row r="114" s="65" customFormat="1"/>
    <row r="115" s="65" customFormat="1"/>
    <row r="116" s="65" customFormat="1"/>
    <row r="117" s="65" customFormat="1"/>
    <row r="118" s="65" customFormat="1"/>
    <row r="119" s="65" customFormat="1"/>
    <row r="120" s="65" customFormat="1"/>
    <row r="121" s="65" customFormat="1"/>
    <row r="122" s="65" customFormat="1"/>
    <row r="123" s="65" customFormat="1"/>
    <row r="124" s="65" customFormat="1"/>
    <row r="125" s="65" customFormat="1"/>
    <row r="126" s="65" customFormat="1"/>
    <row r="127" s="65" customFormat="1"/>
    <row r="128" s="65" customFormat="1"/>
    <row r="129" s="65" customFormat="1"/>
    <row r="130" s="65" customFormat="1"/>
    <row r="131" s="65" customFormat="1"/>
    <row r="132" s="65" customFormat="1"/>
    <row r="133" s="65" customFormat="1"/>
    <row r="134" s="65" customFormat="1"/>
    <row r="135" s="65" customFormat="1"/>
    <row r="136" s="65" customFormat="1"/>
    <row r="137" s="65" customFormat="1"/>
    <row r="138" s="65" customFormat="1"/>
    <row r="139" s="65" customFormat="1"/>
    <row r="140" s="65" customFormat="1"/>
    <row r="141" s="65" customFormat="1"/>
    <row r="142" s="65" customFormat="1"/>
    <row r="143" s="65" customFormat="1"/>
    <row r="144" s="65" customFormat="1"/>
    <row r="145" s="65" customFormat="1"/>
    <row r="146" s="65" customFormat="1"/>
    <row r="147" s="65" customFormat="1"/>
    <row r="148" s="65" customFormat="1"/>
    <row r="149" s="65" customFormat="1"/>
    <row r="150" s="65" customFormat="1"/>
    <row r="151" s="65" customFormat="1"/>
    <row r="152" s="65" customFormat="1"/>
    <row r="153" s="65" customFormat="1"/>
    <row r="154" s="65" customFormat="1"/>
    <row r="155" s="65" customFormat="1"/>
    <row r="156" s="65" customFormat="1"/>
    <row r="157" s="65" customFormat="1"/>
    <row r="158" s="65" customFormat="1"/>
    <row r="159" s="65" customFormat="1"/>
    <row r="160" s="65" customFormat="1"/>
    <row r="161" s="65" customFormat="1"/>
    <row r="162" s="65" customFormat="1"/>
    <row r="163" s="65" customFormat="1"/>
    <row r="164" s="65" customFormat="1"/>
    <row r="165" s="65" customFormat="1"/>
    <row r="166" s="65" customFormat="1"/>
    <row r="167" s="65" customFormat="1"/>
    <row r="168" s="65" customFormat="1"/>
    <row r="169" s="65" customFormat="1"/>
    <row r="170" s="65" customFormat="1"/>
    <row r="171" s="65" customFormat="1"/>
    <row r="172" s="65" customFormat="1"/>
    <row r="173" s="65" customFormat="1"/>
    <row r="174" s="65" customFormat="1"/>
    <row r="175" s="65" customFormat="1"/>
    <row r="176" s="65" customFormat="1"/>
    <row r="177" s="65" customFormat="1"/>
    <row r="178" s="65" customFormat="1"/>
    <row r="179" s="65" customFormat="1"/>
    <row r="180" s="65" customFormat="1"/>
    <row r="181" s="65" customFormat="1"/>
    <row r="182" s="65" customFormat="1"/>
    <row r="183" s="65" customFormat="1"/>
    <row r="184" s="65" customFormat="1"/>
    <row r="185" s="65" customFormat="1"/>
    <row r="186" s="65" customFormat="1"/>
    <row r="187" s="65" customFormat="1"/>
    <row r="188" s="65" customFormat="1"/>
    <row r="189" s="65" customFormat="1"/>
    <row r="190" s="65" customFormat="1"/>
    <row r="191" s="65" customFormat="1"/>
    <row r="192" s="65" customFormat="1"/>
    <row r="193" s="65" customFormat="1"/>
    <row r="194" s="65" customFormat="1"/>
    <row r="195" s="65" customFormat="1"/>
    <row r="196" s="65" customFormat="1"/>
    <row r="197" s="65" customFormat="1"/>
    <row r="198" s="65" customFormat="1"/>
    <row r="199" s="65" customFormat="1"/>
    <row r="200" s="65" customFormat="1"/>
    <row r="201" s="65" customFormat="1"/>
    <row r="202" s="65" customFormat="1"/>
    <row r="203" s="65" customFormat="1"/>
    <row r="204" s="65" customFormat="1"/>
    <row r="205" s="65" customFormat="1"/>
    <row r="206" s="65" customFormat="1"/>
    <row r="207" s="65" customFormat="1"/>
    <row r="208" s="65" customFormat="1"/>
    <row r="209" s="65" customFormat="1"/>
    <row r="210" s="65" customFormat="1"/>
    <row r="211" s="65" customFormat="1"/>
    <row r="212" s="65" customFormat="1"/>
    <row r="213" s="65" customFormat="1"/>
    <row r="214" s="65" customFormat="1"/>
    <row r="215" s="65" customFormat="1"/>
    <row r="216" s="65" customFormat="1"/>
    <row r="217" s="65" customFormat="1"/>
    <row r="218" s="65" customFormat="1"/>
    <row r="219" s="65" customFormat="1"/>
    <row r="220" s="65" customFormat="1"/>
    <row r="221" s="65" customFormat="1"/>
    <row r="222" s="65" customFormat="1"/>
    <row r="223" s="65" customFormat="1"/>
    <row r="224" s="65" customFormat="1"/>
    <row r="225" s="65" customFormat="1"/>
    <row r="226" s="65" customFormat="1"/>
    <row r="227" s="65" customFormat="1"/>
    <row r="228" s="65" customFormat="1"/>
    <row r="229" s="65" customFormat="1"/>
    <row r="230" s="65" customFormat="1"/>
    <row r="231" s="65" customFormat="1"/>
    <row r="232" s="65" customFormat="1"/>
    <row r="233" s="65" customFormat="1"/>
    <row r="234" s="65" customFormat="1"/>
    <row r="235" s="65" customFormat="1"/>
    <row r="236" s="65" customFormat="1"/>
    <row r="237" s="65" customFormat="1"/>
    <row r="238" s="65" customFormat="1"/>
    <row r="239" s="65" customFormat="1"/>
    <row r="240" s="65" customFormat="1"/>
    <row r="241" s="65" customFormat="1"/>
    <row r="242" s="65" customFormat="1"/>
    <row r="243" s="65" customFormat="1"/>
    <row r="244" s="65" customFormat="1"/>
    <row r="245" s="65" customFormat="1"/>
    <row r="246" s="65" customFormat="1"/>
    <row r="247" s="65" customFormat="1"/>
    <row r="248" s="65" customFormat="1"/>
    <row r="249" s="65" customFormat="1"/>
    <row r="250" s="65" customFormat="1"/>
    <row r="251" s="65" customFormat="1"/>
    <row r="252" s="65" customFormat="1"/>
    <row r="253" s="65" customFormat="1"/>
    <row r="254" s="65" customFormat="1"/>
    <row r="255" s="65" customFormat="1"/>
    <row r="256" s="65" customFormat="1"/>
    <row r="257" s="65" customFormat="1"/>
    <row r="258" s="65" customFormat="1"/>
    <row r="259" s="65" customFormat="1"/>
    <row r="260" s="65" customFormat="1"/>
    <row r="261" s="65" customFormat="1"/>
    <row r="262" s="65" customFormat="1"/>
    <row r="263" s="65" customFormat="1"/>
    <row r="264" s="65" customFormat="1"/>
    <row r="265" s="65" customFormat="1"/>
    <row r="266" s="65" customFormat="1"/>
    <row r="267" s="65" customFormat="1"/>
    <row r="268" s="65" customFormat="1"/>
    <row r="269" s="65" customFormat="1"/>
    <row r="270" s="65" customFormat="1"/>
    <row r="271" s="65" customFormat="1"/>
    <row r="272" s="65" customFormat="1"/>
    <row r="273" s="65" customFormat="1"/>
    <row r="274" s="65" customFormat="1"/>
    <row r="275" s="65" customFormat="1"/>
    <row r="276" s="65" customFormat="1"/>
    <row r="277" s="65" customFormat="1"/>
    <row r="278" s="65" customFormat="1"/>
    <row r="279" s="65" customFormat="1"/>
    <row r="280" s="65" customFormat="1"/>
    <row r="281" s="65" customFormat="1"/>
    <row r="282" s="65" customFormat="1"/>
    <row r="283" s="65" customFormat="1"/>
    <row r="284" s="65" customFormat="1"/>
    <row r="285" s="65" customFormat="1"/>
    <row r="286" s="65" customFormat="1"/>
    <row r="287" s="65" customFormat="1"/>
    <row r="288" s="65" customFormat="1"/>
    <row r="289" s="65" customFormat="1"/>
    <row r="290" s="65" customFormat="1"/>
    <row r="291" s="65" customFormat="1"/>
    <row r="292" s="65" customFormat="1"/>
    <row r="293" s="65" customFormat="1"/>
    <row r="294" s="65" customFormat="1"/>
    <row r="295" s="65" customFormat="1"/>
    <row r="296" s="65" customFormat="1"/>
    <row r="297" s="65" customFormat="1"/>
    <row r="298" s="65" customFormat="1"/>
    <row r="299" s="65" customFormat="1"/>
    <row r="300" s="65" customFormat="1"/>
    <row r="301" s="65" customFormat="1"/>
    <row r="302" s="65" customFormat="1"/>
    <row r="303" s="65" customFormat="1"/>
    <row r="304" s="65" customFormat="1"/>
    <row r="305" s="65" customFormat="1"/>
    <row r="306" s="65" customFormat="1"/>
    <row r="307" s="65" customFormat="1"/>
    <row r="308" s="65" customFormat="1"/>
    <row r="309" s="65" customFormat="1"/>
    <row r="310" s="65" customFormat="1"/>
    <row r="311" s="65" customFormat="1"/>
    <row r="312" s="65" customFormat="1"/>
    <row r="313" s="65" customFormat="1"/>
    <row r="314" s="65" customFormat="1"/>
    <row r="315" s="65" customFormat="1"/>
    <row r="316" s="65" customFormat="1"/>
    <row r="317" s="65" customFormat="1"/>
    <row r="318" s="65" customFormat="1"/>
    <row r="319" s="65" customFormat="1"/>
    <row r="320" s="65" customFormat="1"/>
    <row r="321" s="65" customFormat="1"/>
    <row r="322" s="65" customFormat="1"/>
    <row r="323" s="65" customFormat="1"/>
    <row r="324" s="65" customFormat="1"/>
    <row r="325" s="65" customFormat="1"/>
    <row r="326" s="65" customFormat="1"/>
    <row r="327" s="65" customFormat="1"/>
    <row r="328" s="65" customFormat="1"/>
    <row r="329" s="65" customFormat="1"/>
    <row r="330" s="65" customFormat="1"/>
    <row r="331" s="65" customFormat="1"/>
    <row r="332" s="65" customFormat="1"/>
    <row r="333" s="65" customFormat="1"/>
    <row r="334" s="65" customFormat="1"/>
    <row r="335" s="65" customFormat="1"/>
    <row r="336" s="65" customFormat="1"/>
    <row r="337" s="65" customFormat="1"/>
    <row r="338" s="65" customFormat="1"/>
    <row r="339" s="65" customFormat="1"/>
    <row r="340" s="65" customFormat="1"/>
    <row r="341" s="65" customFormat="1"/>
    <row r="342" s="65" customFormat="1"/>
    <row r="343" s="65" customFormat="1"/>
    <row r="344" s="65" customFormat="1"/>
    <row r="345" s="65" customFormat="1"/>
    <row r="346" s="65" customFormat="1"/>
    <row r="347" s="65" customFormat="1"/>
    <row r="348" s="65" customFormat="1"/>
    <row r="349" s="65" customFormat="1"/>
    <row r="350" s="65" customFormat="1"/>
    <row r="351" s="65" customFormat="1"/>
    <row r="352" s="65" customFormat="1"/>
    <row r="353" s="65" customFormat="1"/>
    <row r="354" s="65" customFormat="1"/>
    <row r="355" s="65" customFormat="1"/>
    <row r="356" s="65" customFormat="1"/>
    <row r="357" s="65" customFormat="1"/>
    <row r="358" s="65" customFormat="1"/>
    <row r="359" s="65" customFormat="1"/>
    <row r="360" s="65" customFormat="1"/>
    <row r="361" s="65" customFormat="1"/>
    <row r="362" s="65" customFormat="1"/>
    <row r="363" s="65" customFormat="1"/>
    <row r="364" s="65" customFormat="1"/>
    <row r="365" s="65" customFormat="1"/>
    <row r="366" s="65" customFormat="1"/>
    <row r="367" s="65" customFormat="1"/>
    <row r="368" s="65" customFormat="1"/>
    <row r="369" s="65" customFormat="1"/>
    <row r="370" s="65" customFormat="1"/>
    <row r="371" s="65" customFormat="1"/>
    <row r="372" s="65" customFormat="1"/>
    <row r="373" s="65" customFormat="1"/>
    <row r="374" s="65" customFormat="1"/>
    <row r="375" s="65" customFormat="1"/>
    <row r="376" s="65" customFormat="1"/>
    <row r="377" s="65" customFormat="1"/>
    <row r="378" s="65" customFormat="1"/>
    <row r="379" s="65" customFormat="1"/>
    <row r="380" s="65" customFormat="1"/>
    <row r="381" s="65" customFormat="1"/>
    <row r="382" s="65" customFormat="1"/>
    <row r="383" s="65" customFormat="1"/>
    <row r="384" s="65" customFormat="1"/>
    <row r="385" s="65" customFormat="1"/>
    <row r="386" s="65" customFormat="1"/>
    <row r="387" s="65" customFormat="1"/>
    <row r="388" s="65" customFormat="1"/>
    <row r="389" s="65" customFormat="1"/>
    <row r="390" s="65" customFormat="1"/>
    <row r="391" s="65" customFormat="1"/>
    <row r="392" s="65" customFormat="1"/>
    <row r="393" s="65" customFormat="1"/>
    <row r="394" s="65" customFormat="1"/>
    <row r="395" s="65" customFormat="1"/>
    <row r="396" s="65" customFormat="1"/>
    <row r="397" s="65" customFormat="1"/>
    <row r="398" s="65" customFormat="1"/>
    <row r="399" s="65" customFormat="1"/>
    <row r="400" s="65" customFormat="1"/>
    <row r="401" s="65" customFormat="1"/>
    <row r="402" s="65" customFormat="1"/>
    <row r="403" s="65" customFormat="1"/>
    <row r="404" s="65" customFormat="1"/>
    <row r="405" s="65" customFormat="1"/>
    <row r="406" s="65" customFormat="1"/>
    <row r="407" s="65" customFormat="1"/>
    <row r="408" s="65" customFormat="1"/>
    <row r="409" s="65" customFormat="1"/>
    <row r="410" s="65" customFormat="1"/>
    <row r="411" s="65" customFormat="1"/>
    <row r="412" s="65" customFormat="1"/>
    <row r="413" s="65" customFormat="1"/>
    <row r="414" s="65" customFormat="1"/>
    <row r="415" s="65" customFormat="1"/>
    <row r="416" s="65" customFormat="1"/>
    <row r="417" s="65" customFormat="1"/>
    <row r="418" s="65" customFormat="1"/>
    <row r="419" s="65" customFormat="1"/>
    <row r="420" s="65" customFormat="1"/>
    <row r="421" s="65" customFormat="1"/>
    <row r="422" s="65" customFormat="1"/>
    <row r="423" s="65" customFormat="1"/>
    <row r="424" s="65" customFormat="1"/>
    <row r="425" s="65" customFormat="1"/>
    <row r="426" s="65" customFormat="1"/>
    <row r="427" s="65" customFormat="1"/>
    <row r="428" s="65" customFormat="1"/>
    <row r="429" s="65" customFormat="1"/>
    <row r="430" s="65" customFormat="1"/>
    <row r="431" s="65" customFormat="1"/>
    <row r="432" s="65" customFormat="1"/>
    <row r="433" s="65" customFormat="1"/>
    <row r="434" s="65" customFormat="1"/>
    <row r="435" s="65" customFormat="1"/>
    <row r="436" s="65" customFormat="1"/>
    <row r="437" s="65" customFormat="1"/>
    <row r="438" s="65" customFormat="1"/>
    <row r="439" s="65" customFormat="1"/>
    <row r="440" s="65" customFormat="1"/>
    <row r="441" s="65" customFormat="1"/>
    <row r="442" s="65" customFormat="1"/>
    <row r="443" s="65" customFormat="1"/>
    <row r="444" s="65" customFormat="1"/>
    <row r="445" s="65" customFormat="1"/>
    <row r="446" s="65" customFormat="1"/>
    <row r="447" s="65" customFormat="1"/>
    <row r="448" s="65" customFormat="1"/>
    <row r="449" s="65" customFormat="1"/>
    <row r="450" s="65" customFormat="1"/>
    <row r="451" s="65" customFormat="1"/>
    <row r="452" s="65" customFormat="1"/>
    <row r="453" s="65" customFormat="1"/>
    <row r="454" s="65" customFormat="1"/>
    <row r="455" s="65" customFormat="1"/>
    <row r="456" s="65" customFormat="1"/>
    <row r="457" s="65" customFormat="1"/>
    <row r="458" s="65" customFormat="1"/>
    <row r="459" s="65" customFormat="1"/>
    <row r="460" s="65" customFormat="1"/>
    <row r="461" s="65" customFormat="1"/>
    <row r="462" s="65" customFormat="1"/>
    <row r="463" s="65" customFormat="1"/>
    <row r="464" s="65" customFormat="1"/>
    <row r="465" s="65" customFormat="1"/>
    <row r="466" s="65" customFormat="1"/>
    <row r="467" s="65" customFormat="1"/>
    <row r="468" s="65" customFormat="1"/>
    <row r="469" s="65" customFormat="1"/>
    <row r="470" s="65" customFormat="1"/>
    <row r="471" s="65" customFormat="1"/>
    <row r="472" s="65" customFormat="1"/>
    <row r="473" s="65" customFormat="1"/>
    <row r="474" s="65" customFormat="1"/>
    <row r="475" s="65" customFormat="1"/>
    <row r="476" s="65" customFormat="1"/>
    <row r="477" s="65" customFormat="1"/>
    <row r="478" s="65" customFormat="1"/>
    <row r="479" s="65" customFormat="1"/>
    <row r="480" s="65" customFormat="1"/>
    <row r="481" s="65" customFormat="1"/>
    <row r="482" s="65" customFormat="1"/>
    <row r="483" s="65" customFormat="1"/>
  </sheetData>
  <mergeCells count="15">
    <mergeCell ref="T9:V10"/>
    <mergeCell ref="A3:C3"/>
    <mergeCell ref="A4:B4"/>
    <mergeCell ref="A5:B5"/>
    <mergeCell ref="A7:B7"/>
    <mergeCell ref="A6:B6"/>
    <mergeCell ref="P10:P11"/>
    <mergeCell ref="A9:E10"/>
    <mergeCell ref="O10:O11"/>
    <mergeCell ref="H10:H11"/>
    <mergeCell ref="J10:K10"/>
    <mergeCell ref="L10:M10"/>
    <mergeCell ref="Q10:Q11"/>
    <mergeCell ref="R10:R11"/>
    <mergeCell ref="H9:R9"/>
  </mergeCells>
  <pageMargins left="0.25" right="0.25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CM500"/>
  <sheetViews>
    <sheetView workbookViewId="0"/>
  </sheetViews>
  <sheetFormatPr defaultRowHeight="13.2"/>
  <cols>
    <col min="4" max="4" width="10.6640625" bestFit="1" customWidth="1"/>
    <col min="6" max="6" width="10.6640625" customWidth="1"/>
    <col min="7" max="7" width="14.5546875" customWidth="1"/>
    <col min="19" max="91" width="8.88671875" style="65"/>
  </cols>
  <sheetData>
    <row r="1" spans="1:18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4.4" thickBot="1">
      <c r="A2" s="361" t="s">
        <v>31</v>
      </c>
      <c r="B2" s="362"/>
      <c r="C2" s="362"/>
      <c r="D2" s="363"/>
      <c r="E2" s="65"/>
      <c r="F2" s="357" t="s">
        <v>32</v>
      </c>
      <c r="G2" s="358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5" thickTop="1" thickBot="1">
      <c r="A3" s="194">
        <v>0</v>
      </c>
      <c r="B3" s="194">
        <v>2020</v>
      </c>
      <c r="C3" s="37">
        <v>1</v>
      </c>
      <c r="D3" s="57">
        <f>1/(1+$D$43)^A3</f>
        <v>1</v>
      </c>
      <c r="E3" s="65"/>
      <c r="F3" s="236" t="s">
        <v>33</v>
      </c>
      <c r="G3" s="260" t="s">
        <v>34</v>
      </c>
      <c r="H3" s="65"/>
      <c r="I3" s="81"/>
      <c r="J3" s="65"/>
      <c r="K3" s="65"/>
      <c r="L3" s="65"/>
      <c r="M3" s="65"/>
      <c r="N3" s="65"/>
      <c r="O3" s="65"/>
      <c r="P3" s="65"/>
      <c r="Q3" s="65"/>
      <c r="R3" s="65"/>
    </row>
    <row r="4" spans="1:18" ht="14.4" thickTop="1">
      <c r="A4" s="194">
        <f t="shared" ref="A4:A42" si="0">A3+1</f>
        <v>1</v>
      </c>
      <c r="B4" s="194">
        <f t="shared" ref="B4:B42" si="1">B3+1</f>
        <v>2021</v>
      </c>
      <c r="C4" s="37">
        <f>1/(1+$C$43)^A4</f>
        <v>0.93457943925233644</v>
      </c>
      <c r="D4" s="57">
        <f>1/(1+$D$43)^A4</f>
        <v>0.970873786407767</v>
      </c>
      <c r="E4" s="65"/>
      <c r="F4" s="194">
        <v>2003</v>
      </c>
      <c r="G4" s="254">
        <v>1.38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t="13.8">
      <c r="A5" s="194">
        <f t="shared" si="0"/>
        <v>2</v>
      </c>
      <c r="B5" s="194">
        <f t="shared" si="1"/>
        <v>2022</v>
      </c>
      <c r="C5" s="37">
        <f t="shared" ref="C5:C24" si="2">1/(1+$C$43)^A5</f>
        <v>0.87343872827321156</v>
      </c>
      <c r="D5" s="57">
        <f t="shared" ref="D5:D42" si="3">1/(1+$D$43)^A5</f>
        <v>0.94259590913375435</v>
      </c>
      <c r="E5" s="65"/>
      <c r="F5" s="194">
        <f t="shared" ref="F5:F21" si="4">F4+1</f>
        <v>2004</v>
      </c>
      <c r="G5" s="254">
        <v>1.34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3.8">
      <c r="A6" s="194">
        <f t="shared" si="0"/>
        <v>3</v>
      </c>
      <c r="B6" s="194">
        <f t="shared" si="1"/>
        <v>2023</v>
      </c>
      <c r="C6" s="37">
        <f t="shared" si="2"/>
        <v>0.81629787689085187</v>
      </c>
      <c r="D6" s="57">
        <f t="shared" si="3"/>
        <v>0.91514165935315961</v>
      </c>
      <c r="E6" s="65"/>
      <c r="F6" s="194">
        <f t="shared" si="4"/>
        <v>2005</v>
      </c>
      <c r="G6" s="254">
        <v>1.3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3.8">
      <c r="A7" s="194">
        <f t="shared" si="0"/>
        <v>4</v>
      </c>
      <c r="B7" s="194">
        <f t="shared" si="1"/>
        <v>2024</v>
      </c>
      <c r="C7" s="37">
        <f t="shared" si="2"/>
        <v>0.7628952120475252</v>
      </c>
      <c r="D7" s="57">
        <f t="shared" si="3"/>
        <v>0.888487047915689</v>
      </c>
      <c r="E7" s="65"/>
      <c r="F7" s="194">
        <f t="shared" si="4"/>
        <v>2006</v>
      </c>
      <c r="G7" s="254">
        <v>1.26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t="13.8">
      <c r="A8" s="194">
        <f t="shared" si="0"/>
        <v>5</v>
      </c>
      <c r="B8" s="194">
        <f t="shared" si="1"/>
        <v>2025</v>
      </c>
      <c r="C8" s="37">
        <f t="shared" si="2"/>
        <v>0.71298617948366838</v>
      </c>
      <c r="D8" s="57">
        <f t="shared" si="3"/>
        <v>0.86260878438416411</v>
      </c>
      <c r="E8" s="65"/>
      <c r="F8" s="194">
        <f t="shared" si="4"/>
        <v>2007</v>
      </c>
      <c r="G8" s="254">
        <v>1.23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 ht="13.8">
      <c r="A9" s="194">
        <f t="shared" si="0"/>
        <v>6</v>
      </c>
      <c r="B9" s="194">
        <f t="shared" si="1"/>
        <v>2026</v>
      </c>
      <c r="C9" s="37">
        <f t="shared" si="2"/>
        <v>0.66634222381651254</v>
      </c>
      <c r="D9" s="57">
        <f t="shared" si="3"/>
        <v>0.83748425668365445</v>
      </c>
      <c r="E9" s="65"/>
      <c r="F9" s="194">
        <f t="shared" si="4"/>
        <v>2008</v>
      </c>
      <c r="G9" s="254">
        <v>1.2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ht="13.8">
      <c r="A10" s="194">
        <f t="shared" si="0"/>
        <v>7</v>
      </c>
      <c r="B10" s="194">
        <f t="shared" si="1"/>
        <v>2027</v>
      </c>
      <c r="C10" s="37">
        <f t="shared" si="2"/>
        <v>0.62274974188459109</v>
      </c>
      <c r="D10" s="57">
        <f t="shared" si="3"/>
        <v>0.81309151134335378</v>
      </c>
      <c r="E10" s="65"/>
      <c r="F10" s="194">
        <f t="shared" si="4"/>
        <v>2009</v>
      </c>
      <c r="G10" s="254">
        <v>1.2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t="13.8">
      <c r="A11" s="194">
        <f t="shared" si="0"/>
        <v>8</v>
      </c>
      <c r="B11" s="194">
        <f t="shared" si="1"/>
        <v>2028</v>
      </c>
      <c r="C11" s="37">
        <f t="shared" si="2"/>
        <v>0.5820091045650384</v>
      </c>
      <c r="D11" s="57">
        <f t="shared" si="3"/>
        <v>0.78940923431393573</v>
      </c>
      <c r="E11" s="65"/>
      <c r="F11" s="194">
        <f t="shared" si="4"/>
        <v>2010</v>
      </c>
      <c r="G11" s="254">
        <v>1.18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t="13.8">
      <c r="A12" s="194">
        <f t="shared" si="0"/>
        <v>9</v>
      </c>
      <c r="B12" s="194">
        <f t="shared" si="1"/>
        <v>2029</v>
      </c>
      <c r="C12" s="37">
        <f t="shared" si="2"/>
        <v>0.54393374258414806</v>
      </c>
      <c r="D12" s="57">
        <f t="shared" si="3"/>
        <v>0.76641673234362695</v>
      </c>
      <c r="E12" s="65"/>
      <c r="F12" s="194">
        <f t="shared" si="4"/>
        <v>2011</v>
      </c>
      <c r="G12" s="254">
        <v>1.1599999999999999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 ht="13.8">
      <c r="A13" s="194">
        <f t="shared" si="0"/>
        <v>10</v>
      </c>
      <c r="B13" s="194">
        <f t="shared" si="1"/>
        <v>2030</v>
      </c>
      <c r="C13" s="37">
        <f t="shared" si="2"/>
        <v>0.5083492921347178</v>
      </c>
      <c r="D13" s="57">
        <f t="shared" si="3"/>
        <v>0.74409391489672516</v>
      </c>
      <c r="E13" s="65"/>
      <c r="F13" s="194">
        <f t="shared" si="4"/>
        <v>2012</v>
      </c>
      <c r="G13" s="254">
        <v>1.1399999999999999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 ht="13.8">
      <c r="A14" s="194">
        <f t="shared" si="0"/>
        <v>11</v>
      </c>
      <c r="B14" s="194">
        <f t="shared" si="1"/>
        <v>2031</v>
      </c>
      <c r="C14" s="37">
        <f t="shared" si="2"/>
        <v>0.47509279638758667</v>
      </c>
      <c r="D14" s="57">
        <f t="shared" si="3"/>
        <v>0.72242127659876232</v>
      </c>
      <c r="E14" s="65"/>
      <c r="F14" s="194">
        <f t="shared" si="4"/>
        <v>2013</v>
      </c>
      <c r="G14" s="254">
        <v>1.1200000000000001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ht="13.8">
      <c r="A15" s="194">
        <f t="shared" si="0"/>
        <v>12</v>
      </c>
      <c r="B15" s="194">
        <f t="shared" si="1"/>
        <v>2032</v>
      </c>
      <c r="C15" s="37">
        <f t="shared" si="2"/>
        <v>0.44401195924073528</v>
      </c>
      <c r="D15" s="57">
        <f t="shared" si="3"/>
        <v>0.70137988019297326</v>
      </c>
      <c r="E15" s="65"/>
      <c r="F15" s="194">
        <f t="shared" si="4"/>
        <v>2014</v>
      </c>
      <c r="G15" s="254">
        <v>1.1000000000000001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t="13.8">
      <c r="A16" s="194">
        <f t="shared" si="0"/>
        <v>13</v>
      </c>
      <c r="B16" s="194">
        <f t="shared" si="1"/>
        <v>2033</v>
      </c>
      <c r="C16" s="37">
        <f t="shared" si="2"/>
        <v>0.41496444788853759</v>
      </c>
      <c r="D16" s="57">
        <f t="shared" si="3"/>
        <v>0.68095133999317792</v>
      </c>
      <c r="E16" s="65"/>
      <c r="F16" s="194">
        <f t="shared" si="4"/>
        <v>2015</v>
      </c>
      <c r="G16" s="254">
        <v>1.0900000000000001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ht="13.8">
      <c r="A17" s="194">
        <f t="shared" si="0"/>
        <v>14</v>
      </c>
      <c r="B17" s="194">
        <f t="shared" si="1"/>
        <v>2034</v>
      </c>
      <c r="C17" s="37">
        <f t="shared" si="2"/>
        <v>0.3878172410173249</v>
      </c>
      <c r="D17" s="57">
        <f t="shared" si="3"/>
        <v>0.66111780581861923</v>
      </c>
      <c r="E17" s="65"/>
      <c r="F17" s="194">
        <f t="shared" si="4"/>
        <v>2016</v>
      </c>
      <c r="G17" s="254">
        <v>1.07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ht="13.8">
      <c r="A18" s="194">
        <f t="shared" si="0"/>
        <v>15</v>
      </c>
      <c r="B18" s="194">
        <f t="shared" si="1"/>
        <v>2035</v>
      </c>
      <c r="C18" s="37">
        <f t="shared" si="2"/>
        <v>0.36244601964235967</v>
      </c>
      <c r="D18" s="57">
        <f t="shared" si="3"/>
        <v>0.64186194739671765</v>
      </c>
      <c r="E18" s="65"/>
      <c r="F18" s="194">
        <f t="shared" si="4"/>
        <v>2017</v>
      </c>
      <c r="G18" s="254">
        <v>1.05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 ht="13.8">
      <c r="A19" s="194">
        <f t="shared" si="0"/>
        <v>16</v>
      </c>
      <c r="B19" s="194">
        <f t="shared" si="1"/>
        <v>2036</v>
      </c>
      <c r="C19" s="37">
        <f t="shared" si="2"/>
        <v>0.33873459779659787</v>
      </c>
      <c r="D19" s="57">
        <f t="shared" si="3"/>
        <v>0.62316693922011435</v>
      </c>
      <c r="E19" s="65"/>
      <c r="F19" s="194">
        <f t="shared" si="4"/>
        <v>2018</v>
      </c>
      <c r="G19" s="254">
        <v>1.03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ht="13.8">
      <c r="A20" s="194">
        <f t="shared" si="0"/>
        <v>17</v>
      </c>
      <c r="B20" s="194">
        <f t="shared" si="1"/>
        <v>2037</v>
      </c>
      <c r="C20" s="37">
        <f t="shared" si="2"/>
        <v>0.31657439046411018</v>
      </c>
      <c r="D20" s="57">
        <f t="shared" si="3"/>
        <v>0.60501644584477121</v>
      </c>
      <c r="E20" s="65"/>
      <c r="F20" s="194">
        <f t="shared" si="4"/>
        <v>2019</v>
      </c>
      <c r="G20" s="254">
        <v>1.01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 ht="13.8">
      <c r="A21" s="194">
        <f t="shared" si="0"/>
        <v>18</v>
      </c>
      <c r="B21" s="194">
        <f t="shared" si="1"/>
        <v>2038</v>
      </c>
      <c r="C21" s="37">
        <f t="shared" si="2"/>
        <v>0.29586391632159825</v>
      </c>
      <c r="D21" s="57">
        <f t="shared" si="3"/>
        <v>0.5873946076162827</v>
      </c>
      <c r="E21" s="65"/>
      <c r="F21" s="194">
        <f t="shared" si="4"/>
        <v>2020</v>
      </c>
      <c r="G21" s="254">
        <v>1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 ht="13.8">
      <c r="A22" s="194">
        <f t="shared" si="0"/>
        <v>19</v>
      </c>
      <c r="B22" s="194">
        <f t="shared" si="1"/>
        <v>2039</v>
      </c>
      <c r="C22" s="37">
        <f t="shared" si="2"/>
        <v>0.27650833301083949</v>
      </c>
      <c r="D22" s="57">
        <f t="shared" si="3"/>
        <v>0.57028602681192497</v>
      </c>
      <c r="E22" s="65"/>
      <c r="F22" s="359" t="s">
        <v>35</v>
      </c>
      <c r="G22" s="360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 ht="13.8">
      <c r="A23" s="194">
        <f t="shared" si="0"/>
        <v>20</v>
      </c>
      <c r="B23" s="194">
        <f t="shared" si="1"/>
        <v>2040</v>
      </c>
      <c r="C23" s="37">
        <f t="shared" si="2"/>
        <v>0.2584190028138687</v>
      </c>
      <c r="D23" s="57">
        <f t="shared" si="3"/>
        <v>0.55367575418633497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ht="13.8">
      <c r="A24" s="194">
        <f t="shared" si="0"/>
        <v>21</v>
      </c>
      <c r="B24" s="194">
        <f t="shared" si="1"/>
        <v>2041</v>
      </c>
      <c r="C24" s="37">
        <f t="shared" si="2"/>
        <v>0.24151308674193336</v>
      </c>
      <c r="D24" s="57">
        <f t="shared" si="3"/>
        <v>0.5375492759090631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13.8">
      <c r="A25" s="194">
        <f t="shared" si="0"/>
        <v>22</v>
      </c>
      <c r="B25" s="194">
        <f t="shared" si="1"/>
        <v>2042</v>
      </c>
      <c r="C25" s="37">
        <f t="shared" ref="C25:C35" si="5">1/(1+$C$43)^A25</f>
        <v>0.22571316517937698</v>
      </c>
      <c r="D25" s="57">
        <f t="shared" si="3"/>
        <v>0.52189250088258554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13.8">
      <c r="A26" s="194">
        <f t="shared" si="0"/>
        <v>23</v>
      </c>
      <c r="B26" s="194">
        <f t="shared" si="1"/>
        <v>2043</v>
      </c>
      <c r="C26" s="37">
        <f t="shared" si="5"/>
        <v>0.21094688334521211</v>
      </c>
      <c r="D26" s="57">
        <f t="shared" si="3"/>
        <v>0.50669174842969467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ht="13.8">
      <c r="A27" s="194">
        <f t="shared" si="0"/>
        <v>24</v>
      </c>
      <c r="B27" s="194">
        <f t="shared" si="1"/>
        <v>2044</v>
      </c>
      <c r="C27" s="37">
        <f t="shared" si="5"/>
        <v>0.19714661994879637</v>
      </c>
      <c r="D27" s="57">
        <f t="shared" si="3"/>
        <v>0.49193373633950943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 ht="13.8">
      <c r="A28" s="194">
        <f t="shared" si="0"/>
        <v>25</v>
      </c>
      <c r="B28" s="194">
        <f t="shared" si="1"/>
        <v>2045</v>
      </c>
      <c r="C28" s="37">
        <f t="shared" si="5"/>
        <v>0.18424917752223957</v>
      </c>
      <c r="D28" s="57">
        <f t="shared" si="3"/>
        <v>0.47760556926165965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3.8">
      <c r="A29" s="194">
        <f t="shared" si="0"/>
        <v>26</v>
      </c>
      <c r="B29" s="194">
        <f t="shared" si="1"/>
        <v>2046</v>
      </c>
      <c r="C29" s="37">
        <f t="shared" si="5"/>
        <v>0.17219549301143888</v>
      </c>
      <c r="D29" s="57">
        <f t="shared" si="3"/>
        <v>0.46369472743850448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ht="13.8">
      <c r="A30" s="194">
        <f t="shared" si="0"/>
        <v>27</v>
      </c>
      <c r="B30" s="194">
        <f t="shared" si="1"/>
        <v>2047</v>
      </c>
      <c r="C30" s="37">
        <f t="shared" si="5"/>
        <v>0.16093036730041013</v>
      </c>
      <c r="D30" s="57">
        <f t="shared" si="3"/>
        <v>0.45018905576553836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ht="13.8">
      <c r="A31" s="194">
        <f t="shared" si="0"/>
        <v>28</v>
      </c>
      <c r="B31" s="194">
        <f t="shared" si="1"/>
        <v>2048</v>
      </c>
      <c r="C31" s="37">
        <f t="shared" si="5"/>
        <v>0.15040221243028987</v>
      </c>
      <c r="D31" s="57">
        <f t="shared" si="3"/>
        <v>0.4370767531704256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 ht="13.8">
      <c r="A32" s="194">
        <f t="shared" si="0"/>
        <v>29</v>
      </c>
      <c r="B32" s="194">
        <f t="shared" si="1"/>
        <v>2049</v>
      </c>
      <c r="C32" s="37">
        <f t="shared" si="5"/>
        <v>0.1405628153554111</v>
      </c>
      <c r="D32" s="57">
        <f t="shared" si="3"/>
        <v>0.42434636230138412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8">
      <c r="A33" s="194">
        <f t="shared" si="0"/>
        <v>30</v>
      </c>
      <c r="B33" s="194">
        <f t="shared" si="1"/>
        <v>2050</v>
      </c>
      <c r="C33" s="37">
        <f t="shared" si="5"/>
        <v>0.13136711715458982</v>
      </c>
      <c r="D33" s="57">
        <f t="shared" si="3"/>
        <v>0.41198675951590691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1:18" ht="13.8">
      <c r="A34" s="194">
        <f t="shared" si="0"/>
        <v>31</v>
      </c>
      <c r="B34" s="194">
        <f t="shared" si="1"/>
        <v>2051</v>
      </c>
      <c r="C34" s="37">
        <f t="shared" si="5"/>
        <v>0.1227730066865325</v>
      </c>
      <c r="D34" s="57">
        <f t="shared" si="3"/>
        <v>0.39998714516107459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1:18" ht="13.8">
      <c r="A35" s="194">
        <f t="shared" si="0"/>
        <v>32</v>
      </c>
      <c r="B35" s="194">
        <f t="shared" si="1"/>
        <v>2052</v>
      </c>
      <c r="C35" s="37">
        <f t="shared" si="5"/>
        <v>0.11474112774442291</v>
      </c>
      <c r="D35" s="57">
        <f t="shared" si="3"/>
        <v>0.38833703413696569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1:18" ht="13.8">
      <c r="A36" s="194">
        <f t="shared" si="0"/>
        <v>33</v>
      </c>
      <c r="B36" s="194">
        <f t="shared" si="1"/>
        <v>2053</v>
      </c>
      <c r="C36" s="37">
        <f t="shared" ref="C36:C42" si="6">1/(1+$C$43)^A36</f>
        <v>0.10723469882656347</v>
      </c>
      <c r="D36" s="57">
        <f t="shared" si="3"/>
        <v>0.37702624673491814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1:18" ht="13.8">
      <c r="A37" s="194">
        <f t="shared" si="0"/>
        <v>34</v>
      </c>
      <c r="B37" s="194">
        <f t="shared" si="1"/>
        <v>2054</v>
      </c>
      <c r="C37" s="37">
        <f t="shared" si="6"/>
        <v>0.10021934469772288</v>
      </c>
      <c r="D37" s="57">
        <f t="shared" si="3"/>
        <v>0.36604489974263904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1:18" ht="13.8">
      <c r="A38" s="194">
        <f t="shared" si="0"/>
        <v>35</v>
      </c>
      <c r="B38" s="194">
        <f t="shared" si="1"/>
        <v>2055</v>
      </c>
      <c r="C38" s="37">
        <f t="shared" si="6"/>
        <v>9.366293896983445E-2</v>
      </c>
      <c r="D38" s="57">
        <f t="shared" si="3"/>
        <v>0.35538339780838735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1:18" ht="13.8">
      <c r="A39" s="194">
        <f t="shared" si="0"/>
        <v>36</v>
      </c>
      <c r="B39" s="194">
        <f t="shared" si="1"/>
        <v>2056</v>
      </c>
      <c r="C39" s="37">
        <f t="shared" si="6"/>
        <v>8.7535456981153698E-2</v>
      </c>
      <c r="D39" s="57">
        <f t="shared" si="3"/>
        <v>0.34503242505668674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1:18" ht="13.8">
      <c r="A40" s="194">
        <f t="shared" si="0"/>
        <v>37</v>
      </c>
      <c r="B40" s="194">
        <f t="shared" si="1"/>
        <v>2057</v>
      </c>
      <c r="C40" s="37">
        <f t="shared" si="6"/>
        <v>8.1808838300143641E-2</v>
      </c>
      <c r="D40" s="57">
        <f t="shared" si="3"/>
        <v>0.33498293694823961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18" ht="13.8">
      <c r="A41" s="194">
        <f t="shared" si="0"/>
        <v>38</v>
      </c>
      <c r="B41" s="194">
        <f t="shared" si="1"/>
        <v>2058</v>
      </c>
      <c r="C41" s="37">
        <f t="shared" si="6"/>
        <v>7.6456858224433308E-2</v>
      </c>
      <c r="D41" s="57">
        <f t="shared" si="3"/>
        <v>0.3252261523769317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ht="13.8">
      <c r="A42" s="194">
        <f t="shared" si="0"/>
        <v>39</v>
      </c>
      <c r="B42" s="194">
        <f t="shared" si="1"/>
        <v>2059</v>
      </c>
      <c r="C42" s="37">
        <f t="shared" si="6"/>
        <v>7.1455007686386268E-2</v>
      </c>
      <c r="D42" s="57">
        <f t="shared" si="3"/>
        <v>0.31575354599702099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ht="13.8">
      <c r="A43" s="355" t="s">
        <v>10</v>
      </c>
      <c r="B43" s="356"/>
      <c r="C43" s="38">
        <f>0.07</f>
        <v>7.0000000000000007E-2</v>
      </c>
      <c r="D43" s="38">
        <f>0.03</f>
        <v>0.03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18" ht="13.2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1:18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1:18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1:18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1:18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="65" customFormat="1"/>
    <row r="50" s="65" customFormat="1"/>
    <row r="51" s="65" customFormat="1"/>
    <row r="52" s="65" customFormat="1"/>
    <row r="53" s="65" customFormat="1"/>
    <row r="54" s="65" customFormat="1"/>
    <row r="55" s="65" customFormat="1"/>
    <row r="56" s="65" customFormat="1"/>
    <row r="57" s="65" customFormat="1"/>
    <row r="58" s="65" customFormat="1"/>
    <row r="59" s="65" customFormat="1"/>
    <row r="60" s="65" customFormat="1"/>
    <row r="61" s="65" customFormat="1"/>
    <row r="62" s="65" customFormat="1"/>
    <row r="63" s="65" customFormat="1"/>
    <row r="64" s="65" customFormat="1"/>
    <row r="65" s="65" customFormat="1"/>
    <row r="66" s="65" customFormat="1"/>
    <row r="67" s="65" customFormat="1"/>
    <row r="68" s="65" customFormat="1"/>
    <row r="69" s="65" customFormat="1"/>
    <row r="70" s="65" customFormat="1"/>
    <row r="71" s="65" customFormat="1"/>
    <row r="72" s="65" customFormat="1"/>
    <row r="73" s="65" customFormat="1"/>
    <row r="74" s="65" customFormat="1"/>
    <row r="75" s="65" customFormat="1"/>
    <row r="76" s="65" customFormat="1"/>
    <row r="77" s="65" customFormat="1"/>
    <row r="78" s="65" customFormat="1"/>
    <row r="79" s="65" customFormat="1"/>
    <row r="80" s="65" customFormat="1"/>
    <row r="81" s="65" customFormat="1"/>
    <row r="82" s="65" customFormat="1"/>
    <row r="83" s="65" customFormat="1"/>
    <row r="84" s="65" customFormat="1"/>
    <row r="85" s="65" customFormat="1"/>
    <row r="86" s="65" customFormat="1"/>
    <row r="87" s="65" customFormat="1"/>
    <row r="88" s="65" customFormat="1"/>
    <row r="89" s="65" customFormat="1"/>
    <row r="90" s="65" customFormat="1"/>
    <row r="91" s="65" customFormat="1"/>
    <row r="92" s="65" customFormat="1"/>
    <row r="93" s="65" customFormat="1"/>
    <row r="94" s="65" customFormat="1"/>
    <row r="95" s="65" customFormat="1"/>
    <row r="96" s="65" customFormat="1"/>
    <row r="97" s="65" customFormat="1"/>
    <row r="98" s="65" customFormat="1"/>
    <row r="99" s="65" customFormat="1"/>
    <row r="100" s="65" customFormat="1"/>
    <row r="101" s="65" customFormat="1"/>
    <row r="102" s="65" customFormat="1"/>
    <row r="103" s="65" customFormat="1"/>
    <row r="104" s="65" customFormat="1"/>
    <row r="105" s="65" customFormat="1"/>
    <row r="106" s="65" customFormat="1"/>
    <row r="107" s="65" customFormat="1"/>
    <row r="108" s="65" customFormat="1"/>
    <row r="109" s="65" customFormat="1"/>
    <row r="110" s="65" customFormat="1"/>
    <row r="111" s="65" customFormat="1"/>
    <row r="112" s="65" customFormat="1"/>
    <row r="113" s="65" customFormat="1"/>
    <row r="114" s="65" customFormat="1"/>
    <row r="115" s="65" customFormat="1"/>
    <row r="116" s="65" customFormat="1"/>
    <row r="117" s="65" customFormat="1"/>
    <row r="118" s="65" customFormat="1"/>
    <row r="119" s="65" customFormat="1"/>
    <row r="120" s="65" customFormat="1"/>
    <row r="121" s="65" customFormat="1"/>
    <row r="122" s="65" customFormat="1"/>
    <row r="123" s="65" customFormat="1"/>
    <row r="124" s="65" customFormat="1"/>
    <row r="125" s="65" customFormat="1"/>
    <row r="126" s="65" customFormat="1"/>
    <row r="127" s="65" customFormat="1"/>
    <row r="128" s="65" customFormat="1"/>
    <row r="129" s="65" customFormat="1"/>
    <row r="130" s="65" customFormat="1"/>
    <row r="131" s="65" customFormat="1"/>
    <row r="132" s="65" customFormat="1"/>
    <row r="133" s="65" customFormat="1"/>
    <row r="134" s="65" customFormat="1"/>
    <row r="135" s="65" customFormat="1"/>
    <row r="136" s="65" customFormat="1"/>
    <row r="137" s="65" customFormat="1"/>
    <row r="138" s="65" customFormat="1"/>
    <row r="139" s="65" customFormat="1"/>
    <row r="140" s="65" customFormat="1"/>
    <row r="141" s="65" customFormat="1"/>
    <row r="142" s="65" customFormat="1"/>
    <row r="143" s="65" customFormat="1"/>
    <row r="144" s="65" customFormat="1"/>
    <row r="145" s="65" customFormat="1"/>
    <row r="146" s="65" customFormat="1"/>
    <row r="147" s="65" customFormat="1"/>
    <row r="148" s="65" customFormat="1"/>
    <row r="149" s="65" customFormat="1"/>
    <row r="150" s="65" customFormat="1"/>
    <row r="151" s="65" customFormat="1"/>
    <row r="152" s="65" customFormat="1"/>
    <row r="153" s="65" customFormat="1"/>
    <row r="154" s="65" customFormat="1"/>
    <row r="155" s="65" customFormat="1"/>
    <row r="156" s="65" customFormat="1"/>
    <row r="157" s="65" customFormat="1"/>
    <row r="158" s="65" customFormat="1"/>
    <row r="159" s="65" customFormat="1"/>
    <row r="160" s="65" customFormat="1"/>
    <row r="161" s="65" customFormat="1"/>
    <row r="162" s="65" customFormat="1"/>
    <row r="163" s="65" customFormat="1"/>
    <row r="164" s="65" customFormat="1"/>
    <row r="165" s="65" customFormat="1"/>
    <row r="166" s="65" customFormat="1"/>
    <row r="167" s="65" customFormat="1"/>
    <row r="168" s="65" customFormat="1"/>
    <row r="169" s="65" customFormat="1"/>
    <row r="170" s="65" customFormat="1"/>
    <row r="171" s="65" customFormat="1"/>
    <row r="172" s="65" customFormat="1"/>
    <row r="173" s="65" customFormat="1"/>
    <row r="174" s="65" customFormat="1"/>
    <row r="175" s="65" customFormat="1"/>
    <row r="176" s="65" customFormat="1"/>
    <row r="177" s="65" customFormat="1"/>
    <row r="178" s="65" customFormat="1"/>
    <row r="179" s="65" customFormat="1"/>
    <row r="180" s="65" customFormat="1"/>
    <row r="181" s="65" customFormat="1"/>
    <row r="182" s="65" customFormat="1"/>
    <row r="183" s="65" customFormat="1"/>
    <row r="184" s="65" customFormat="1"/>
    <row r="185" s="65" customFormat="1"/>
    <row r="186" s="65" customFormat="1"/>
    <row r="187" s="65" customFormat="1"/>
    <row r="188" s="65" customFormat="1"/>
    <row r="189" s="65" customFormat="1"/>
    <row r="190" s="65" customFormat="1"/>
    <row r="191" s="65" customFormat="1"/>
    <row r="192" s="65" customFormat="1"/>
    <row r="193" s="65" customFormat="1"/>
    <row r="194" s="65" customFormat="1"/>
    <row r="195" s="65" customFormat="1"/>
    <row r="196" s="65" customFormat="1"/>
    <row r="197" s="65" customFormat="1"/>
    <row r="198" s="65" customFormat="1"/>
    <row r="199" s="65" customFormat="1"/>
    <row r="200" s="65" customFormat="1"/>
    <row r="201" s="65" customFormat="1"/>
    <row r="202" s="65" customFormat="1"/>
    <row r="203" s="65" customFormat="1"/>
    <row r="204" s="65" customFormat="1"/>
    <row r="205" s="65" customFormat="1"/>
    <row r="206" s="65" customFormat="1"/>
    <row r="207" s="65" customFormat="1"/>
    <row r="208" s="65" customFormat="1"/>
    <row r="209" s="65" customFormat="1"/>
    <row r="210" s="65" customFormat="1"/>
    <row r="211" s="65" customFormat="1"/>
    <row r="212" s="65" customFormat="1"/>
    <row r="213" s="65" customFormat="1"/>
    <row r="214" s="65" customFormat="1"/>
    <row r="215" s="65" customFormat="1"/>
    <row r="216" s="65" customFormat="1"/>
    <row r="217" s="65" customFormat="1"/>
    <row r="218" s="65" customFormat="1"/>
    <row r="219" s="65" customFormat="1"/>
    <row r="220" s="65" customFormat="1"/>
    <row r="221" s="65" customFormat="1"/>
    <row r="222" s="65" customFormat="1"/>
    <row r="223" s="65" customFormat="1"/>
    <row r="224" s="65" customFormat="1"/>
    <row r="225" s="65" customFormat="1"/>
    <row r="226" s="65" customFormat="1"/>
    <row r="227" s="65" customFormat="1"/>
    <row r="228" s="65" customFormat="1"/>
    <row r="229" s="65" customFormat="1"/>
    <row r="230" s="65" customFormat="1"/>
    <row r="231" s="65" customFormat="1"/>
    <row r="232" s="65" customFormat="1"/>
    <row r="233" s="65" customFormat="1"/>
    <row r="234" s="65" customFormat="1"/>
    <row r="235" s="65" customFormat="1"/>
    <row r="236" s="65" customFormat="1"/>
    <row r="237" s="65" customFormat="1"/>
    <row r="238" s="65" customFormat="1"/>
    <row r="239" s="65" customFormat="1"/>
    <row r="240" s="65" customFormat="1"/>
    <row r="241" s="65" customFormat="1"/>
    <row r="242" s="65" customFormat="1"/>
    <row r="243" s="65" customFormat="1"/>
    <row r="244" s="65" customFormat="1"/>
    <row r="245" s="65" customFormat="1"/>
    <row r="246" s="65" customFormat="1"/>
    <row r="247" s="65" customFormat="1"/>
    <row r="248" s="65" customFormat="1"/>
    <row r="249" s="65" customFormat="1"/>
    <row r="250" s="65" customFormat="1"/>
    <row r="251" s="65" customFormat="1"/>
    <row r="252" s="65" customFormat="1"/>
    <row r="253" s="65" customFormat="1"/>
    <row r="254" s="65" customFormat="1"/>
    <row r="255" s="65" customFormat="1"/>
    <row r="256" s="65" customFormat="1"/>
    <row r="257" s="65" customFormat="1"/>
    <row r="258" s="65" customFormat="1"/>
    <row r="259" s="65" customFormat="1"/>
    <row r="260" s="65" customFormat="1"/>
    <row r="261" s="65" customFormat="1"/>
    <row r="262" s="65" customFormat="1"/>
    <row r="263" s="65" customFormat="1"/>
    <row r="264" s="65" customFormat="1"/>
    <row r="265" s="65" customFormat="1"/>
    <row r="266" s="65" customFormat="1"/>
    <row r="267" s="65" customFormat="1"/>
    <row r="268" s="65" customFormat="1"/>
    <row r="269" s="65" customFormat="1"/>
    <row r="270" s="65" customFormat="1"/>
    <row r="271" s="65" customFormat="1"/>
    <row r="272" s="65" customFormat="1"/>
    <row r="273" s="65" customFormat="1"/>
    <row r="274" s="65" customFormat="1"/>
    <row r="275" s="65" customFormat="1"/>
    <row r="276" s="65" customFormat="1"/>
    <row r="277" s="65" customFormat="1"/>
    <row r="278" s="65" customFormat="1"/>
    <row r="279" s="65" customFormat="1"/>
    <row r="280" s="65" customFormat="1"/>
    <row r="281" s="65" customFormat="1"/>
    <row r="282" s="65" customFormat="1"/>
    <row r="283" s="65" customFormat="1"/>
    <row r="284" s="65" customFormat="1"/>
    <row r="285" s="65" customFormat="1"/>
    <row r="286" s="65" customFormat="1"/>
    <row r="287" s="65" customFormat="1"/>
    <row r="288" s="65" customFormat="1"/>
    <row r="289" s="65" customFormat="1"/>
    <row r="290" s="65" customFormat="1"/>
    <row r="291" s="65" customFormat="1"/>
    <row r="292" s="65" customFormat="1"/>
    <row r="293" s="65" customFormat="1"/>
    <row r="294" s="65" customFormat="1"/>
    <row r="295" s="65" customFormat="1"/>
    <row r="296" s="65" customFormat="1"/>
    <row r="297" s="65" customFormat="1"/>
    <row r="298" s="65" customFormat="1"/>
    <row r="299" s="65" customFormat="1"/>
    <row r="300" s="65" customFormat="1"/>
    <row r="301" s="65" customFormat="1"/>
    <row r="302" s="65" customFormat="1"/>
    <row r="303" s="65" customFormat="1"/>
    <row r="304" s="65" customFormat="1"/>
    <row r="305" s="65" customFormat="1"/>
    <row r="306" s="65" customFormat="1"/>
    <row r="307" s="65" customFormat="1"/>
    <row r="308" s="65" customFormat="1"/>
    <row r="309" s="65" customFormat="1"/>
    <row r="310" s="65" customFormat="1"/>
    <row r="311" s="65" customFormat="1"/>
    <row r="312" s="65" customFormat="1"/>
    <row r="313" s="65" customFormat="1"/>
    <row r="314" s="65" customFormat="1"/>
    <row r="315" s="65" customFormat="1"/>
    <row r="316" s="65" customFormat="1"/>
    <row r="317" s="65" customFormat="1"/>
    <row r="318" s="65" customFormat="1"/>
    <row r="319" s="65" customFormat="1"/>
    <row r="320" s="65" customFormat="1"/>
    <row r="321" s="65" customFormat="1"/>
    <row r="322" s="65" customFormat="1"/>
    <row r="323" s="65" customFormat="1"/>
    <row r="324" s="65" customFormat="1"/>
    <row r="325" s="65" customFormat="1"/>
    <row r="326" s="65" customFormat="1"/>
    <row r="327" s="65" customFormat="1"/>
    <row r="328" s="65" customFormat="1"/>
    <row r="329" s="65" customFormat="1"/>
    <row r="330" s="65" customFormat="1"/>
    <row r="331" s="65" customFormat="1"/>
    <row r="332" s="65" customFormat="1"/>
    <row r="333" s="65" customFormat="1"/>
    <row r="334" s="65" customFormat="1"/>
    <row r="335" s="65" customFormat="1"/>
    <row r="336" s="65" customFormat="1"/>
    <row r="337" s="65" customFormat="1"/>
    <row r="338" s="65" customFormat="1"/>
    <row r="339" s="65" customFormat="1"/>
    <row r="340" s="65" customFormat="1"/>
    <row r="341" s="65" customFormat="1"/>
    <row r="342" s="65" customFormat="1"/>
    <row r="343" s="65" customFormat="1"/>
    <row r="344" s="65" customFormat="1"/>
    <row r="345" s="65" customFormat="1"/>
    <row r="346" s="65" customFormat="1"/>
    <row r="347" s="65" customFormat="1"/>
    <row r="348" s="65" customFormat="1"/>
    <row r="349" s="65" customFormat="1"/>
    <row r="350" s="65" customFormat="1"/>
    <row r="351" s="65" customFormat="1"/>
    <row r="352" s="65" customFormat="1"/>
    <row r="353" s="65" customFormat="1"/>
    <row r="354" s="65" customFormat="1"/>
    <row r="355" s="65" customFormat="1"/>
    <row r="356" s="65" customFormat="1"/>
    <row r="357" s="65" customFormat="1"/>
    <row r="358" s="65" customFormat="1"/>
    <row r="359" s="65" customFormat="1"/>
    <row r="360" s="65" customFormat="1"/>
    <row r="361" s="65" customFormat="1"/>
    <row r="362" s="65" customFormat="1"/>
    <row r="363" s="65" customFormat="1"/>
    <row r="364" s="65" customFormat="1"/>
    <row r="365" s="65" customFormat="1"/>
    <row r="366" s="65" customFormat="1"/>
    <row r="367" s="65" customFormat="1"/>
    <row r="368" s="65" customFormat="1"/>
    <row r="369" s="65" customFormat="1"/>
    <row r="370" s="65" customFormat="1"/>
    <row r="371" s="65" customFormat="1"/>
    <row r="372" s="65" customFormat="1"/>
    <row r="373" s="65" customFormat="1"/>
    <row r="374" s="65" customFormat="1"/>
    <row r="375" s="65" customFormat="1"/>
    <row r="376" s="65" customFormat="1"/>
    <row r="377" s="65" customFormat="1"/>
    <row r="378" s="65" customFormat="1"/>
    <row r="379" s="65" customFormat="1"/>
    <row r="380" s="65" customFormat="1"/>
    <row r="381" s="65" customFormat="1"/>
    <row r="382" s="65" customFormat="1"/>
    <row r="383" s="65" customFormat="1"/>
    <row r="384" s="65" customFormat="1"/>
    <row r="385" s="65" customFormat="1"/>
    <row r="386" s="65" customFormat="1"/>
    <row r="387" s="65" customFormat="1"/>
    <row r="388" s="65" customFormat="1"/>
    <row r="389" s="65" customFormat="1"/>
    <row r="390" s="65" customFormat="1"/>
    <row r="391" s="65" customFormat="1"/>
    <row r="392" s="65" customFormat="1"/>
    <row r="393" s="65" customFormat="1"/>
    <row r="394" s="65" customFormat="1"/>
    <row r="395" s="65" customFormat="1"/>
    <row r="396" s="65" customFormat="1"/>
    <row r="397" s="65" customFormat="1"/>
    <row r="398" s="65" customFormat="1"/>
    <row r="399" s="65" customFormat="1"/>
    <row r="400" s="65" customFormat="1"/>
    <row r="401" s="65" customFormat="1"/>
    <row r="402" s="65" customFormat="1"/>
    <row r="403" s="65" customFormat="1"/>
    <row r="404" s="65" customFormat="1"/>
    <row r="405" s="65" customFormat="1"/>
    <row r="406" s="65" customFormat="1"/>
    <row r="407" s="65" customFormat="1"/>
    <row r="408" s="65" customFormat="1"/>
    <row r="409" s="65" customFormat="1"/>
    <row r="410" s="65" customFormat="1"/>
    <row r="411" s="65" customFormat="1"/>
    <row r="412" s="65" customFormat="1"/>
    <row r="413" s="65" customFormat="1"/>
    <row r="414" s="65" customFormat="1"/>
    <row r="415" s="65" customFormat="1"/>
    <row r="416" s="65" customFormat="1"/>
    <row r="417" s="65" customFormat="1"/>
    <row r="418" s="65" customFormat="1"/>
    <row r="419" s="65" customFormat="1"/>
    <row r="420" s="65" customFormat="1"/>
    <row r="421" s="65" customFormat="1"/>
    <row r="422" s="65" customFormat="1"/>
    <row r="423" s="65" customFormat="1"/>
    <row r="424" s="65" customFormat="1"/>
    <row r="425" s="65" customFormat="1"/>
    <row r="426" s="65" customFormat="1"/>
    <row r="427" s="65" customFormat="1"/>
    <row r="428" s="65" customFormat="1"/>
    <row r="429" s="65" customFormat="1"/>
    <row r="430" s="65" customFormat="1"/>
    <row r="431" s="65" customFormat="1"/>
    <row r="432" s="65" customFormat="1"/>
    <row r="433" s="65" customFormat="1"/>
    <row r="434" s="65" customFormat="1"/>
    <row r="435" s="65" customFormat="1"/>
    <row r="436" s="65" customFormat="1"/>
    <row r="437" s="65" customFormat="1"/>
    <row r="438" s="65" customFormat="1"/>
    <row r="439" s="65" customFormat="1"/>
    <row r="440" s="65" customFormat="1"/>
    <row r="441" s="65" customFormat="1"/>
    <row r="442" s="65" customFormat="1"/>
    <row r="443" s="65" customFormat="1"/>
    <row r="444" s="65" customFormat="1"/>
    <row r="445" s="65" customFormat="1"/>
    <row r="446" s="65" customFormat="1"/>
    <row r="447" s="65" customFormat="1"/>
    <row r="448" s="65" customFormat="1"/>
    <row r="449" s="65" customFormat="1"/>
    <row r="450" s="65" customFormat="1"/>
    <row r="451" s="65" customFormat="1"/>
    <row r="452" s="65" customFormat="1"/>
    <row r="453" s="65" customFormat="1"/>
    <row r="454" s="65" customFormat="1"/>
    <row r="455" s="65" customFormat="1"/>
    <row r="456" s="65" customFormat="1"/>
    <row r="457" s="65" customFormat="1"/>
    <row r="458" s="65" customFormat="1"/>
    <row r="459" s="65" customFormat="1"/>
    <row r="460" s="65" customFormat="1"/>
    <row r="461" s="65" customFormat="1"/>
    <row r="462" s="65" customFormat="1"/>
    <row r="463" s="65" customFormat="1"/>
    <row r="464" s="65" customFormat="1"/>
    <row r="465" s="65" customFormat="1"/>
    <row r="466" s="65" customFormat="1"/>
    <row r="467" s="65" customFormat="1"/>
    <row r="468" s="65" customFormat="1"/>
    <row r="469" s="65" customFormat="1"/>
    <row r="470" s="65" customFormat="1"/>
    <row r="471" s="65" customFormat="1"/>
    <row r="472" s="65" customFormat="1"/>
    <row r="473" s="65" customFormat="1"/>
    <row r="474" s="65" customFormat="1"/>
    <row r="475" s="65" customFormat="1"/>
    <row r="476" s="65" customFormat="1"/>
    <row r="477" s="65" customFormat="1"/>
    <row r="478" s="65" customFormat="1"/>
    <row r="479" s="65" customFormat="1"/>
    <row r="480" s="65" customFormat="1"/>
    <row r="481" s="65" customFormat="1"/>
    <row r="482" s="65" customFormat="1"/>
    <row r="483" s="65" customFormat="1"/>
    <row r="484" s="65" customFormat="1"/>
    <row r="485" s="65" customFormat="1"/>
    <row r="486" s="65" customFormat="1"/>
    <row r="487" s="65" customFormat="1"/>
    <row r="488" s="65" customFormat="1"/>
    <row r="489" s="65" customFormat="1"/>
    <row r="490" s="65" customFormat="1"/>
    <row r="491" s="65" customFormat="1"/>
    <row r="492" s="65" customFormat="1"/>
    <row r="493" s="65" customFormat="1"/>
    <row r="494" s="65" customFormat="1"/>
    <row r="495" s="65" customFormat="1"/>
    <row r="496" s="65" customFormat="1"/>
    <row r="497" s="65" customFormat="1"/>
    <row r="498" s="65" customFormat="1"/>
    <row r="499" s="65" customFormat="1"/>
    <row r="500" s="65" customFormat="1"/>
  </sheetData>
  <mergeCells count="4">
    <mergeCell ref="A43:B43"/>
    <mergeCell ref="F2:G2"/>
    <mergeCell ref="F22:G22"/>
    <mergeCell ref="A2:D2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Z305"/>
  <sheetViews>
    <sheetView workbookViewId="0">
      <selection activeCell="K4" sqref="K4"/>
    </sheetView>
  </sheetViews>
  <sheetFormatPr defaultRowHeight="13.2"/>
  <cols>
    <col min="1" max="1" width="16.33203125" customWidth="1"/>
    <col min="2" max="2" width="5.6640625" customWidth="1"/>
    <col min="3" max="3" width="11.33203125" customWidth="1"/>
    <col min="4" max="4" width="1.33203125" customWidth="1"/>
    <col min="5" max="5" width="7.5546875" customWidth="1"/>
    <col min="6" max="6" width="12.6640625" customWidth="1"/>
    <col min="7" max="7" width="11.6640625" customWidth="1"/>
    <col min="8" max="8" width="14.44140625" customWidth="1"/>
    <col min="9" max="9" width="14.6640625" bestFit="1" customWidth="1"/>
    <col min="10" max="10" width="12.44140625" customWidth="1"/>
    <col min="11" max="11" width="21.33203125" bestFit="1" customWidth="1"/>
    <col min="12" max="12" width="12.5546875" bestFit="1" customWidth="1"/>
    <col min="13" max="13" width="11.6640625" bestFit="1" customWidth="1"/>
  </cols>
  <sheetData>
    <row r="1" spans="1:26" ht="13.8">
      <c r="A1" s="117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3.8">
      <c r="A3" s="364" t="s">
        <v>37</v>
      </c>
      <c r="B3" s="364"/>
      <c r="C3" s="34">
        <f>SUM(G5:G13)</f>
        <v>139790000</v>
      </c>
      <c r="D3" s="65"/>
      <c r="E3" s="365" t="s">
        <v>38</v>
      </c>
      <c r="F3" s="365"/>
      <c r="G3" s="365"/>
      <c r="H3" s="3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6" ht="28.2" thickBot="1">
      <c r="A4" s="364" t="s">
        <v>220</v>
      </c>
      <c r="B4" s="364"/>
      <c r="C4" s="33">
        <f>((C5-20)/C5)*C3</f>
        <v>83874000</v>
      </c>
      <c r="D4" s="65"/>
      <c r="E4" s="5" t="s">
        <v>39</v>
      </c>
      <c r="F4" s="6" t="s">
        <v>40</v>
      </c>
      <c r="G4" s="6" t="s">
        <v>41</v>
      </c>
      <c r="H4" s="6" t="s">
        <v>42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6" ht="14.4" thickTop="1">
      <c r="A5" s="364" t="s">
        <v>43</v>
      </c>
      <c r="B5" s="364"/>
      <c r="C5" s="35">
        <v>50</v>
      </c>
      <c r="D5" s="65"/>
      <c r="E5" s="194">
        <v>2020</v>
      </c>
      <c r="F5" s="311"/>
      <c r="G5" s="123">
        <v>0</v>
      </c>
      <c r="H5" s="124">
        <f>ROUND((G5)*INDEX(NPV!$C$3:$C$42,MATCH(Costs!$E5,NPV!$B$3:$B$42,0)),0)</f>
        <v>0</v>
      </c>
      <c r="I5" s="30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6" ht="13.8">
      <c r="A6" s="81"/>
      <c r="B6" s="65"/>
      <c r="C6" s="65"/>
      <c r="D6" s="65"/>
      <c r="E6" s="194">
        <f t="shared" ref="E6:E33" si="0">E5+1</f>
        <v>2021</v>
      </c>
      <c r="F6" s="31"/>
      <c r="G6" s="123">
        <v>0</v>
      </c>
      <c r="H6" s="124">
        <f>ROUND((G6)*INDEX(NPV!$C$3:$C$42,MATCH(Costs!$E6,NPV!$B$3:$B$42,0)),0)</f>
        <v>0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6" ht="13.8">
      <c r="A7" s="81"/>
      <c r="B7" s="65"/>
      <c r="C7" s="65"/>
      <c r="D7" s="65"/>
      <c r="E7" s="194">
        <f t="shared" si="0"/>
        <v>2022</v>
      </c>
      <c r="F7" s="31">
        <f t="shared" ref="F7:F13" si="1">G7/$C$3</f>
        <v>1.0338271693254167E-2</v>
      </c>
      <c r="G7" s="123">
        <v>1445187</v>
      </c>
      <c r="H7" s="124">
        <f>ROUND((G7)*INDEX(NPV!$C$3:$C$42,MATCH(Costs!$E7,NPV!$B$3:$B$42,0)),0)</f>
        <v>1262282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6" ht="13.8">
      <c r="A8" s="81"/>
      <c r="B8" s="65"/>
      <c r="C8" s="65"/>
      <c r="D8" s="65"/>
      <c r="E8" s="194">
        <f t="shared" si="0"/>
        <v>2023</v>
      </c>
      <c r="F8" s="31">
        <f t="shared" si="1"/>
        <v>6.8360762572430067E-2</v>
      </c>
      <c r="G8" s="123">
        <v>9556151</v>
      </c>
      <c r="H8" s="124">
        <f>ROUND((G8)*INDEX(NPV!$C$3:$C$42,MATCH(Costs!$E8,NPV!$B$3:$B$42,0)),0)</f>
        <v>7800666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6" ht="13.8">
      <c r="A9" s="81"/>
      <c r="B9" s="65"/>
      <c r="C9" s="65"/>
      <c r="D9" s="65"/>
      <c r="E9" s="194">
        <f t="shared" si="0"/>
        <v>2024</v>
      </c>
      <c r="F9" s="31">
        <f t="shared" si="1"/>
        <v>4.1861713999570782E-2</v>
      </c>
      <c r="G9" s="123">
        <v>5851849</v>
      </c>
      <c r="H9" s="124">
        <f>ROUND((G9)*INDEX(NPV!$C$3:$C$42,MATCH(Costs!$E9,NPV!$B$3:$B$42,0)),0)</f>
        <v>4464348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1:26" ht="13.8">
      <c r="A10" s="81"/>
      <c r="B10" s="65"/>
      <c r="C10" s="65"/>
      <c r="D10" s="65"/>
      <c r="E10" s="194">
        <f t="shared" si="0"/>
        <v>2025</v>
      </c>
      <c r="F10" s="31">
        <f t="shared" si="1"/>
        <v>0.24053427999141569</v>
      </c>
      <c r="G10" s="123">
        <v>33624287</v>
      </c>
      <c r="H10" s="124">
        <f>ROUND((G10)*INDEX(NPV!$C$3:$C$42,MATCH(Costs!$E10,NPV!$B$3:$B$42,0)),0)</f>
        <v>23973652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</row>
    <row r="11" spans="1:26" ht="13.8">
      <c r="A11" s="81"/>
      <c r="B11" s="65"/>
      <c r="C11" s="65"/>
      <c r="D11" s="65"/>
      <c r="E11" s="194">
        <f t="shared" si="0"/>
        <v>2026</v>
      </c>
      <c r="F11" s="31">
        <f t="shared" si="1"/>
        <v>0.21296832391444309</v>
      </c>
      <c r="G11" s="123">
        <v>29770842</v>
      </c>
      <c r="H11" s="124">
        <f>ROUND((G11)*INDEX(NPV!$C$3:$C$42,MATCH(Costs!$E11,NPV!$B$3:$B$42,0)),0)</f>
        <v>19837569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</row>
    <row r="12" spans="1:26" ht="13.8">
      <c r="A12" s="65"/>
      <c r="B12" s="65"/>
      <c r="C12" s="65"/>
      <c r="D12" s="65"/>
      <c r="E12" s="194">
        <f t="shared" si="0"/>
        <v>2027</v>
      </c>
      <c r="F12" s="31">
        <f>G12/$C$3</f>
        <v>0.21296832391444309</v>
      </c>
      <c r="G12" s="123">
        <v>29770842</v>
      </c>
      <c r="H12" s="124">
        <f>ROUND((G12)*INDEX(NPV!$C$3:$C$42,MATCH(Costs!$E12,NPV!$B$3:$B$42,0)),0)</f>
        <v>18539784</v>
      </c>
      <c r="I12" s="65"/>
      <c r="J12" s="65"/>
      <c r="K12" s="65"/>
      <c r="L12" s="226"/>
      <c r="M12" s="226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spans="1:26" ht="13.8">
      <c r="A13" s="65"/>
      <c r="B13" s="65"/>
      <c r="C13" s="65"/>
      <c r="D13" s="65"/>
      <c r="E13" s="194">
        <f t="shared" si="0"/>
        <v>2028</v>
      </c>
      <c r="F13" s="31">
        <f t="shared" si="1"/>
        <v>0.21296832391444309</v>
      </c>
      <c r="G13" s="123">
        <v>29770842</v>
      </c>
      <c r="H13" s="124">
        <f>ROUND((G13)*INDEX(NPV!$C$3:$C$42,MATCH(Costs!$E13,NPV!$B$3:$B$42,0)),0)</f>
        <v>17326901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spans="1:26" ht="13.8">
      <c r="A14" s="65"/>
      <c r="B14" s="65"/>
      <c r="C14" s="65"/>
      <c r="D14" s="65"/>
      <c r="E14" s="194">
        <f t="shared" si="0"/>
        <v>2029</v>
      </c>
      <c r="F14" s="32"/>
      <c r="G14" s="123">
        <f t="shared" ref="G14:G32" si="2">F14*$C$3</f>
        <v>0</v>
      </c>
      <c r="H14" s="124">
        <f>ROUND((G14)*INDEX(NPV!$C$3:$C$42,MATCH(Costs!$E14,NPV!$B$3:$B$42,0)),0)</f>
        <v>0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26" ht="13.8">
      <c r="A15" s="65"/>
      <c r="B15" s="65"/>
      <c r="C15" s="65"/>
      <c r="D15" s="65"/>
      <c r="E15" s="194">
        <f t="shared" si="0"/>
        <v>2030</v>
      </c>
      <c r="F15" s="32"/>
      <c r="G15" s="123">
        <f t="shared" si="2"/>
        <v>0</v>
      </c>
      <c r="H15" s="124">
        <f>ROUND((G15)*INDEX(NPV!$C$3:$C$42,MATCH(Costs!$E15,NPV!$B$3:$B$42,0)),0)</f>
        <v>0</v>
      </c>
      <c r="I15" s="65"/>
      <c r="J15" s="65"/>
      <c r="K15" s="262"/>
      <c r="L15" s="262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6" ht="13.8">
      <c r="A16" s="65"/>
      <c r="B16" s="65"/>
      <c r="C16" s="65"/>
      <c r="D16" s="65"/>
      <c r="E16" s="194">
        <f t="shared" si="0"/>
        <v>2031</v>
      </c>
      <c r="F16" s="32"/>
      <c r="G16" s="123">
        <f t="shared" si="2"/>
        <v>0</v>
      </c>
      <c r="H16" s="124">
        <f>ROUND((G16)*INDEX(NPV!$C$3:$C$42,MATCH(Costs!$E16,NPV!$B$3:$B$42,0)),0)</f>
        <v>0</v>
      </c>
      <c r="I16" s="65"/>
      <c r="J16" s="263"/>
      <c r="K16" s="263"/>
      <c r="L16" s="263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1:25" ht="13.8">
      <c r="A17" s="65"/>
      <c r="B17" s="65"/>
      <c r="C17" s="65"/>
      <c r="D17" s="65"/>
      <c r="E17" s="194">
        <f t="shared" si="0"/>
        <v>2032</v>
      </c>
      <c r="F17" s="32"/>
      <c r="G17" s="123">
        <f t="shared" si="2"/>
        <v>0</v>
      </c>
      <c r="H17" s="124">
        <f>ROUND((G17)*INDEX(NPV!$C$3:$C$42,MATCH(Costs!$E17,NPV!$B$3:$B$42,0)),0)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spans="1:25" ht="13.8">
      <c r="A18" s="65"/>
      <c r="B18" s="65"/>
      <c r="C18" s="65"/>
      <c r="D18" s="65"/>
      <c r="E18" s="194">
        <f t="shared" si="0"/>
        <v>2033</v>
      </c>
      <c r="F18" s="32"/>
      <c r="G18" s="123">
        <f t="shared" si="2"/>
        <v>0</v>
      </c>
      <c r="H18" s="124">
        <f>ROUND((G18)*INDEX(NPV!$C$3:$C$42,MATCH(Costs!$E18,NPV!$B$3:$B$42,0)),0)</f>
        <v>0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ht="13.8">
      <c r="A19" s="65"/>
      <c r="B19" s="65"/>
      <c r="C19" s="65"/>
      <c r="D19" s="65"/>
      <c r="E19" s="194">
        <f t="shared" si="0"/>
        <v>2034</v>
      </c>
      <c r="F19" s="32"/>
      <c r="G19" s="123">
        <f t="shared" ref="G19:G29" si="3">F19*$C$3</f>
        <v>0</v>
      </c>
      <c r="H19" s="124">
        <f>ROUND((G19)*INDEX(NPV!$C$3:$C$42,MATCH(Costs!$E19,NPV!$B$3:$B$42,0)),0)</f>
        <v>0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ht="13.8">
      <c r="A20" s="65"/>
      <c r="B20" s="65"/>
      <c r="C20" s="65"/>
      <c r="D20" s="65"/>
      <c r="E20" s="194">
        <f t="shared" si="0"/>
        <v>2035</v>
      </c>
      <c r="F20" s="32"/>
      <c r="G20" s="123">
        <f t="shared" si="3"/>
        <v>0</v>
      </c>
      <c r="H20" s="124">
        <f>ROUND((G20)*INDEX(NPV!$C$3:$C$42,MATCH(Costs!$E20,NPV!$B$3:$B$42,0)),0)</f>
        <v>0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ht="13.8">
      <c r="A21" s="65"/>
      <c r="B21" s="65"/>
      <c r="C21" s="65"/>
      <c r="D21" s="65"/>
      <c r="E21" s="194">
        <f t="shared" si="0"/>
        <v>2036</v>
      </c>
      <c r="F21" s="32"/>
      <c r="G21" s="123">
        <f t="shared" si="3"/>
        <v>0</v>
      </c>
      <c r="H21" s="124">
        <f>ROUND((G21)*INDEX(NPV!$C$3:$C$42,MATCH(Costs!$E21,NPV!$B$3:$B$42,0)),0)</f>
        <v>0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ht="13.8">
      <c r="A22" s="65"/>
      <c r="B22" s="65"/>
      <c r="C22" s="65"/>
      <c r="D22" s="65"/>
      <c r="E22" s="194">
        <f t="shared" si="0"/>
        <v>2037</v>
      </c>
      <c r="F22" s="32"/>
      <c r="G22" s="123">
        <f t="shared" si="3"/>
        <v>0</v>
      </c>
      <c r="H22" s="124">
        <f>ROUND((G22)*INDEX(NPV!$C$3:$C$42,MATCH(Costs!$E22,NPV!$B$3:$B$42,0)),0)</f>
        <v>0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ht="13.8">
      <c r="A23" s="65"/>
      <c r="B23" s="65"/>
      <c r="C23" s="65"/>
      <c r="D23" s="65"/>
      <c r="E23" s="194">
        <f t="shared" si="0"/>
        <v>2038</v>
      </c>
      <c r="F23" s="32"/>
      <c r="G23" s="123">
        <f t="shared" si="3"/>
        <v>0</v>
      </c>
      <c r="H23" s="124">
        <f>ROUND((G23)*INDEX(NPV!$C$3:$C$42,MATCH(Costs!$E23,NPV!$B$3:$B$42,0)),0)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5" ht="13.8">
      <c r="A24" s="65"/>
      <c r="B24" s="65"/>
      <c r="C24" s="65"/>
      <c r="D24" s="65"/>
      <c r="E24" s="194">
        <f t="shared" si="0"/>
        <v>2039</v>
      </c>
      <c r="F24" s="32"/>
      <c r="G24" s="123">
        <f t="shared" si="3"/>
        <v>0</v>
      </c>
      <c r="H24" s="124">
        <f>ROUND((G24)*INDEX(NPV!$C$3:$C$42,MATCH(Costs!$E24,NPV!$B$3:$B$42,0)),0)</f>
        <v>0</v>
      </c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ht="13.8">
      <c r="A25" s="65"/>
      <c r="B25" s="65"/>
      <c r="C25" s="65"/>
      <c r="D25" s="65"/>
      <c r="E25" s="194">
        <f t="shared" si="0"/>
        <v>2040</v>
      </c>
      <c r="F25" s="32"/>
      <c r="G25" s="123">
        <f t="shared" si="3"/>
        <v>0</v>
      </c>
      <c r="H25" s="124">
        <f>ROUND((G25)*INDEX(NPV!$C$3:$C$42,MATCH(Costs!$E25,NPV!$B$3:$B$42,0)),0)</f>
        <v>0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5" ht="13.8">
      <c r="A26" s="65"/>
      <c r="B26" s="65"/>
      <c r="C26" s="65"/>
      <c r="D26" s="65"/>
      <c r="E26" s="194">
        <f t="shared" si="0"/>
        <v>2041</v>
      </c>
      <c r="F26" s="32"/>
      <c r="G26" s="123">
        <f t="shared" si="3"/>
        <v>0</v>
      </c>
      <c r="H26" s="124">
        <f>ROUND((G26)*INDEX(NPV!$C$3:$C$42,MATCH(Costs!$E26,NPV!$B$3:$B$42,0)),0)</f>
        <v>0</v>
      </c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</row>
    <row r="27" spans="1:25" ht="13.8">
      <c r="A27" s="65"/>
      <c r="B27" s="65"/>
      <c r="C27" s="65"/>
      <c r="D27" s="65"/>
      <c r="E27" s="194">
        <f t="shared" si="0"/>
        <v>2042</v>
      </c>
      <c r="F27" s="32"/>
      <c r="G27" s="123">
        <f t="shared" si="3"/>
        <v>0</v>
      </c>
      <c r="H27" s="124">
        <f>ROUND((G27)*INDEX(NPV!$C$3:$C$42,MATCH(Costs!$E27,NPV!$B$3:$B$42,0)),0)</f>
        <v>0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 ht="13.8">
      <c r="A28" s="65"/>
      <c r="B28" s="65"/>
      <c r="C28" s="65"/>
      <c r="D28" s="65"/>
      <c r="E28" s="194">
        <f t="shared" si="0"/>
        <v>2043</v>
      </c>
      <c r="F28" s="32"/>
      <c r="G28" s="123">
        <f t="shared" si="3"/>
        <v>0</v>
      </c>
      <c r="H28" s="124">
        <f>ROUND((G28)*INDEX(NPV!$C$3:$C$42,MATCH(Costs!$E28,NPV!$B$3:$B$42,0)),0)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</row>
    <row r="29" spans="1:25" ht="13.8">
      <c r="A29" s="65"/>
      <c r="B29" s="65"/>
      <c r="C29" s="65"/>
      <c r="D29" s="65"/>
      <c r="E29" s="194">
        <f t="shared" si="0"/>
        <v>2044</v>
      </c>
      <c r="F29" s="32"/>
      <c r="G29" s="123">
        <f t="shared" si="3"/>
        <v>0</v>
      </c>
      <c r="H29" s="124">
        <f>ROUND((G29)*INDEX(NPV!$C$3:$C$42,MATCH(Costs!$E29,NPV!$B$3:$B$42,0)),0)</f>
        <v>0</v>
      </c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 ht="13.8">
      <c r="A30" s="65"/>
      <c r="B30" s="65"/>
      <c r="C30" s="65"/>
      <c r="D30" s="65"/>
      <c r="E30" s="194">
        <f t="shared" si="0"/>
        <v>2045</v>
      </c>
      <c r="F30" s="32"/>
      <c r="G30" s="123">
        <f t="shared" si="2"/>
        <v>0</v>
      </c>
      <c r="H30" s="124">
        <f>ROUND((G30)*INDEX(NPV!$C$3:$C$42,MATCH(Costs!$E30,NPV!$B$3:$B$42,0)),0)</f>
        <v>0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ht="13.8">
      <c r="A31" s="65"/>
      <c r="B31" s="65"/>
      <c r="C31" s="65"/>
      <c r="D31" s="65"/>
      <c r="E31" s="194">
        <f t="shared" si="0"/>
        <v>2046</v>
      </c>
      <c r="F31" s="32"/>
      <c r="G31" s="123">
        <f t="shared" si="2"/>
        <v>0</v>
      </c>
      <c r="H31" s="124">
        <f>ROUND((G31)*INDEX(NPV!$C$3:$C$42,MATCH(Costs!$E31,NPV!$B$3:$B$42,0)),0)</f>
        <v>0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25" ht="13.8">
      <c r="A32" s="65"/>
      <c r="B32" s="65"/>
      <c r="C32" s="65"/>
      <c r="D32" s="65"/>
      <c r="E32" s="194">
        <f t="shared" si="0"/>
        <v>2047</v>
      </c>
      <c r="F32" s="32"/>
      <c r="G32" s="123">
        <f t="shared" si="2"/>
        <v>0</v>
      </c>
      <c r="H32" s="124">
        <f>ROUND((G32)*INDEX(NPV!$C$3:$C$42,MATCH(Costs!$E32,NPV!$B$3:$B$42,0)),0)</f>
        <v>0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</row>
    <row r="33" spans="1:26" ht="14.4" thickBot="1">
      <c r="A33" s="65"/>
      <c r="B33" s="65"/>
      <c r="C33" s="65"/>
      <c r="D33" s="65"/>
      <c r="E33" s="195">
        <f t="shared" si="0"/>
        <v>2048</v>
      </c>
      <c r="F33" s="280"/>
      <c r="G33" s="125">
        <f>-C4</f>
        <v>-83874000</v>
      </c>
      <c r="H33" s="125">
        <f>ROUND((G33)*INDEX(NPV!$C$3:$C$42,MATCH(Costs!$E33,NPV!$B$3:$B$42,0)),0)</f>
        <v>-12614835</v>
      </c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1:26" ht="14.4" thickTop="1">
      <c r="A34" s="65"/>
      <c r="B34" s="65"/>
      <c r="C34" s="65"/>
      <c r="D34" s="65"/>
      <c r="E34" s="196" t="s">
        <v>16</v>
      </c>
      <c r="F34" s="36">
        <f>SUM(F5:F33)</f>
        <v>1</v>
      </c>
      <c r="G34" s="126">
        <f>SUM(G5:G33)</f>
        <v>55916000</v>
      </c>
      <c r="H34" s="126">
        <f>SUM(H5:H33)</f>
        <v>80590367</v>
      </c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</row>
    <row r="35" spans="1:26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</row>
    <row r="36" spans="1:26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</row>
    <row r="37" spans="1:26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1:26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6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</row>
    <row r="40" spans="1:26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</row>
    <row r="41" spans="1:26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</row>
    <row r="42" spans="1:26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6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1:26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pans="1:26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pans="1:26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s="65" customFormat="1"/>
    <row r="70" spans="1:26" s="65" customFormat="1"/>
    <row r="71" spans="1:26" s="65" customFormat="1"/>
    <row r="72" spans="1:26" s="65" customFormat="1"/>
    <row r="73" spans="1:26" s="65" customFormat="1"/>
    <row r="74" spans="1:26" s="65" customFormat="1"/>
    <row r="75" spans="1:26" s="65" customFormat="1"/>
    <row r="76" spans="1:26" s="65" customFormat="1"/>
    <row r="77" spans="1:26" s="65" customFormat="1"/>
    <row r="78" spans="1:26" s="65" customFormat="1"/>
    <row r="79" spans="1:26" s="65" customFormat="1"/>
    <row r="80" spans="1:26" s="65" customFormat="1"/>
    <row r="81" s="65" customFormat="1"/>
    <row r="82" s="65" customFormat="1"/>
    <row r="83" s="65" customFormat="1"/>
    <row r="84" s="65" customFormat="1"/>
    <row r="85" s="65" customFormat="1"/>
    <row r="86" s="65" customFormat="1"/>
    <row r="87" s="65" customFormat="1"/>
    <row r="88" s="65" customFormat="1"/>
    <row r="89" s="65" customFormat="1"/>
    <row r="90" s="65" customFormat="1"/>
    <row r="91" s="65" customFormat="1"/>
    <row r="92" s="65" customFormat="1"/>
    <row r="93" s="65" customFormat="1"/>
    <row r="94" s="65" customFormat="1"/>
    <row r="95" s="65" customFormat="1"/>
    <row r="96" s="65" customFormat="1"/>
    <row r="97" s="65" customFormat="1"/>
    <row r="98" s="65" customFormat="1"/>
    <row r="99" s="65" customFormat="1"/>
    <row r="100" s="65" customFormat="1"/>
    <row r="101" s="65" customFormat="1"/>
    <row r="102" s="65" customFormat="1"/>
    <row r="103" s="65" customFormat="1"/>
    <row r="104" s="65" customFormat="1"/>
    <row r="105" s="65" customFormat="1"/>
    <row r="106" s="65" customFormat="1"/>
    <row r="107" s="65" customFormat="1"/>
    <row r="108" s="65" customFormat="1"/>
    <row r="109" s="65" customFormat="1"/>
    <row r="110" s="65" customFormat="1"/>
    <row r="111" s="65" customFormat="1"/>
    <row r="112" s="65" customFormat="1"/>
    <row r="113" s="65" customFormat="1"/>
    <row r="114" s="65" customFormat="1"/>
    <row r="115" s="65" customFormat="1"/>
    <row r="116" s="65" customFormat="1"/>
    <row r="117" s="65" customFormat="1"/>
    <row r="118" s="65" customFormat="1"/>
    <row r="119" s="65" customFormat="1"/>
    <row r="120" s="65" customFormat="1"/>
    <row r="121" s="65" customFormat="1"/>
    <row r="122" s="65" customFormat="1"/>
    <row r="123" s="65" customFormat="1"/>
    <row r="124" s="65" customFormat="1"/>
    <row r="125" s="65" customFormat="1"/>
    <row r="126" s="65" customFormat="1"/>
    <row r="127" s="65" customFormat="1"/>
    <row r="128" s="65" customFormat="1"/>
    <row r="129" s="65" customFormat="1"/>
    <row r="130" s="65" customFormat="1"/>
    <row r="131" s="65" customFormat="1"/>
    <row r="132" s="65" customFormat="1"/>
    <row r="133" s="65" customFormat="1"/>
    <row r="134" s="65" customFormat="1"/>
    <row r="135" s="65" customFormat="1"/>
    <row r="136" s="65" customFormat="1"/>
    <row r="137" s="65" customFormat="1"/>
    <row r="138" s="65" customFormat="1"/>
    <row r="139" s="65" customFormat="1"/>
    <row r="140" s="65" customFormat="1"/>
    <row r="141" s="65" customFormat="1"/>
    <row r="142" s="65" customFormat="1"/>
    <row r="143" s="65" customFormat="1"/>
    <row r="144" s="65" customFormat="1"/>
    <row r="145" s="65" customFormat="1"/>
    <row r="146" s="65" customFormat="1"/>
    <row r="147" s="65" customFormat="1"/>
    <row r="148" s="65" customFormat="1"/>
    <row r="149" s="65" customFormat="1"/>
    <row r="150" s="65" customFormat="1"/>
    <row r="151" s="65" customFormat="1"/>
    <row r="152" s="65" customFormat="1"/>
    <row r="153" s="65" customFormat="1"/>
    <row r="154" s="65" customFormat="1"/>
    <row r="155" s="65" customFormat="1"/>
    <row r="156" s="65" customFormat="1"/>
    <row r="157" s="65" customFormat="1"/>
    <row r="158" s="65" customFormat="1"/>
    <row r="159" s="65" customFormat="1"/>
    <row r="160" s="65" customFormat="1"/>
    <row r="161" s="65" customFormat="1"/>
    <row r="162" s="65" customFormat="1"/>
    <row r="163" s="65" customFormat="1"/>
    <row r="164" s="65" customFormat="1"/>
    <row r="165" s="65" customFormat="1"/>
    <row r="166" s="65" customFormat="1"/>
    <row r="167" s="65" customFormat="1"/>
    <row r="168" s="65" customFormat="1"/>
    <row r="169" s="65" customFormat="1"/>
    <row r="170" s="65" customFormat="1"/>
    <row r="171" s="65" customFormat="1"/>
    <row r="172" s="65" customFormat="1"/>
    <row r="173" s="65" customFormat="1"/>
    <row r="174" s="65" customFormat="1"/>
    <row r="175" s="65" customFormat="1"/>
    <row r="176" s="65" customFormat="1"/>
    <row r="177" s="65" customFormat="1"/>
    <row r="178" s="65" customFormat="1"/>
    <row r="179" s="65" customFormat="1"/>
    <row r="180" s="65" customFormat="1"/>
    <row r="181" s="65" customFormat="1"/>
    <row r="182" s="65" customFormat="1"/>
    <row r="183" s="65" customFormat="1"/>
    <row r="184" s="65" customFormat="1"/>
    <row r="185" s="65" customFormat="1"/>
    <row r="186" s="65" customFormat="1"/>
    <row r="187" s="65" customFormat="1"/>
    <row r="188" s="65" customFormat="1"/>
    <row r="189" s="65" customFormat="1"/>
    <row r="190" s="65" customFormat="1"/>
    <row r="191" s="65" customFormat="1"/>
    <row r="192" s="65" customFormat="1"/>
    <row r="193" s="65" customFormat="1"/>
    <row r="194" s="65" customFormat="1"/>
    <row r="195" s="65" customFormat="1"/>
    <row r="196" s="65" customFormat="1"/>
    <row r="197" s="65" customFormat="1"/>
    <row r="198" s="65" customFormat="1"/>
    <row r="199" s="65" customFormat="1"/>
    <row r="200" s="65" customFormat="1"/>
    <row r="201" s="65" customFormat="1"/>
    <row r="202" s="65" customFormat="1"/>
    <row r="203" s="65" customFormat="1"/>
    <row r="204" s="65" customFormat="1"/>
    <row r="205" s="65" customFormat="1"/>
    <row r="206" s="65" customFormat="1"/>
    <row r="207" s="65" customFormat="1"/>
    <row r="208" s="65" customFormat="1"/>
    <row r="209" s="65" customFormat="1"/>
    <row r="210" s="65" customFormat="1"/>
    <row r="211" s="65" customFormat="1"/>
    <row r="212" s="65" customFormat="1"/>
    <row r="213" s="65" customFormat="1"/>
    <row r="214" s="65" customFormat="1"/>
    <row r="215" s="65" customFormat="1"/>
    <row r="216" s="65" customFormat="1"/>
    <row r="217" s="65" customFormat="1"/>
    <row r="218" s="65" customFormat="1"/>
    <row r="219" s="65" customFormat="1"/>
    <row r="220" s="65" customFormat="1"/>
    <row r="221" s="65" customFormat="1"/>
    <row r="222" s="65" customFormat="1"/>
    <row r="223" s="65" customFormat="1"/>
    <row r="224" s="65" customFormat="1"/>
    <row r="225" s="65" customFormat="1"/>
    <row r="226" s="65" customFormat="1"/>
    <row r="227" s="65" customFormat="1"/>
    <row r="228" s="65" customFormat="1"/>
    <row r="229" s="65" customFormat="1"/>
    <row r="230" s="65" customFormat="1"/>
    <row r="231" s="65" customFormat="1"/>
    <row r="232" s="65" customFormat="1"/>
    <row r="233" s="65" customFormat="1"/>
    <row r="234" s="65" customFormat="1"/>
    <row r="235" s="65" customFormat="1"/>
    <row r="236" s="65" customFormat="1"/>
    <row r="237" s="65" customFormat="1"/>
    <row r="238" s="65" customFormat="1"/>
    <row r="239" s="65" customFormat="1"/>
    <row r="240" s="65" customFormat="1"/>
    <row r="241" s="65" customFormat="1"/>
    <row r="242" s="65" customFormat="1"/>
    <row r="243" s="65" customFormat="1"/>
    <row r="244" s="65" customFormat="1"/>
    <row r="245" s="65" customFormat="1"/>
    <row r="246" s="65" customFormat="1"/>
    <row r="247" s="65" customFormat="1"/>
    <row r="248" s="65" customFormat="1"/>
    <row r="249" s="65" customFormat="1"/>
    <row r="250" s="65" customFormat="1"/>
    <row r="251" s="65" customFormat="1"/>
    <row r="252" s="65" customFormat="1"/>
    <row r="253" s="65" customFormat="1"/>
    <row r="254" s="65" customFormat="1"/>
    <row r="255" s="65" customFormat="1"/>
    <row r="256" s="65" customFormat="1"/>
    <row r="257" s="65" customFormat="1"/>
    <row r="258" s="65" customFormat="1"/>
    <row r="259" s="65" customFormat="1"/>
    <row r="260" s="65" customFormat="1"/>
    <row r="261" s="65" customFormat="1"/>
    <row r="262" s="65" customFormat="1"/>
    <row r="263" s="65" customFormat="1"/>
    <row r="264" s="65" customFormat="1"/>
    <row r="265" s="65" customFormat="1"/>
    <row r="266" s="65" customFormat="1"/>
    <row r="267" s="65" customFormat="1"/>
    <row r="268" s="65" customFormat="1"/>
    <row r="269" s="65" customFormat="1"/>
    <row r="270" s="65" customFormat="1"/>
    <row r="271" s="65" customFormat="1"/>
    <row r="272" s="65" customFormat="1"/>
    <row r="273" s="65" customFormat="1"/>
    <row r="274" s="65" customFormat="1"/>
    <row r="275" s="65" customFormat="1"/>
    <row r="276" s="65" customFormat="1"/>
    <row r="277" s="65" customFormat="1"/>
    <row r="278" s="65" customFormat="1"/>
    <row r="279" s="65" customFormat="1"/>
    <row r="280" s="65" customFormat="1"/>
    <row r="281" s="65" customFormat="1"/>
    <row r="282" s="65" customFormat="1"/>
    <row r="283" s="65" customFormat="1"/>
    <row r="284" s="65" customFormat="1"/>
    <row r="285" s="65" customFormat="1"/>
    <row r="286" s="65" customFormat="1"/>
    <row r="287" s="65" customFormat="1"/>
    <row r="288" s="65" customFormat="1"/>
    <row r="289" spans="5:8" s="65" customFormat="1"/>
    <row r="290" spans="5:8" s="65" customFormat="1"/>
    <row r="291" spans="5:8" s="65" customFormat="1"/>
    <row r="292" spans="5:8" s="65" customFormat="1"/>
    <row r="293" spans="5:8" s="65" customFormat="1"/>
    <row r="294" spans="5:8" s="65" customFormat="1"/>
    <row r="295" spans="5:8" s="65" customFormat="1">
      <c r="E295"/>
      <c r="F295"/>
      <c r="G295"/>
      <c r="H295"/>
    </row>
    <row r="296" spans="5:8" s="65" customFormat="1">
      <c r="E296"/>
      <c r="F296"/>
      <c r="G296"/>
      <c r="H296"/>
    </row>
    <row r="297" spans="5:8" s="65" customFormat="1">
      <c r="E297"/>
      <c r="F297"/>
      <c r="G297"/>
      <c r="H297"/>
    </row>
    <row r="298" spans="5:8" s="65" customFormat="1">
      <c r="E298"/>
      <c r="F298"/>
      <c r="G298"/>
      <c r="H298"/>
    </row>
    <row r="299" spans="5:8" s="65" customFormat="1">
      <c r="E299"/>
      <c r="F299"/>
      <c r="G299"/>
      <c r="H299"/>
    </row>
    <row r="300" spans="5:8" s="65" customFormat="1">
      <c r="E300"/>
      <c r="F300"/>
      <c r="G300"/>
      <c r="H300"/>
    </row>
    <row r="301" spans="5:8" s="65" customFormat="1">
      <c r="E301"/>
      <c r="F301"/>
      <c r="G301"/>
      <c r="H301"/>
    </row>
    <row r="302" spans="5:8" s="65" customFormat="1">
      <c r="E302"/>
      <c r="F302"/>
      <c r="G302"/>
      <c r="H302"/>
    </row>
    <row r="303" spans="5:8" s="65" customFormat="1">
      <c r="E303"/>
      <c r="F303"/>
      <c r="G303"/>
      <c r="H303"/>
    </row>
    <row r="304" spans="5:8" s="65" customFormat="1">
      <c r="E304"/>
      <c r="F304"/>
      <c r="G304"/>
      <c r="H304"/>
    </row>
    <row r="305" spans="5:8" s="65" customFormat="1">
      <c r="E305"/>
      <c r="F305"/>
      <c r="G305"/>
      <c r="H305"/>
    </row>
  </sheetData>
  <mergeCells count="4">
    <mergeCell ref="A3:B3"/>
    <mergeCell ref="A5:B5"/>
    <mergeCell ref="A4:B4"/>
    <mergeCell ref="E3:H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4499-5B98-475D-A8C2-A2102FBEED6C}">
  <sheetPr>
    <tabColor theme="6"/>
    <pageSetUpPr fitToPage="1"/>
  </sheetPr>
  <dimension ref="A1:AZ286"/>
  <sheetViews>
    <sheetView workbookViewId="0">
      <selection activeCell="H24" sqref="H24"/>
    </sheetView>
  </sheetViews>
  <sheetFormatPr defaultRowHeight="13.2"/>
  <cols>
    <col min="1" max="1" width="39.44140625" customWidth="1"/>
    <col min="2" max="2" width="13" customWidth="1"/>
    <col min="3" max="3" width="12.6640625" customWidth="1"/>
    <col min="4" max="4" width="13" customWidth="1"/>
    <col min="5" max="5" width="15.44140625" customWidth="1"/>
    <col min="6" max="6" width="14.33203125" customWidth="1"/>
    <col min="7" max="7" width="14.109375" customWidth="1"/>
    <col min="8" max="8" width="40.44140625" bestFit="1" customWidth="1"/>
    <col min="9" max="9" width="11.6640625" customWidth="1"/>
    <col min="10" max="10" width="14.88671875" bestFit="1" customWidth="1"/>
    <col min="11" max="11" width="16.6640625" bestFit="1" customWidth="1"/>
    <col min="12" max="12" width="12.6640625" customWidth="1"/>
    <col min="13" max="13" width="18" customWidth="1"/>
    <col min="14" max="14" width="22.33203125" customWidth="1"/>
  </cols>
  <sheetData>
    <row r="1" spans="1:52" ht="20.399999999999999">
      <c r="A1" s="217" t="s">
        <v>44</v>
      </c>
      <c r="B1" s="366" t="s">
        <v>179</v>
      </c>
      <c r="C1" s="366"/>
      <c r="D1" s="366"/>
      <c r="E1" s="3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</row>
    <row r="2" spans="1:52" ht="20.399999999999999">
      <c r="A2" s="217"/>
      <c r="B2" s="367" t="s">
        <v>50</v>
      </c>
      <c r="C2" s="367"/>
      <c r="D2" s="368">
        <f>D28</f>
        <v>-1480000</v>
      </c>
      <c r="E2" s="36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52" ht="20.399999999999999">
      <c r="A3" s="217"/>
      <c r="B3" s="367" t="s">
        <v>51</v>
      </c>
      <c r="C3" s="367"/>
      <c r="D3" s="368">
        <f>E28</f>
        <v>-463436.90407695202</v>
      </c>
      <c r="E3" s="368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</row>
    <row r="4" spans="1:52" ht="20.399999999999999">
      <c r="A4" s="21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</row>
    <row r="5" spans="1:52" ht="10.95" customHeight="1">
      <c r="A5" s="65"/>
      <c r="B5" s="65"/>
      <c r="C5" s="65"/>
      <c r="D5" s="65"/>
      <c r="E5" s="65"/>
      <c r="F5" s="117"/>
      <c r="G5" s="117"/>
      <c r="H5" s="117"/>
      <c r="I5" s="117"/>
      <c r="J5" s="117"/>
      <c r="K5" s="117"/>
      <c r="L5" s="118"/>
      <c r="M5" s="118"/>
      <c r="N5" s="118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</row>
    <row r="6" spans="1:52" ht="13.8">
      <c r="A6" s="369" t="s">
        <v>177</v>
      </c>
      <c r="B6" s="369"/>
      <c r="C6" s="369"/>
      <c r="D6" s="369"/>
      <c r="E6" s="369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</row>
    <row r="7" spans="1:52" ht="43.95" customHeight="1" thickBot="1">
      <c r="A7" s="6" t="s">
        <v>39</v>
      </c>
      <c r="B7" s="6" t="s">
        <v>45</v>
      </c>
      <c r="C7" s="6" t="s">
        <v>46</v>
      </c>
      <c r="D7" s="6" t="s">
        <v>47</v>
      </c>
      <c r="E7" s="270" t="s">
        <v>178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</row>
    <row r="8" spans="1:52" ht="14.4" thickTop="1">
      <c r="A8" s="194">
        <v>2029</v>
      </c>
      <c r="B8" s="127">
        <f>E35</f>
        <v>0</v>
      </c>
      <c r="C8" s="128">
        <f>B35</f>
        <v>150000</v>
      </c>
      <c r="D8" s="130">
        <f>((C8)-(B8))*-1</f>
        <v>-150000</v>
      </c>
      <c r="E8" s="130">
        <f>D8*INDEX(NPV!$C$3:$C$42,MATCH(Maintenance!A8,NPV!$B$3:$B$42,0))</f>
        <v>-81590.061387622205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</row>
    <row r="9" spans="1:52" ht="13.8">
      <c r="A9" s="194">
        <f t="shared" ref="A9:A27" si="0">A8+1</f>
        <v>2030</v>
      </c>
      <c r="B9" s="127">
        <f t="shared" ref="B9:B12" si="1">E36</f>
        <v>0</v>
      </c>
      <c r="C9" s="128">
        <f t="shared" ref="C9:C27" si="2">B36</f>
        <v>85000</v>
      </c>
      <c r="D9" s="130">
        <f t="shared" ref="D9:D26" si="3">((C9)-(B9))*-1</f>
        <v>-85000</v>
      </c>
      <c r="E9" s="130">
        <f>D9*INDEX(NPV!$C$3:$C$42,MATCH(Maintenance!A9,NPV!$B$3:$B$42,0))</f>
        <v>-43209.689831451011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</row>
    <row r="10" spans="1:52" ht="13.8">
      <c r="A10" s="194">
        <f t="shared" si="0"/>
        <v>2031</v>
      </c>
      <c r="B10" s="127">
        <f t="shared" si="1"/>
        <v>0</v>
      </c>
      <c r="C10" s="128">
        <f t="shared" si="2"/>
        <v>0</v>
      </c>
      <c r="D10" s="130">
        <f t="shared" si="3"/>
        <v>0</v>
      </c>
      <c r="E10" s="130">
        <f>D10*INDEX(NPV!$C$3:$C$42,MATCH(Maintenance!A10,NPV!$B$3:$B$42,0))</f>
        <v>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</row>
    <row r="11" spans="1:52" ht="13.8">
      <c r="A11" s="194">
        <f t="shared" si="0"/>
        <v>2032</v>
      </c>
      <c r="B11" s="127">
        <f t="shared" si="1"/>
        <v>0</v>
      </c>
      <c r="C11" s="128">
        <f t="shared" si="2"/>
        <v>85000</v>
      </c>
      <c r="D11" s="130">
        <f t="shared" si="3"/>
        <v>-85000</v>
      </c>
      <c r="E11" s="130">
        <f>D11*INDEX(NPV!$C$3:$C$42,MATCH(Maintenance!A11,NPV!$B$3:$B$42,0))</f>
        <v>-37741.016535462499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</row>
    <row r="12" spans="1:52" ht="13.8">
      <c r="A12" s="194">
        <f t="shared" si="0"/>
        <v>2033</v>
      </c>
      <c r="B12" s="127">
        <f t="shared" si="1"/>
        <v>15000</v>
      </c>
      <c r="C12" s="128">
        <f t="shared" si="2"/>
        <v>135000</v>
      </c>
      <c r="D12" s="130">
        <f t="shared" si="3"/>
        <v>-120000</v>
      </c>
      <c r="E12" s="130">
        <f>D12*INDEX(NPV!$C$3:$C$42,MATCH(Maintenance!A12,NPV!$B$3:$B$42,0))</f>
        <v>-49795.733746624508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</row>
    <row r="13" spans="1:52" ht="13.8">
      <c r="A13" s="194">
        <f t="shared" si="0"/>
        <v>2034</v>
      </c>
      <c r="B13" s="127">
        <f t="shared" ref="B13:B27" si="4">E40</f>
        <v>0</v>
      </c>
      <c r="C13" s="128">
        <f t="shared" si="2"/>
        <v>85000</v>
      </c>
      <c r="D13" s="130">
        <f t="shared" si="3"/>
        <v>-85000</v>
      </c>
      <c r="E13" s="130">
        <f>D13*INDEX(NPV!$C$3:$C$42,MATCH(Maintenance!A13,NPV!$B$3:$B$42,0))</f>
        <v>-32964.465486472618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</row>
    <row r="14" spans="1:52" ht="13.8">
      <c r="A14" s="194">
        <f t="shared" si="0"/>
        <v>2035</v>
      </c>
      <c r="B14" s="127">
        <f t="shared" si="4"/>
        <v>0</v>
      </c>
      <c r="C14" s="128">
        <f t="shared" si="2"/>
        <v>0</v>
      </c>
      <c r="D14" s="130">
        <f t="shared" si="3"/>
        <v>0</v>
      </c>
      <c r="E14" s="130">
        <f>D14*INDEX(NPV!$C$3:$C$42,MATCH(Maintenance!A14,NPV!$B$3:$B$42,0))</f>
        <v>0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</row>
    <row r="15" spans="1:52" ht="14.4" customHeight="1">
      <c r="A15" s="194">
        <f t="shared" si="0"/>
        <v>2036</v>
      </c>
      <c r="B15" s="127">
        <f t="shared" si="4"/>
        <v>0</v>
      </c>
      <c r="C15" s="128">
        <f t="shared" si="2"/>
        <v>85000</v>
      </c>
      <c r="D15" s="130">
        <f t="shared" si="3"/>
        <v>-85000</v>
      </c>
      <c r="E15" s="130">
        <f>D15*INDEX(NPV!$C$3:$C$42,MATCH(Maintenance!A15,NPV!$B$3:$B$42,0))</f>
        <v>-28792.440812710818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</row>
    <row r="16" spans="1:52" ht="13.8">
      <c r="A16" s="194">
        <f t="shared" si="0"/>
        <v>2037</v>
      </c>
      <c r="B16" s="127">
        <f t="shared" si="4"/>
        <v>0</v>
      </c>
      <c r="C16" s="128">
        <f t="shared" si="2"/>
        <v>0</v>
      </c>
      <c r="D16" s="130">
        <f t="shared" si="3"/>
        <v>0</v>
      </c>
      <c r="E16" s="130">
        <f>D16*INDEX(NPV!$C$3:$C$42,MATCH(Maintenance!A16,NPV!$B$3:$B$42,0))</f>
        <v>0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</row>
    <row r="17" spans="1:52" ht="13.8">
      <c r="A17" s="194">
        <f t="shared" si="0"/>
        <v>2038</v>
      </c>
      <c r="B17" s="127">
        <f t="shared" si="4"/>
        <v>15000</v>
      </c>
      <c r="C17" s="128">
        <f t="shared" si="2"/>
        <v>220000</v>
      </c>
      <c r="D17" s="130">
        <f t="shared" si="3"/>
        <v>-205000</v>
      </c>
      <c r="E17" s="130">
        <f>D17*INDEX(NPV!$C$3:$C$42,MATCH(Maintenance!A17,NPV!$B$3:$B$42,0))</f>
        <v>-60652.102845927642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</row>
    <row r="18" spans="1:52" ht="14.4" customHeight="1">
      <c r="A18" s="194">
        <f t="shared" si="0"/>
        <v>2039</v>
      </c>
      <c r="B18" s="127">
        <f t="shared" si="4"/>
        <v>0</v>
      </c>
      <c r="C18" s="128">
        <f t="shared" si="2"/>
        <v>0</v>
      </c>
      <c r="D18" s="130">
        <f t="shared" si="3"/>
        <v>0</v>
      </c>
      <c r="E18" s="130">
        <f>D18*INDEX(NPV!$C$3:$C$42,MATCH(Maintenance!A18,NPV!$B$3:$B$42,0))</f>
        <v>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</row>
    <row r="19" spans="1:52" ht="13.8">
      <c r="A19" s="194">
        <f t="shared" si="0"/>
        <v>2040</v>
      </c>
      <c r="B19" s="127">
        <f t="shared" si="4"/>
        <v>0</v>
      </c>
      <c r="C19" s="128">
        <f t="shared" si="2"/>
        <v>85000</v>
      </c>
      <c r="D19" s="130">
        <f t="shared" si="3"/>
        <v>-85000</v>
      </c>
      <c r="E19" s="130">
        <f>D19*INDEX(NPV!$C$3:$C$42,MATCH(Maintenance!A19,NPV!$B$3:$B$42,0))</f>
        <v>-21965.615239178838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</row>
    <row r="20" spans="1:52" ht="13.8">
      <c r="A20" s="194">
        <f t="shared" si="0"/>
        <v>2041</v>
      </c>
      <c r="B20" s="127">
        <f t="shared" si="4"/>
        <v>0</v>
      </c>
      <c r="C20" s="128">
        <f t="shared" si="2"/>
        <v>0</v>
      </c>
      <c r="D20" s="130">
        <f t="shared" si="3"/>
        <v>0</v>
      </c>
      <c r="E20" s="130">
        <f>D20*INDEX(NPV!$C$3:$C$42,MATCH(Maintenance!A20,NPV!$B$3:$B$42,0))</f>
        <v>0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</row>
    <row r="21" spans="1:52" ht="13.8">
      <c r="A21" s="194">
        <f t="shared" si="0"/>
        <v>2042</v>
      </c>
      <c r="B21" s="127">
        <f t="shared" si="4"/>
        <v>0</v>
      </c>
      <c r="C21" s="128">
        <f t="shared" si="2"/>
        <v>85000</v>
      </c>
      <c r="D21" s="130">
        <f t="shared" si="3"/>
        <v>-85000</v>
      </c>
      <c r="E21" s="130">
        <f>D21*INDEX(NPV!$C$3:$C$42,MATCH(Maintenance!A21,NPV!$B$3:$B$42,0))</f>
        <v>-19185.619040247042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</row>
    <row r="22" spans="1:52" ht="13.8">
      <c r="A22" s="194">
        <f t="shared" si="0"/>
        <v>2043</v>
      </c>
      <c r="B22" s="127">
        <f t="shared" si="4"/>
        <v>15000</v>
      </c>
      <c r="C22" s="128">
        <f t="shared" si="2"/>
        <v>135000</v>
      </c>
      <c r="D22" s="130">
        <f t="shared" si="3"/>
        <v>-120000</v>
      </c>
      <c r="E22" s="130">
        <f>D22*INDEX(NPV!$C$3:$C$42,MATCH(Maintenance!A22,NPV!$B$3:$B$42,0))</f>
        <v>-25313.626001425455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</row>
    <row r="23" spans="1:52" ht="13.8">
      <c r="A23" s="194">
        <f t="shared" si="0"/>
        <v>2044</v>
      </c>
      <c r="B23" s="127">
        <f t="shared" si="4"/>
        <v>0</v>
      </c>
      <c r="C23" s="128">
        <f t="shared" si="2"/>
        <v>85000</v>
      </c>
      <c r="D23" s="130">
        <f t="shared" si="3"/>
        <v>-85000</v>
      </c>
      <c r="E23" s="130">
        <f>D23*INDEX(NPV!$C$3:$C$42,MATCH(Maintenance!A23,NPV!$B$3:$B$42,0))</f>
        <v>-16757.462695647693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</row>
    <row r="24" spans="1:52" ht="14.4">
      <c r="A24" s="194">
        <f t="shared" si="0"/>
        <v>2045</v>
      </c>
      <c r="B24" s="127">
        <f t="shared" si="4"/>
        <v>0</v>
      </c>
      <c r="C24" s="128">
        <f t="shared" si="2"/>
        <v>0</v>
      </c>
      <c r="D24" s="130">
        <f t="shared" si="3"/>
        <v>0</v>
      </c>
      <c r="E24" s="130">
        <f>D24*INDEX(NPV!$C$3:$C$42,MATCH(Maintenance!A24,NPV!$B$3:$B$42,0))</f>
        <v>0</v>
      </c>
      <c r="F24" s="65"/>
      <c r="G24" s="65"/>
      <c r="H24" s="65"/>
      <c r="I24" s="65"/>
      <c r="J24" s="119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</row>
    <row r="25" spans="1:52" ht="14.4">
      <c r="A25" s="194">
        <f t="shared" si="0"/>
        <v>2046</v>
      </c>
      <c r="B25" s="127">
        <f t="shared" si="4"/>
        <v>0</v>
      </c>
      <c r="C25" s="128">
        <f t="shared" si="2"/>
        <v>85000</v>
      </c>
      <c r="D25" s="130">
        <f t="shared" si="3"/>
        <v>-85000</v>
      </c>
      <c r="E25" s="130">
        <f>D25*INDEX(NPV!$C$3:$C$42,MATCH(Maintenance!A25,NPV!$B$3:$B$42,0))</f>
        <v>-14636.616905972305</v>
      </c>
      <c r="F25" s="65"/>
      <c r="G25" s="65"/>
      <c r="H25" s="65"/>
      <c r="I25" s="65"/>
      <c r="J25" s="119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</row>
    <row r="26" spans="1:52" ht="14.4">
      <c r="A26" s="194">
        <f t="shared" si="0"/>
        <v>2047</v>
      </c>
      <c r="B26" s="127">
        <f t="shared" si="4"/>
        <v>0</v>
      </c>
      <c r="C26" s="128">
        <f t="shared" si="2"/>
        <v>0</v>
      </c>
      <c r="D26" s="130">
        <f t="shared" si="3"/>
        <v>0</v>
      </c>
      <c r="E26" s="130">
        <f>D26*INDEX(NPV!$C$3:$C$42,MATCH(Maintenance!A26,NPV!$B$3:$B$42,0))</f>
        <v>0</v>
      </c>
      <c r="F26" s="65"/>
      <c r="G26" s="65"/>
      <c r="H26" s="65"/>
      <c r="I26" s="65"/>
      <c r="J26" s="119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</row>
    <row r="27" spans="1:52" ht="15" thickBot="1">
      <c r="A27" s="195">
        <f t="shared" si="0"/>
        <v>2048</v>
      </c>
      <c r="B27" s="131">
        <f t="shared" si="4"/>
        <v>15000</v>
      </c>
      <c r="C27" s="132">
        <f t="shared" si="2"/>
        <v>220000</v>
      </c>
      <c r="D27" s="132">
        <f>((C27)-(B27))*-1</f>
        <v>-205000</v>
      </c>
      <c r="E27" s="132">
        <f>D27*INDEX(NPV!$C$3:$C$42,MATCH(Maintenance!A27,NPV!$B$3:$B$42,0))</f>
        <v>-30832.453548209422</v>
      </c>
      <c r="F27" s="65"/>
      <c r="G27" s="65"/>
      <c r="H27" s="65"/>
      <c r="I27" s="65"/>
      <c r="J27" s="119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</row>
    <row r="28" spans="1:52" ht="14.4" thickTop="1">
      <c r="A28" s="196" t="s">
        <v>16</v>
      </c>
      <c r="B28" s="134">
        <f>SUM(B8:B27)</f>
        <v>60000</v>
      </c>
      <c r="C28" s="134">
        <f>SUM(C8:C27)</f>
        <v>1540000</v>
      </c>
      <c r="D28" s="134">
        <f>SUM(D8:D27)</f>
        <v>-1480000</v>
      </c>
      <c r="E28" s="134">
        <f>SUM(E8:E27)</f>
        <v>-463436.90407695202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</row>
    <row r="29" spans="1:5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</row>
    <row r="30" spans="1:5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</row>
    <row r="31" spans="1:5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</row>
    <row r="32" spans="1:52" ht="13.8">
      <c r="A32" s="373" t="s">
        <v>54</v>
      </c>
      <c r="B32" s="373"/>
      <c r="C32" s="65"/>
      <c r="D32" s="373" t="s">
        <v>53</v>
      </c>
      <c r="E32" s="373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</row>
    <row r="33" spans="1:52">
      <c r="A33" s="374" t="s">
        <v>39</v>
      </c>
      <c r="B33" s="370" t="s">
        <v>176</v>
      </c>
      <c r="C33" s="65"/>
      <c r="D33" s="374" t="s">
        <v>39</v>
      </c>
      <c r="E33" s="370" t="s">
        <v>176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</row>
    <row r="34" spans="1:52">
      <c r="A34" s="375"/>
      <c r="B34" s="371"/>
      <c r="C34" s="65"/>
      <c r="D34" s="375"/>
      <c r="E34" s="37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</row>
    <row r="35" spans="1:52" ht="13.8">
      <c r="A35" s="274">
        <v>2029</v>
      </c>
      <c r="B35" s="275">
        <v>150000</v>
      </c>
      <c r="C35" s="65"/>
      <c r="D35" s="274">
        <v>2029</v>
      </c>
      <c r="E35" s="27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</row>
    <row r="36" spans="1:52" ht="13.8">
      <c r="A36" s="274">
        <f>A35+1</f>
        <v>2030</v>
      </c>
      <c r="B36" s="275">
        <v>85000</v>
      </c>
      <c r="C36" s="65"/>
      <c r="D36" s="274">
        <f>D35+1</f>
        <v>2030</v>
      </c>
      <c r="E36" s="27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</row>
    <row r="37" spans="1:52" ht="13.8">
      <c r="A37" s="274">
        <f t="shared" ref="A37:A54" si="5">A36+1</f>
        <v>2031</v>
      </c>
      <c r="B37" s="275"/>
      <c r="C37" s="65"/>
      <c r="D37" s="274">
        <f t="shared" ref="D37:D54" si="6">D36+1</f>
        <v>2031</v>
      </c>
      <c r="E37" s="27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</row>
    <row r="38" spans="1:52" ht="13.8">
      <c r="A38" s="274">
        <f t="shared" si="5"/>
        <v>2032</v>
      </c>
      <c r="B38" s="275">
        <v>85000</v>
      </c>
      <c r="C38" s="65"/>
      <c r="D38" s="274">
        <f t="shared" si="6"/>
        <v>2032</v>
      </c>
      <c r="E38" s="27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</row>
    <row r="39" spans="1:52" ht="13.8">
      <c r="A39" s="274">
        <f t="shared" si="5"/>
        <v>2033</v>
      </c>
      <c r="B39" s="275">
        <v>135000</v>
      </c>
      <c r="C39" s="65"/>
      <c r="D39" s="274">
        <f t="shared" si="6"/>
        <v>2033</v>
      </c>
      <c r="E39" s="275">
        <v>15000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</row>
    <row r="40" spans="1:52" ht="13.8">
      <c r="A40" s="274">
        <f t="shared" si="5"/>
        <v>2034</v>
      </c>
      <c r="B40" s="275">
        <v>85000</v>
      </c>
      <c r="C40" s="65"/>
      <c r="D40" s="274">
        <f t="shared" si="6"/>
        <v>2034</v>
      </c>
      <c r="E40" s="27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</row>
    <row r="41" spans="1:52" ht="13.8">
      <c r="A41" s="274">
        <f t="shared" si="5"/>
        <v>2035</v>
      </c>
      <c r="B41" s="275"/>
      <c r="C41" s="65"/>
      <c r="D41" s="274">
        <f t="shared" si="6"/>
        <v>2035</v>
      </c>
      <c r="E41" s="27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</row>
    <row r="42" spans="1:52" ht="13.8">
      <c r="A42" s="274">
        <f t="shared" si="5"/>
        <v>2036</v>
      </c>
      <c r="B42" s="275">
        <v>85000</v>
      </c>
      <c r="C42" s="65"/>
      <c r="D42" s="274">
        <f t="shared" si="6"/>
        <v>2036</v>
      </c>
      <c r="E42" s="27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</row>
    <row r="43" spans="1:52" ht="13.8">
      <c r="A43" s="274">
        <f t="shared" si="5"/>
        <v>2037</v>
      </c>
      <c r="B43" s="275"/>
      <c r="C43" s="65"/>
      <c r="D43" s="274">
        <f t="shared" si="6"/>
        <v>2037</v>
      </c>
      <c r="E43" s="27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</row>
    <row r="44" spans="1:52" ht="13.8">
      <c r="A44" s="274">
        <f t="shared" si="5"/>
        <v>2038</v>
      </c>
      <c r="B44" s="275">
        <v>220000</v>
      </c>
      <c r="C44" s="65"/>
      <c r="D44" s="274">
        <f t="shared" si="6"/>
        <v>2038</v>
      </c>
      <c r="E44" s="275">
        <v>15000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</row>
    <row r="45" spans="1:52" ht="13.8">
      <c r="A45" s="274">
        <f t="shared" si="5"/>
        <v>2039</v>
      </c>
      <c r="B45" s="275"/>
      <c r="C45" s="65"/>
      <c r="D45" s="274">
        <f t="shared" si="6"/>
        <v>2039</v>
      </c>
      <c r="E45" s="27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</row>
    <row r="46" spans="1:52" ht="13.8">
      <c r="A46" s="274">
        <f t="shared" si="5"/>
        <v>2040</v>
      </c>
      <c r="B46" s="275">
        <v>85000</v>
      </c>
      <c r="C46" s="65"/>
      <c r="D46" s="274">
        <f t="shared" si="6"/>
        <v>2040</v>
      </c>
      <c r="E46" s="27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</row>
    <row r="47" spans="1:52" ht="13.8">
      <c r="A47" s="274">
        <f t="shared" si="5"/>
        <v>2041</v>
      </c>
      <c r="B47" s="275"/>
      <c r="C47" s="65"/>
      <c r="D47" s="274">
        <f t="shared" si="6"/>
        <v>2041</v>
      </c>
      <c r="E47" s="27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</row>
    <row r="48" spans="1:52" ht="13.8">
      <c r="A48" s="274">
        <f t="shared" si="5"/>
        <v>2042</v>
      </c>
      <c r="B48" s="275">
        <v>85000</v>
      </c>
      <c r="C48" s="65"/>
      <c r="D48" s="274">
        <f t="shared" si="6"/>
        <v>2042</v>
      </c>
      <c r="E48" s="27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</row>
    <row r="49" spans="1:52" ht="13.8">
      <c r="A49" s="274">
        <f t="shared" si="5"/>
        <v>2043</v>
      </c>
      <c r="B49" s="275">
        <v>135000</v>
      </c>
      <c r="C49" s="65"/>
      <c r="D49" s="274">
        <f t="shared" si="6"/>
        <v>2043</v>
      </c>
      <c r="E49" s="275">
        <v>15000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</row>
    <row r="50" spans="1:52" ht="13.8">
      <c r="A50" s="274">
        <f t="shared" si="5"/>
        <v>2044</v>
      </c>
      <c r="B50" s="275">
        <v>85000</v>
      </c>
      <c r="C50" s="65"/>
      <c r="D50" s="274">
        <f t="shared" si="6"/>
        <v>2044</v>
      </c>
      <c r="E50" s="27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</row>
    <row r="51" spans="1:52" ht="13.8">
      <c r="A51" s="274">
        <f t="shared" si="5"/>
        <v>2045</v>
      </c>
      <c r="B51" s="275"/>
      <c r="C51" s="65"/>
      <c r="D51" s="274">
        <f t="shared" si="6"/>
        <v>2045</v>
      </c>
      <c r="E51" s="27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</row>
    <row r="52" spans="1:52" ht="13.8">
      <c r="A52" s="274">
        <f t="shared" si="5"/>
        <v>2046</v>
      </c>
      <c r="B52" s="275">
        <v>85000</v>
      </c>
      <c r="C52" s="65"/>
      <c r="D52" s="274">
        <f t="shared" si="6"/>
        <v>2046</v>
      </c>
      <c r="E52" s="27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</row>
    <row r="53" spans="1:52" ht="13.8">
      <c r="A53" s="274">
        <f t="shared" si="5"/>
        <v>2047</v>
      </c>
      <c r="B53" s="275"/>
      <c r="C53" s="65"/>
      <c r="D53" s="274">
        <f t="shared" si="6"/>
        <v>2047</v>
      </c>
      <c r="E53" s="27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</row>
    <row r="54" spans="1:52" ht="14.4" thickBot="1">
      <c r="A54" s="276">
        <f t="shared" si="5"/>
        <v>2048</v>
      </c>
      <c r="B54" s="277">
        <v>220000</v>
      </c>
      <c r="C54" s="65"/>
      <c r="D54" s="276">
        <f t="shared" si="6"/>
        <v>2048</v>
      </c>
      <c r="E54" s="277">
        <v>15000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</row>
    <row r="55" spans="1:52" ht="14.4" thickTop="1">
      <c r="A55" s="278" t="s">
        <v>16</v>
      </c>
      <c r="B55" s="279">
        <f>SUM(B35:B54)</f>
        <v>1540000</v>
      </c>
      <c r="C55" s="65"/>
      <c r="D55" s="278" t="s">
        <v>16</v>
      </c>
      <c r="E55" s="279">
        <f>SUM(E35:E54)</f>
        <v>60000</v>
      </c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</row>
    <row r="56" spans="1:52">
      <c r="A56" s="372" t="s">
        <v>48</v>
      </c>
      <c r="B56" s="372"/>
      <c r="C56" s="65"/>
      <c r="D56" s="372" t="s">
        <v>48</v>
      </c>
      <c r="E56" s="372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</row>
    <row r="57" spans="1:52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</row>
    <row r="58" spans="1:52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</row>
    <row r="59" spans="1:52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</row>
    <row r="60" spans="1:52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</row>
    <row r="61" spans="1:5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</row>
    <row r="62" spans="1:5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</row>
    <row r="63" spans="1:5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</row>
    <row r="64" spans="1:52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</row>
    <row r="65" spans="1:5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</row>
    <row r="66" spans="1:5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</row>
    <row r="67" spans="1:52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</row>
    <row r="68" spans="1:52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</row>
    <row r="69" spans="1:52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</row>
    <row r="70" spans="1:52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</row>
    <row r="71" spans="1:52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</row>
    <row r="72" spans="1:52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</row>
    <row r="73" spans="1:52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</row>
    <row r="74" spans="1:52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</row>
    <row r="75" spans="1:52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</row>
    <row r="76" spans="1:52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</row>
    <row r="77" spans="1:52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</row>
    <row r="78" spans="1:52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</row>
    <row r="79" spans="1:52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</row>
    <row r="80" spans="1:52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</row>
    <row r="81" spans="1:52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</row>
    <row r="82" spans="1:52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</row>
    <row r="83" spans="1:52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</row>
    <row r="84" spans="1:52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</row>
    <row r="85" spans="1:52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</row>
    <row r="86" spans="1:52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</row>
    <row r="87" spans="1:52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</row>
    <row r="88" spans="1:52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</row>
    <row r="89" spans="1:52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</row>
    <row r="90" spans="1:52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</row>
    <row r="91" spans="1:52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</row>
    <row r="92" spans="1:52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</row>
    <row r="93" spans="1:52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</row>
    <row r="94" spans="1:52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</row>
    <row r="95" spans="1:52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</row>
    <row r="96" spans="1:52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</row>
    <row r="97" spans="1:52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</row>
    <row r="98" spans="1:52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</row>
    <row r="99" spans="1:52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</row>
    <row r="100" spans="1:52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</row>
    <row r="101" spans="1:52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</row>
    <row r="102" spans="1:52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</row>
    <row r="103" spans="1:52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</row>
    <row r="104" spans="1:52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</row>
    <row r="105" spans="1:52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</row>
    <row r="106" spans="1:52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</row>
    <row r="107" spans="1:52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</row>
    <row r="108" spans="1:52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</row>
    <row r="109" spans="1:52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</row>
    <row r="110" spans="1:52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</row>
    <row r="111" spans="1:52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</row>
    <row r="112" spans="1:52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</row>
    <row r="113" spans="1:52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</row>
    <row r="114" spans="1:52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</row>
    <row r="115" spans="1:52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</row>
    <row r="116" spans="1:52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</row>
    <row r="117" spans="1:52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</row>
    <row r="118" spans="1:52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</row>
    <row r="119" spans="1:52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</row>
    <row r="120" spans="1:52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</row>
    <row r="121" spans="1:52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</row>
    <row r="122" spans="1:52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</row>
    <row r="123" spans="1:52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</row>
    <row r="124" spans="1:52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</row>
    <row r="125" spans="1:52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</row>
    <row r="126" spans="1:52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</row>
    <row r="127" spans="1:52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</row>
    <row r="128" spans="1:52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</row>
    <row r="129" spans="1:52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</row>
    <row r="130" spans="1:52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</row>
    <row r="131" spans="1:52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</row>
    <row r="132" spans="1:52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</row>
    <row r="133" spans="1:52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</row>
    <row r="134" spans="1:52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</row>
    <row r="135" spans="1:52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</row>
    <row r="136" spans="1:52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</row>
    <row r="137" spans="1:52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</row>
    <row r="138" spans="1:52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</row>
    <row r="139" spans="1:52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</row>
    <row r="140" spans="1:52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</row>
    <row r="141" spans="1:52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</row>
    <row r="142" spans="1:52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</row>
    <row r="143" spans="1:52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</row>
    <row r="144" spans="1:52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</row>
    <row r="145" spans="1:52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</row>
    <row r="146" spans="1:52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</row>
    <row r="147" spans="1:52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</row>
    <row r="148" spans="1:52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</row>
    <row r="149" spans="1:52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</row>
    <row r="150" spans="1:52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</row>
    <row r="151" spans="1:52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</row>
    <row r="152" spans="1:52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</row>
    <row r="153" spans="1:52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</row>
    <row r="154" spans="1:52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</row>
    <row r="155" spans="1:52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</row>
    <row r="156" spans="1:52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</row>
    <row r="157" spans="1:52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</row>
    <row r="158" spans="1:52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</row>
    <row r="159" spans="1:52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</row>
    <row r="160" spans="1:52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</row>
    <row r="161" spans="1:52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</row>
    <row r="162" spans="1:52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</row>
    <row r="163" spans="1:52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</row>
    <row r="164" spans="1:52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</row>
    <row r="165" spans="1:52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</row>
    <row r="166" spans="1:52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</row>
    <row r="167" spans="1:52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</row>
    <row r="168" spans="1:52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</row>
    <row r="169" spans="1:52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</row>
    <row r="170" spans="1:52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</row>
    <row r="171" spans="1:52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</row>
    <row r="172" spans="1:52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</row>
    <row r="173" spans="1:52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</row>
    <row r="174" spans="1:52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</row>
    <row r="175" spans="1:52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</row>
    <row r="176" spans="1:52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</row>
    <row r="177" spans="1:52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</row>
    <row r="178" spans="1:52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</row>
    <row r="179" spans="1:52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</row>
    <row r="180" spans="1:52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</row>
    <row r="181" spans="1:52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</row>
    <row r="182" spans="1:52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</row>
    <row r="183" spans="1:52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</row>
    <row r="184" spans="1:52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</row>
    <row r="185" spans="1:52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</row>
    <row r="186" spans="1:52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</row>
    <row r="187" spans="1:52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</row>
    <row r="188" spans="1:52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</row>
    <row r="189" spans="1:52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</row>
    <row r="190" spans="1:52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</row>
    <row r="191" spans="1:52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</row>
    <row r="192" spans="1:52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</row>
    <row r="193" spans="1:52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</row>
    <row r="194" spans="1:52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</row>
    <row r="195" spans="1:52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</row>
    <row r="196" spans="1:52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</row>
    <row r="197" spans="1:52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</row>
    <row r="198" spans="1:52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</row>
    <row r="199" spans="1:52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</row>
    <row r="200" spans="1:52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</row>
    <row r="201" spans="1:52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</row>
    <row r="202" spans="1:52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</row>
    <row r="203" spans="1:52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</row>
    <row r="204" spans="1:52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</row>
    <row r="205" spans="1:52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</row>
    <row r="206" spans="1:52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</row>
    <row r="207" spans="1:52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</row>
    <row r="208" spans="1:52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</row>
    <row r="209" spans="1:52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</row>
    <row r="210" spans="1:52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</row>
    <row r="211" spans="1:52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</row>
    <row r="212" spans="1:52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</row>
    <row r="213" spans="1:52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</row>
    <row r="214" spans="1:52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</row>
    <row r="215" spans="1:52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</row>
    <row r="216" spans="1:52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</row>
    <row r="217" spans="1:52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</row>
    <row r="218" spans="1:52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</row>
    <row r="219" spans="1:52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</row>
    <row r="220" spans="1:52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</row>
    <row r="221" spans="1:52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</row>
    <row r="222" spans="1:52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</row>
    <row r="223" spans="1:52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</row>
    <row r="224" spans="1:52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</row>
    <row r="225" spans="1:52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</row>
    <row r="226" spans="1:52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</row>
    <row r="227" spans="1:52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</row>
    <row r="228" spans="1:52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</row>
    <row r="229" spans="1:52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</row>
    <row r="230" spans="1:52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</row>
    <row r="231" spans="1:52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</row>
    <row r="232" spans="1:52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</row>
    <row r="233" spans="1:52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</row>
    <row r="234" spans="1:52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</row>
    <row r="235" spans="1:52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</row>
    <row r="236" spans="1:52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</row>
    <row r="237" spans="1:52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</row>
    <row r="238" spans="1:52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</row>
    <row r="239" spans="1:52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</row>
    <row r="240" spans="1:52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</row>
    <row r="241" spans="1:52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</row>
    <row r="242" spans="1:52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</row>
    <row r="243" spans="1:52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</row>
    <row r="244" spans="1:52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</row>
    <row r="245" spans="1:52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</row>
    <row r="246" spans="1:52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</row>
    <row r="247" spans="1:52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</row>
    <row r="248" spans="1:52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</row>
    <row r="249" spans="1:52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</row>
    <row r="250" spans="1:52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</row>
    <row r="251" spans="1:52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</row>
    <row r="252" spans="1:52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</row>
    <row r="253" spans="1:52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</row>
    <row r="254" spans="1:52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</row>
    <row r="255" spans="1:52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</row>
    <row r="256" spans="1:52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</row>
    <row r="257" spans="1:52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</row>
    <row r="258" spans="1:52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</row>
    <row r="259" spans="1:52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</row>
    <row r="260" spans="1:52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</row>
    <row r="261" spans="1:52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</row>
    <row r="262" spans="1:52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</row>
    <row r="263" spans="1:52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</row>
    <row r="264" spans="1:52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</row>
    <row r="265" spans="1:52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</row>
    <row r="266" spans="1:52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</row>
    <row r="267" spans="1:52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</row>
    <row r="268" spans="1:52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</row>
    <row r="269" spans="1:52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</row>
    <row r="270" spans="1:52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</row>
    <row r="271" spans="1:52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</row>
    <row r="272" spans="1:52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</row>
    <row r="273" spans="1:52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</row>
    <row r="274" spans="1:52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</row>
    <row r="275" spans="1:52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</row>
    <row r="276" spans="1:52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</row>
    <row r="277" spans="1:52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</row>
    <row r="278" spans="1:52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</row>
    <row r="279" spans="1:52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</row>
    <row r="280" spans="1:52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</row>
    <row r="281" spans="1:52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</row>
    <row r="282" spans="1:52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</row>
    <row r="283" spans="1:52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</row>
    <row r="284" spans="1:52"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</row>
    <row r="285" spans="1:52"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</row>
    <row r="286" spans="1:52"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</row>
  </sheetData>
  <mergeCells count="14">
    <mergeCell ref="A6:E6"/>
    <mergeCell ref="B33:B34"/>
    <mergeCell ref="A56:B56"/>
    <mergeCell ref="A32:B32"/>
    <mergeCell ref="D32:E32"/>
    <mergeCell ref="D33:D34"/>
    <mergeCell ref="E33:E34"/>
    <mergeCell ref="D56:E56"/>
    <mergeCell ref="A33:A34"/>
    <mergeCell ref="B1:E1"/>
    <mergeCell ref="B2:C2"/>
    <mergeCell ref="D2:E2"/>
    <mergeCell ref="B3:C3"/>
    <mergeCell ref="D3:E3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IZ684"/>
  <sheetViews>
    <sheetView topLeftCell="C1" workbookViewId="0">
      <selection activeCell="C10" sqref="C10"/>
    </sheetView>
  </sheetViews>
  <sheetFormatPr defaultColWidth="8.88671875" defaultRowHeight="13.8"/>
  <cols>
    <col min="1" max="1" width="19.44140625" style="1" customWidth="1"/>
    <col min="2" max="2" width="16.5546875" style="1" customWidth="1"/>
    <col min="3" max="3" width="18.109375" style="1" customWidth="1"/>
    <col min="4" max="4" width="20" style="1" customWidth="1"/>
    <col min="5" max="5" width="15.44140625" style="1" customWidth="1"/>
    <col min="6" max="6" width="11.109375" style="1" customWidth="1"/>
    <col min="7" max="7" width="11" style="1" customWidth="1"/>
    <col min="8" max="8" width="14.44140625" style="1" customWidth="1"/>
    <col min="9" max="9" width="9.109375" style="1" bestFit="1" customWidth="1"/>
    <col min="10" max="10" width="9.6640625" style="1" customWidth="1"/>
    <col min="11" max="11" width="18" style="1" customWidth="1"/>
    <col min="12" max="12" width="16.88671875" style="1" customWidth="1"/>
    <col min="13" max="13" width="11.6640625" style="1" customWidth="1"/>
    <col min="14" max="14" width="13.6640625" style="1" customWidth="1"/>
    <col min="15" max="15" width="14.88671875" style="1" bestFit="1" customWidth="1"/>
    <col min="16" max="16" width="15.44140625" style="1" bestFit="1" customWidth="1"/>
    <col min="17" max="17" width="12.109375" style="1" customWidth="1"/>
    <col min="18" max="18" width="10.88671875" style="1" customWidth="1"/>
    <col min="19" max="19" width="9.88671875" style="1" customWidth="1"/>
    <col min="20" max="20" width="12" style="1" customWidth="1"/>
    <col min="21" max="21" width="15.5546875" style="1" customWidth="1"/>
    <col min="22" max="22" width="9" style="1" customWidth="1"/>
    <col min="23" max="23" width="10.5546875" style="1" bestFit="1" customWidth="1"/>
    <col min="24" max="24" width="15.6640625" style="1" bestFit="1" customWidth="1"/>
    <col min="25" max="25" width="9.6640625" style="1" customWidth="1"/>
    <col min="26" max="26" width="18.33203125" style="1" customWidth="1"/>
    <col min="27" max="27" width="13" style="1" customWidth="1"/>
    <col min="28" max="28" width="12.5546875" style="77" customWidth="1"/>
    <col min="29" max="29" width="12.33203125" style="77" customWidth="1"/>
    <col min="30" max="30" width="12" style="77" customWidth="1"/>
    <col min="31" max="36" width="8.88671875" style="77"/>
    <col min="37" max="37" width="10.5546875" style="77" bestFit="1" customWidth="1"/>
    <col min="38" max="260" width="8.88671875" style="77"/>
    <col min="261" max="16384" width="8.88671875" style="1"/>
  </cols>
  <sheetData>
    <row r="1" spans="1:27" ht="18" customHeight="1">
      <c r="A1" s="366" t="s">
        <v>49</v>
      </c>
      <c r="B1" s="366"/>
      <c r="C1" s="366"/>
      <c r="D1" s="366"/>
      <c r="E1" s="77"/>
      <c r="F1" s="77"/>
      <c r="G1" s="77"/>
      <c r="H1" s="77"/>
      <c r="I1" s="77"/>
      <c r="J1" s="77"/>
      <c r="K1" s="77"/>
      <c r="L1" s="89"/>
      <c r="M1" s="89"/>
      <c r="N1" s="89"/>
      <c r="O1" s="89"/>
      <c r="P1" s="89"/>
      <c r="Q1" s="89"/>
      <c r="R1" s="89"/>
      <c r="S1" s="89"/>
      <c r="T1" s="89"/>
      <c r="U1" s="65"/>
      <c r="V1" s="77"/>
      <c r="W1" s="77"/>
      <c r="X1" s="77"/>
      <c r="Y1" s="77"/>
      <c r="Z1" s="77"/>
      <c r="AA1" s="77"/>
    </row>
    <row r="2" spans="1:27" ht="18" customHeight="1">
      <c r="A2" s="367" t="s">
        <v>50</v>
      </c>
      <c r="B2" s="367"/>
      <c r="C2" s="368">
        <f>D32</f>
        <v>436813635</v>
      </c>
      <c r="D2" s="368"/>
      <c r="E2" s="77"/>
      <c r="F2" s="77"/>
      <c r="G2" s="77"/>
      <c r="H2" s="77"/>
      <c r="I2" s="77"/>
      <c r="J2" s="77"/>
      <c r="K2" s="89"/>
      <c r="L2" s="89"/>
      <c r="M2" s="89"/>
      <c r="N2" s="89"/>
      <c r="O2" s="89"/>
      <c r="P2" s="89"/>
      <c r="Q2" s="89"/>
      <c r="R2" s="89"/>
      <c r="S2" s="89"/>
      <c r="T2" s="65"/>
      <c r="U2" s="77"/>
      <c r="V2" s="77"/>
      <c r="W2" s="77"/>
      <c r="X2" s="77"/>
      <c r="Y2" s="77"/>
      <c r="Z2" s="77"/>
      <c r="AA2" s="77"/>
    </row>
    <row r="3" spans="1:27" ht="18" customHeight="1">
      <c r="A3" s="367" t="s">
        <v>51</v>
      </c>
      <c r="B3" s="367"/>
      <c r="C3" s="368">
        <f>E32</f>
        <v>138555235.17970648</v>
      </c>
      <c r="D3" s="368"/>
      <c r="E3" s="77"/>
      <c r="F3" s="106"/>
      <c r="G3" s="106"/>
      <c r="H3" s="77"/>
      <c r="I3" s="77"/>
      <c r="J3" s="77"/>
      <c r="K3" s="89"/>
      <c r="L3" s="89"/>
      <c r="M3" s="89"/>
      <c r="N3" s="89"/>
      <c r="O3" s="89"/>
      <c r="P3" s="89"/>
      <c r="Q3" s="89"/>
      <c r="R3" s="89"/>
      <c r="S3" s="89"/>
      <c r="T3" s="65"/>
      <c r="U3" s="77"/>
      <c r="V3" s="77"/>
      <c r="W3" s="77"/>
      <c r="X3" s="77"/>
      <c r="Y3" s="77"/>
      <c r="Z3" s="77"/>
      <c r="AA3" s="77"/>
    </row>
    <row r="4" spans="1:27" ht="18" customHeight="1">
      <c r="A4" s="106"/>
      <c r="B4" s="106"/>
      <c r="C4" s="77"/>
      <c r="D4" s="77"/>
      <c r="E4" s="77"/>
      <c r="F4" s="106"/>
      <c r="G4" s="106"/>
      <c r="H4" s="77"/>
      <c r="I4" s="77"/>
      <c r="J4" s="77"/>
      <c r="K4" s="89"/>
      <c r="L4" s="89"/>
      <c r="M4" s="89"/>
      <c r="N4" s="89"/>
      <c r="O4" s="89"/>
      <c r="P4" s="89"/>
      <c r="Q4" s="89"/>
      <c r="R4" s="89"/>
      <c r="S4" s="89"/>
      <c r="T4" s="65"/>
      <c r="U4" s="77"/>
      <c r="V4" s="77"/>
      <c r="W4" s="77"/>
      <c r="X4" s="77"/>
      <c r="Y4" s="77"/>
      <c r="Z4" s="77"/>
      <c r="AA4" s="77"/>
    </row>
    <row r="5" spans="1:27" ht="18" customHeight="1">
      <c r="A5" s="106"/>
      <c r="B5" s="106"/>
      <c r="C5" s="77"/>
      <c r="D5" s="77"/>
      <c r="E5" s="77"/>
      <c r="F5" s="106"/>
      <c r="G5" s="106"/>
      <c r="H5" s="77"/>
      <c r="I5" s="77"/>
      <c r="J5" s="77"/>
      <c r="K5" s="89"/>
      <c r="L5" s="89"/>
      <c r="M5" s="89"/>
      <c r="N5" s="89"/>
      <c r="O5" s="89"/>
      <c r="P5" s="89"/>
      <c r="Q5" s="89"/>
      <c r="R5" s="89"/>
      <c r="S5" s="89"/>
      <c r="T5" s="65"/>
      <c r="U5" s="77"/>
      <c r="V5" s="77"/>
      <c r="W5" s="77"/>
      <c r="X5" s="77"/>
      <c r="Y5" s="77"/>
      <c r="Z5" s="77"/>
      <c r="AA5" s="77"/>
    </row>
    <row r="6" spans="1:27" ht="18" customHeight="1">
      <c r="A6" s="366" t="s">
        <v>52</v>
      </c>
      <c r="B6" s="366"/>
      <c r="C6" s="366"/>
      <c r="D6" s="366"/>
      <c r="E6" s="366"/>
      <c r="F6" s="106"/>
      <c r="G6" s="106"/>
      <c r="H6" s="77"/>
      <c r="I6" s="77"/>
      <c r="J6" s="77"/>
      <c r="K6" s="89"/>
      <c r="L6" s="89"/>
      <c r="M6" s="89"/>
      <c r="N6" s="89"/>
      <c r="O6" s="89"/>
      <c r="P6" s="89"/>
      <c r="Q6" s="89"/>
      <c r="R6" s="89"/>
      <c r="S6" s="89"/>
      <c r="T6" s="65"/>
      <c r="U6" s="77"/>
      <c r="V6" s="77"/>
      <c r="W6" s="77"/>
      <c r="X6" s="77"/>
      <c r="Y6" s="77"/>
      <c r="Z6" s="77"/>
      <c r="AA6" s="77"/>
    </row>
    <row r="7" spans="1:27" ht="13.95" customHeight="1">
      <c r="A7" s="354" t="s">
        <v>39</v>
      </c>
      <c r="B7" s="354" t="s">
        <v>30</v>
      </c>
      <c r="C7" s="354"/>
      <c r="D7" s="404" t="s">
        <v>50</v>
      </c>
      <c r="E7" s="404" t="s">
        <v>51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3.2" customHeight="1">
      <c r="A8" s="354"/>
      <c r="B8" s="404" t="s">
        <v>53</v>
      </c>
      <c r="C8" s="404" t="s">
        <v>54</v>
      </c>
      <c r="D8" s="404"/>
      <c r="E8" s="404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14.4" thickBot="1">
      <c r="A9" s="406"/>
      <c r="B9" s="405"/>
      <c r="C9" s="405"/>
      <c r="D9" s="405"/>
      <c r="E9" s="405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14.4" thickTop="1">
      <c r="A10" s="66">
        <v>2027</v>
      </c>
      <c r="B10" s="29">
        <f>K38</f>
        <v>32683700</v>
      </c>
      <c r="C10" s="4">
        <f t="shared" ref="C10:C31" si="0">AK38</f>
        <v>17440022</v>
      </c>
      <c r="D10" s="208">
        <f>ROUND(B10-C10,0)</f>
        <v>15243678</v>
      </c>
      <c r="E10" s="209">
        <f>D10*INDEX(NPV!$C$3:$C$42,MATCH(Safety!$A10,NPV!$B$3:$B$42,0))</f>
        <v>9492996.5398718193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>
      <c r="A11" s="66">
        <f t="shared" ref="A11:A31" si="1">A10+1</f>
        <v>2028</v>
      </c>
      <c r="B11" s="29">
        <f t="shared" ref="B11:B31" si="2">K39</f>
        <v>32692200</v>
      </c>
      <c r="C11" s="4">
        <f t="shared" si="0"/>
        <v>17444558</v>
      </c>
      <c r="D11" s="208">
        <f t="shared" ref="D11:D30" si="3">ROUND(B11-C11,0)</f>
        <v>15247642</v>
      </c>
      <c r="E11" s="209">
        <f>D11*INDEX(NPV!$C$3:$C$42,MATCH(Safety!$A11,NPV!$B$3:$B$42,0))</f>
        <v>8874266.4671482705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>
      <c r="A12" s="66">
        <f t="shared" si="1"/>
        <v>2029</v>
      </c>
      <c r="B12" s="29">
        <f t="shared" si="2"/>
        <v>32856400</v>
      </c>
      <c r="C12" s="4">
        <f t="shared" si="0"/>
        <v>17532175</v>
      </c>
      <c r="D12" s="208">
        <f t="shared" si="3"/>
        <v>15324225</v>
      </c>
      <c r="E12" s="209">
        <f>D12*INDEX(NPV!$C$3:$C$42,MATCH(Safety!$A12,NPV!$B$3:$B$42,0))</f>
        <v>8335363.0564515665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>
      <c r="A13" s="66">
        <f t="shared" si="1"/>
        <v>2030</v>
      </c>
      <c r="B13" s="29">
        <f t="shared" si="2"/>
        <v>32938200</v>
      </c>
      <c r="C13" s="4">
        <f t="shared" si="0"/>
        <v>17575824</v>
      </c>
      <c r="D13" s="208">
        <f t="shared" si="3"/>
        <v>15362376</v>
      </c>
      <c r="E13" s="209">
        <f>D13*INDEX(NPV!$C$3:$C$42,MATCH(Safety!$A13,NPV!$B$3:$B$42,0))</f>
        <v>7809452.9651073776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>
      <c r="A14" s="66">
        <f t="shared" si="1"/>
        <v>2031</v>
      </c>
      <c r="B14" s="29">
        <f t="shared" si="2"/>
        <v>32951300</v>
      </c>
      <c r="C14" s="4">
        <f t="shared" si="0"/>
        <v>17582814</v>
      </c>
      <c r="D14" s="208">
        <f t="shared" si="3"/>
        <v>15368486</v>
      </c>
      <c r="E14" s="209">
        <f>D14*INDEX(NPV!$C$3:$C$42,MATCH(Safety!$A14,NPV!$B$3:$B$42,0))</f>
        <v>7301456.9899834767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</row>
    <row r="15" spans="1:27">
      <c r="A15" s="66">
        <f t="shared" si="1"/>
        <v>2032</v>
      </c>
      <c r="B15" s="29">
        <f t="shared" si="2"/>
        <v>33110900</v>
      </c>
      <c r="C15" s="4">
        <f t="shared" si="0"/>
        <v>17667976</v>
      </c>
      <c r="D15" s="208">
        <f t="shared" si="3"/>
        <v>15442924</v>
      </c>
      <c r="E15" s="209">
        <f>D15*INDEX(NPV!$C$3:$C$42,MATCH(Safety!$A15,NPV!$B$3:$B$42,0))</f>
        <v>6856842.9416457722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>
      <c r="A16" s="66">
        <f t="shared" si="1"/>
        <v>2033</v>
      </c>
      <c r="B16" s="29">
        <f t="shared" si="2"/>
        <v>44719400</v>
      </c>
      <c r="C16" s="4">
        <f t="shared" si="0"/>
        <v>23862272</v>
      </c>
      <c r="D16" s="208">
        <f t="shared" si="3"/>
        <v>20857128</v>
      </c>
      <c r="E16" s="209">
        <f>D16*INDEX(NPV!$C$3:$C$42,MATCH(Safety!$A16,NPV!$B$3:$B$42,0))</f>
        <v>8654966.6050605588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>
      <c r="A17" s="66">
        <f t="shared" si="1"/>
        <v>2034</v>
      </c>
      <c r="B17" s="29">
        <f t="shared" si="2"/>
        <v>44809700</v>
      </c>
      <c r="C17" s="4">
        <f t="shared" si="0"/>
        <v>23910456</v>
      </c>
      <c r="D17" s="208">
        <f t="shared" si="3"/>
        <v>20899244</v>
      </c>
      <c r="E17" s="209">
        <f>D17*INDEX(NPV!$C$3:$C$42,MATCH(Safety!$A17,NPV!$B$3:$B$42,0))</f>
        <v>8105087.1474278811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>
      <c r="A18" s="66">
        <f t="shared" si="1"/>
        <v>2035</v>
      </c>
      <c r="B18" s="29">
        <f>K46</f>
        <v>45524100</v>
      </c>
      <c r="C18" s="4">
        <f t="shared" si="0"/>
        <v>24291660</v>
      </c>
      <c r="D18" s="208">
        <f t="shared" si="3"/>
        <v>21232440</v>
      </c>
      <c r="E18" s="209">
        <f>D18*INDEX(NPV!$C$3:$C$42,MATCH(Safety!$A18,NPV!$B$3:$B$42,0))</f>
        <v>7695613.365295223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>
      <c r="A19" s="66">
        <f t="shared" si="1"/>
        <v>2036</v>
      </c>
      <c r="B19" s="29">
        <f t="shared" si="2"/>
        <v>45528700</v>
      </c>
      <c r="C19" s="4">
        <f t="shared" si="0"/>
        <v>24294114</v>
      </c>
      <c r="D19" s="208">
        <f>ROUND(B19-C19,0)</f>
        <v>21234586</v>
      </c>
      <c r="E19" s="209">
        <f>D19*INDEX(NPV!$C$3:$C$42,MATCH(Safety!$A19,NPV!$B$3:$B$42,0))</f>
        <v>7192888.9480872676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>
      <c r="A20" s="66">
        <f t="shared" si="1"/>
        <v>2037</v>
      </c>
      <c r="B20" s="29">
        <f t="shared" si="2"/>
        <v>45619000</v>
      </c>
      <c r="C20" s="4">
        <f t="shared" si="0"/>
        <v>24342298</v>
      </c>
      <c r="D20" s="208">
        <f t="shared" si="3"/>
        <v>21276702</v>
      </c>
      <c r="E20" s="209">
        <f>D20*INDEX(NPV!$C$3:$C$42,MATCH(Safety!$A20,NPV!$B$3:$B$42,0))</f>
        <v>6735658.9667365141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>
      <c r="A21" s="66">
        <f t="shared" si="1"/>
        <v>2038</v>
      </c>
      <c r="B21" s="29">
        <f t="shared" si="2"/>
        <v>45783200</v>
      </c>
      <c r="C21" s="4">
        <f t="shared" si="0"/>
        <v>24429916</v>
      </c>
      <c r="D21" s="208">
        <f t="shared" si="3"/>
        <v>21353284</v>
      </c>
      <c r="E21" s="209">
        <f>D21*INDEX(NPV!$C$3:$C$42,MATCH(Safety!$A21,NPV!$B$3:$B$42,0))</f>
        <v>6317666.230567323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>
      <c r="A22" s="66">
        <f t="shared" si="1"/>
        <v>2039</v>
      </c>
      <c r="B22" s="29">
        <f t="shared" si="2"/>
        <v>45791700</v>
      </c>
      <c r="C22" s="4">
        <f t="shared" si="0"/>
        <v>24434451</v>
      </c>
      <c r="D22" s="208">
        <f t="shared" si="3"/>
        <v>21357249</v>
      </c>
      <c r="E22" s="209">
        <f>D22*INDEX(NPV!$C$3:$C$42,MATCH(Safety!$A22,NPV!$B$3:$B$42,0))</f>
        <v>5905457.3186874185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</row>
    <row r="23" spans="1:27">
      <c r="A23" s="66">
        <f t="shared" si="1"/>
        <v>2040</v>
      </c>
      <c r="B23" s="29">
        <f t="shared" si="2"/>
        <v>45951300</v>
      </c>
      <c r="C23" s="4">
        <f t="shared" si="0"/>
        <v>24519614</v>
      </c>
      <c r="D23" s="208">
        <f t="shared" si="3"/>
        <v>21431686</v>
      </c>
      <c r="E23" s="209">
        <f>D23*INDEX(NPV!$C$3:$C$42,MATCH(Safety!$A23,NPV!$B$3:$B$42,0))</f>
        <v>5538354.9247399503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</row>
    <row r="24" spans="1:27">
      <c r="A24" s="66">
        <f t="shared" si="1"/>
        <v>2041</v>
      </c>
      <c r="B24" s="29">
        <f t="shared" si="2"/>
        <v>46041600</v>
      </c>
      <c r="C24" s="4">
        <f t="shared" si="0"/>
        <v>24567798</v>
      </c>
      <c r="D24" s="208">
        <f>ROUND(B24-C24,0)</f>
        <v>21473802</v>
      </c>
      <c r="E24" s="209">
        <f>D24*INDEX(NPV!$C$3:$C$42,MATCH(Safety!$A24,NPV!$B$3:$B$42,0))</f>
        <v>5186204.2051051017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</row>
    <row r="25" spans="1:27">
      <c r="A25" s="66">
        <f t="shared" si="1"/>
        <v>2042</v>
      </c>
      <c r="B25" s="29">
        <f t="shared" si="2"/>
        <v>46609500</v>
      </c>
      <c r="C25" s="4">
        <f t="shared" si="0"/>
        <v>24870829</v>
      </c>
      <c r="D25" s="208">
        <f t="shared" si="3"/>
        <v>21738671</v>
      </c>
      <c r="E25" s="209">
        <f>D25*INDEX(NPV!$C$3:$C$42,MATCH(Safety!$A25,NPV!$B$3:$B$42,0))</f>
        <v>4906704.2382031325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>
      <c r="A26" s="66">
        <f t="shared" si="1"/>
        <v>2043</v>
      </c>
      <c r="B26" s="29">
        <f t="shared" si="2"/>
        <v>46846300</v>
      </c>
      <c r="C26" s="4">
        <f t="shared" si="0"/>
        <v>24997186</v>
      </c>
      <c r="D26" s="208">
        <f t="shared" si="3"/>
        <v>21849114</v>
      </c>
      <c r="E26" s="209">
        <f>D26*INDEX(NPV!$C$3:$C$42,MATCH(Safety!$A26,NPV!$B$3:$B$42,0))</f>
        <v>4609002.5021542404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>
      <c r="A27" s="66">
        <f t="shared" si="1"/>
        <v>2044</v>
      </c>
      <c r="B27" s="29">
        <f t="shared" si="2"/>
        <v>46859400</v>
      </c>
      <c r="C27" s="4">
        <f t="shared" si="0"/>
        <v>25004176</v>
      </c>
      <c r="D27" s="208">
        <f t="shared" si="3"/>
        <v>21855224</v>
      </c>
      <c r="E27" s="209">
        <f>D27*INDEX(NPV!$C$3:$C$42,MATCH(Safety!$A27,NPV!$B$3:$B$42,0))</f>
        <v>4308683.5398238134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>
      <c r="A28" s="66">
        <f t="shared" si="1"/>
        <v>2045</v>
      </c>
      <c r="B28" s="29">
        <f t="shared" si="2"/>
        <v>47023600</v>
      </c>
      <c r="C28" s="4">
        <f t="shared" si="0"/>
        <v>25091793</v>
      </c>
      <c r="D28" s="208">
        <f t="shared" si="3"/>
        <v>21931807</v>
      </c>
      <c r="E28" s="209">
        <f>D28*INDEX(NPV!$C$3:$C$42,MATCH(Safety!$A28,NPV!$B$3:$B$42,0))</f>
        <v>4040917.4013264966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>
      <c r="A29" s="66">
        <f t="shared" si="1"/>
        <v>2046</v>
      </c>
      <c r="B29" s="29">
        <f t="shared" si="2"/>
        <v>47109300</v>
      </c>
      <c r="C29" s="4">
        <f t="shared" si="0"/>
        <v>25137522</v>
      </c>
      <c r="D29" s="208">
        <f t="shared" si="3"/>
        <v>21971778</v>
      </c>
      <c r="E29" s="209">
        <f>D29*INDEX(NPV!$C$3:$C$42,MATCH(Safety!$A29,NPV!$B$3:$B$42,0))</f>
        <v>3783441.1450478868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>
      <c r="A30" s="66">
        <f t="shared" si="1"/>
        <v>2047</v>
      </c>
      <c r="B30" s="300">
        <f t="shared" si="2"/>
        <v>47273500</v>
      </c>
      <c r="C30" s="301">
        <f t="shared" si="0"/>
        <v>25225140</v>
      </c>
      <c r="D30" s="302">
        <f t="shared" si="3"/>
        <v>22048360</v>
      </c>
      <c r="E30" s="303">
        <f>D30*INDEX(NPV!$C$3:$C$42,MATCH(Safety!$A30,NPV!$B$3:$B$42,0))</f>
        <v>3548250.6731716706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14.4" thickBot="1">
      <c r="A31" s="299">
        <f t="shared" si="1"/>
        <v>2048</v>
      </c>
      <c r="B31" s="47">
        <f t="shared" si="2"/>
        <v>47841400</v>
      </c>
      <c r="C31" s="48">
        <f t="shared" si="0"/>
        <v>25528171</v>
      </c>
      <c r="D31" s="210">
        <f>ROUND(B31-C31,0)</f>
        <v>22313229</v>
      </c>
      <c r="E31" s="211">
        <f>D31*INDEX(NPV!$C$3:$C$42,MATCH(Safety!$A31,NPV!$B$3:$B$42,0))</f>
        <v>3355959.0080637042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14.4" thickTop="1">
      <c r="A32" s="61" t="s">
        <v>16</v>
      </c>
      <c r="B32" s="40">
        <f>SUM(B10:B31)</f>
        <v>936564400</v>
      </c>
      <c r="C32" s="45">
        <f>SUM(C10:C31)</f>
        <v>499750765</v>
      </c>
      <c r="D32" s="212">
        <f>SUM(D10:D31)</f>
        <v>436813635</v>
      </c>
      <c r="E32" s="213">
        <f>SUM(E10:E31)</f>
        <v>138555235.17970648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60" ht="18" customHeight="1">
      <c r="A33" s="106"/>
      <c r="B33" s="106"/>
      <c r="C33" s="77"/>
      <c r="D33" s="77"/>
      <c r="E33" s="77"/>
      <c r="F33" s="106"/>
      <c r="G33" s="106"/>
      <c r="H33" s="77"/>
      <c r="I33" s="77"/>
      <c r="J33" s="77"/>
      <c r="K33" s="89"/>
      <c r="L33" s="89"/>
      <c r="M33" s="89"/>
      <c r="N33" s="89"/>
      <c r="O33" s="89"/>
      <c r="P33" s="89"/>
      <c r="Q33" s="89"/>
      <c r="R33" s="89"/>
      <c r="S33" s="89"/>
      <c r="T33" s="65"/>
      <c r="U33" s="77"/>
      <c r="V33" s="77"/>
      <c r="W33" s="77"/>
      <c r="X33" s="77"/>
      <c r="Y33" s="77"/>
      <c r="Z33" s="77"/>
      <c r="AA33" s="77"/>
    </row>
    <row r="34" spans="1:260" ht="14.4">
      <c r="A34" s="10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89"/>
      <c r="M34" s="89"/>
      <c r="N34" s="89"/>
      <c r="O34" s="89"/>
      <c r="P34" s="89"/>
      <c r="Q34" s="89"/>
      <c r="R34" s="89"/>
      <c r="S34" s="89"/>
      <c r="T34" s="89"/>
      <c r="U34" s="65"/>
      <c r="V34" s="77"/>
      <c r="W34" s="77"/>
      <c r="X34" s="379" t="s">
        <v>216</v>
      </c>
      <c r="Y34" s="379"/>
      <c r="Z34" s="379"/>
      <c r="AA34" s="379"/>
      <c r="AB34" s="379"/>
      <c r="AC34" s="379"/>
      <c r="AD34" s="379"/>
      <c r="AE34" s="379" t="s">
        <v>217</v>
      </c>
      <c r="AF34" s="379"/>
      <c r="AG34" s="379"/>
      <c r="AH34" s="379"/>
      <c r="AI34" s="379"/>
      <c r="AJ34" s="379"/>
      <c r="AK34" s="379"/>
    </row>
    <row r="35" spans="1:260" ht="13.95" customHeight="1">
      <c r="A35" s="392" t="s">
        <v>39</v>
      </c>
      <c r="B35" s="392" t="s">
        <v>55</v>
      </c>
      <c r="C35" s="357" t="s">
        <v>56</v>
      </c>
      <c r="D35" s="378"/>
      <c r="E35" s="378"/>
      <c r="F35" s="378"/>
      <c r="G35" s="378"/>
      <c r="H35" s="378"/>
      <c r="I35" s="378"/>
      <c r="J35" s="378"/>
      <c r="K35" s="358"/>
      <c r="L35" s="84"/>
      <c r="M35" s="392" t="s">
        <v>39</v>
      </c>
      <c r="N35" s="392" t="s">
        <v>191</v>
      </c>
      <c r="O35" s="357" t="s">
        <v>57</v>
      </c>
      <c r="P35" s="378"/>
      <c r="Q35" s="378"/>
      <c r="R35" s="378"/>
      <c r="S35" s="378"/>
      <c r="T35" s="378"/>
      <c r="U35" s="378"/>
      <c r="V35" s="378"/>
      <c r="W35" s="358"/>
      <c r="X35" s="357" t="s">
        <v>214</v>
      </c>
      <c r="Y35" s="378"/>
      <c r="Z35" s="378"/>
      <c r="AA35" s="378"/>
      <c r="AB35" s="378"/>
      <c r="AC35" s="378"/>
      <c r="AD35" s="378"/>
      <c r="AE35" s="357" t="s">
        <v>214</v>
      </c>
      <c r="AF35" s="378"/>
      <c r="AG35" s="378"/>
      <c r="AH35" s="378"/>
      <c r="AI35" s="378"/>
      <c r="AJ35" s="378"/>
      <c r="AK35" s="378"/>
      <c r="IZ35" s="1"/>
    </row>
    <row r="36" spans="1:260" ht="13.2" customHeight="1">
      <c r="A36" s="393"/>
      <c r="B36" s="393"/>
      <c r="C36" s="376" t="s">
        <v>58</v>
      </c>
      <c r="D36" s="376" t="s">
        <v>59</v>
      </c>
      <c r="E36" s="376" t="s">
        <v>60</v>
      </c>
      <c r="F36" s="381" t="s">
        <v>61</v>
      </c>
      <c r="G36" s="382"/>
      <c r="H36" s="382"/>
      <c r="I36" s="382"/>
      <c r="J36" s="383"/>
      <c r="K36" s="376" t="s">
        <v>30</v>
      </c>
      <c r="L36" s="84"/>
      <c r="M36" s="393"/>
      <c r="N36" s="393"/>
      <c r="O36" s="376" t="s">
        <v>58</v>
      </c>
      <c r="P36" s="376" t="s">
        <v>59</v>
      </c>
      <c r="Q36" s="376" t="s">
        <v>60</v>
      </c>
      <c r="R36" s="381" t="s">
        <v>61</v>
      </c>
      <c r="S36" s="382"/>
      <c r="T36" s="382"/>
      <c r="U36" s="382"/>
      <c r="V36" s="383"/>
      <c r="W36" s="376" t="s">
        <v>30</v>
      </c>
      <c r="X36" s="376" t="s">
        <v>60</v>
      </c>
      <c r="Y36" s="381" t="s">
        <v>61</v>
      </c>
      <c r="Z36" s="382"/>
      <c r="AA36" s="382"/>
      <c r="AB36" s="382"/>
      <c r="AC36" s="383"/>
      <c r="AD36" s="376" t="s">
        <v>30</v>
      </c>
      <c r="AE36" s="376" t="s">
        <v>60</v>
      </c>
      <c r="AF36" s="381" t="s">
        <v>61</v>
      </c>
      <c r="AG36" s="382"/>
      <c r="AH36" s="382"/>
      <c r="AI36" s="382"/>
      <c r="AJ36" s="383"/>
      <c r="AK36" s="376" t="s">
        <v>30</v>
      </c>
      <c r="IZ36" s="1"/>
    </row>
    <row r="37" spans="1:260" ht="42" thickBot="1">
      <c r="A37" s="394"/>
      <c r="B37" s="394"/>
      <c r="C37" s="380"/>
      <c r="D37" s="380"/>
      <c r="E37" s="380"/>
      <c r="F37" s="228" t="s">
        <v>62</v>
      </c>
      <c r="G37" s="228" t="s">
        <v>63</v>
      </c>
      <c r="H37" s="228" t="s">
        <v>64</v>
      </c>
      <c r="I37" s="228" t="s">
        <v>65</v>
      </c>
      <c r="J37" s="227" t="s">
        <v>66</v>
      </c>
      <c r="K37" s="380"/>
      <c r="L37" s="87"/>
      <c r="M37" s="394"/>
      <c r="N37" s="394"/>
      <c r="O37" s="380"/>
      <c r="P37" s="380"/>
      <c r="Q37" s="380"/>
      <c r="R37" s="228" t="s">
        <v>62</v>
      </c>
      <c r="S37" s="6" t="s">
        <v>63</v>
      </c>
      <c r="T37" s="6" t="s">
        <v>64</v>
      </c>
      <c r="U37" s="6" t="s">
        <v>65</v>
      </c>
      <c r="V37" s="5" t="s">
        <v>66</v>
      </c>
      <c r="W37" s="377"/>
      <c r="X37" s="380"/>
      <c r="Y37" s="269" t="s">
        <v>62</v>
      </c>
      <c r="Z37" s="270" t="s">
        <v>63</v>
      </c>
      <c r="AA37" s="270" t="s">
        <v>64</v>
      </c>
      <c r="AB37" s="270" t="s">
        <v>65</v>
      </c>
      <c r="AC37" s="271" t="s">
        <v>66</v>
      </c>
      <c r="AD37" s="377"/>
      <c r="AE37" s="380"/>
      <c r="AF37" s="269" t="s">
        <v>62</v>
      </c>
      <c r="AG37" s="270" t="s">
        <v>63</v>
      </c>
      <c r="AH37" s="270" t="s">
        <v>64</v>
      </c>
      <c r="AI37" s="270" t="s">
        <v>65</v>
      </c>
      <c r="AJ37" s="271" t="s">
        <v>66</v>
      </c>
      <c r="AK37" s="377"/>
      <c r="IZ37" s="1"/>
    </row>
    <row r="38" spans="1:260" ht="14.4" thickTop="1">
      <c r="A38" s="66">
        <v>2027</v>
      </c>
      <c r="B38" s="11">
        <f>'Travel Time'!B71</f>
        <v>21126</v>
      </c>
      <c r="C38" s="12">
        <f t="shared" ref="C38:C59" si="4">ROUND(B38*$B$108,0)</f>
        <v>96</v>
      </c>
      <c r="D38" s="27">
        <f t="shared" ref="D38:D59" si="5">ROUND(C38*$B$104,0)</f>
        <v>162</v>
      </c>
      <c r="E38" s="2">
        <f t="shared" ref="E38:E59" si="6">ROUND(C38*$I$73*$B$104,0)</f>
        <v>81</v>
      </c>
      <c r="F38" s="12">
        <f t="shared" ref="F38:F59" si="7">ROUND(C38*$I$73,0)</f>
        <v>48</v>
      </c>
      <c r="G38" s="2">
        <f t="shared" ref="G38:G59" si="8">ROUND(C38*$I$71,0)</f>
        <v>17</v>
      </c>
      <c r="H38" s="28">
        <f t="shared" ref="H38:H59" si="9">ROUND(C38*$I$69,0)</f>
        <v>21</v>
      </c>
      <c r="I38" s="3">
        <f t="shared" ref="I38:I59" si="10">ROUND(C38*$I$67,0)</f>
        <v>8</v>
      </c>
      <c r="J38" s="30">
        <f t="shared" ref="J38:J59" si="11">ROUND(C38*$I$65,0)</f>
        <v>2</v>
      </c>
      <c r="K38" s="137">
        <f t="shared" ref="K38:K59" si="12">ROUND((E38*$B$81)+(F38*$B$86)+(G38*$B$87)+(H38*$B$88)+(I38*$B$89)+(J38*$B$90),0)</f>
        <v>32683700</v>
      </c>
      <c r="L38" s="77"/>
      <c r="M38" s="66">
        <f>A38</f>
        <v>2027</v>
      </c>
      <c r="N38" s="67">
        <f>'Travel Time'!E71</f>
        <v>21126</v>
      </c>
      <c r="O38" s="12">
        <f t="shared" ref="O38:O59" si="13">ROUND(N38*$B$108,0)</f>
        <v>96</v>
      </c>
      <c r="P38" s="27">
        <f t="shared" ref="P38:P59" si="14">ROUND(O38*$B$104,0)</f>
        <v>162</v>
      </c>
      <c r="Q38" s="2">
        <f t="shared" ref="Q38:Q59" si="15">ROUND(O38*$I$73*$B$104,0)</f>
        <v>81</v>
      </c>
      <c r="R38" s="12">
        <f t="shared" ref="R38:R59" si="16">ROUND(O38*$I$73,0)</f>
        <v>48</v>
      </c>
      <c r="S38" s="2">
        <f t="shared" ref="S38:S59" si="17">ROUND(O38*$I$71,0)</f>
        <v>17</v>
      </c>
      <c r="T38" s="28">
        <f t="shared" ref="T38:T59" si="18">ROUND(O38*$I$69,0)</f>
        <v>21</v>
      </c>
      <c r="U38" s="3">
        <f t="shared" ref="U38:U59" si="19">ROUND(O38*$I$67,0)</f>
        <v>8</v>
      </c>
      <c r="V38" s="30">
        <f t="shared" ref="V38:V59" si="20">ROUND(O38*$I$65,0)</f>
        <v>2</v>
      </c>
      <c r="W38" s="137">
        <f t="shared" ref="W38:W59" si="21">ROUND((Q38*$B$81)+(R38*$B$86)+(S38*$B$87)+(T38*$B$88)+(U38*$B$89)+(V38*$B$90),0)</f>
        <v>32683700</v>
      </c>
      <c r="X38" s="2">
        <f t="shared" ref="X38:X59" si="22">Q38+Q38*$D$125</f>
        <v>56.942971747471226</v>
      </c>
      <c r="Y38" s="12">
        <f t="shared" ref="Y38:Y59" si="23">R38+R38*$D$125</f>
        <v>33.743983257760725</v>
      </c>
      <c r="Z38" s="2">
        <f>S38+S38*$C$125</f>
        <v>7.829875518672198</v>
      </c>
      <c r="AA38" s="12">
        <f>T38+T38*$C$125</f>
        <v>9.6721991701244789</v>
      </c>
      <c r="AB38" s="2">
        <f>U38+U38*$C$125</f>
        <v>3.6846473029045637</v>
      </c>
      <c r="AC38" s="12">
        <f t="shared" ref="AC38:AC59" si="24">V38+V38*$B$125</f>
        <v>1.142857142857143</v>
      </c>
      <c r="AD38" s="137">
        <f t="shared" ref="AD38:AD59" si="25">ROUND((X38*$B$81)+(Y38*$B$86)+(Z38*$B$87)+(AA38*$B$88)+(AB38*$B$89)+(AC38*$B$90),0)</f>
        <v>17760860</v>
      </c>
      <c r="AE38" s="2">
        <f t="shared" ref="AE38:AE59" si="26">Q38*$F$87</f>
        <v>43.221599999999995</v>
      </c>
      <c r="AF38" s="12">
        <f t="shared" ref="AF38:AF59" si="27">R38*$F$87</f>
        <v>25.6128</v>
      </c>
      <c r="AG38" s="2">
        <f t="shared" ref="AG38:AG59" si="28">S38*$F$87</f>
        <v>9.0711999999999993</v>
      </c>
      <c r="AH38" s="12">
        <f t="shared" ref="AH38:AH59" si="29">T38*$F$87</f>
        <v>11.205599999999999</v>
      </c>
      <c r="AI38" s="2">
        <f t="shared" ref="AI38:AI59" si="30">U38*$F$87</f>
        <v>4.2687999999999997</v>
      </c>
      <c r="AJ38" s="12">
        <f t="shared" ref="AJ38:AJ59" si="31">V38*$F$87</f>
        <v>1.0671999999999999</v>
      </c>
      <c r="AK38" s="137">
        <f t="shared" ref="AK38:AK59" si="32">ROUND((AE38*$B$81)+(AF38*$B$86)+(AG38*$B$87)+(AH38*$B$88)+(AI38*$B$89)+(AJ38*$B$90),0)</f>
        <v>17440022</v>
      </c>
      <c r="IZ38" s="1"/>
    </row>
    <row r="39" spans="1:260">
      <c r="A39" s="66">
        <f t="shared" ref="A39:A59" si="33">A38+1</f>
        <v>2028</v>
      </c>
      <c r="B39" s="11">
        <f>'Travel Time'!B72</f>
        <v>21455</v>
      </c>
      <c r="C39" s="12">
        <f t="shared" si="4"/>
        <v>97</v>
      </c>
      <c r="D39" s="27">
        <f t="shared" si="5"/>
        <v>163</v>
      </c>
      <c r="E39" s="2">
        <f t="shared" si="6"/>
        <v>82</v>
      </c>
      <c r="F39" s="12">
        <f t="shared" si="7"/>
        <v>49</v>
      </c>
      <c r="G39" s="2">
        <f t="shared" si="8"/>
        <v>17</v>
      </c>
      <c r="H39" s="28">
        <f t="shared" si="9"/>
        <v>21</v>
      </c>
      <c r="I39" s="3">
        <f t="shared" si="10"/>
        <v>8</v>
      </c>
      <c r="J39" s="30">
        <f t="shared" si="11"/>
        <v>2</v>
      </c>
      <c r="K39" s="137">
        <f t="shared" si="12"/>
        <v>32692200</v>
      </c>
      <c r="L39" s="77"/>
      <c r="M39" s="66">
        <f t="shared" ref="M39:M59" si="34">A39</f>
        <v>2028</v>
      </c>
      <c r="N39" s="67">
        <f>'Travel Time'!E72</f>
        <v>21455</v>
      </c>
      <c r="O39" s="12">
        <f t="shared" si="13"/>
        <v>97</v>
      </c>
      <c r="P39" s="27">
        <f t="shared" si="14"/>
        <v>163</v>
      </c>
      <c r="Q39" s="2">
        <f t="shared" si="15"/>
        <v>82</v>
      </c>
      <c r="R39" s="12">
        <f t="shared" si="16"/>
        <v>49</v>
      </c>
      <c r="S39" s="2">
        <f t="shared" si="17"/>
        <v>17</v>
      </c>
      <c r="T39" s="28">
        <f t="shared" si="18"/>
        <v>21</v>
      </c>
      <c r="U39" s="3">
        <f t="shared" si="19"/>
        <v>8</v>
      </c>
      <c r="V39" s="30">
        <f t="shared" si="20"/>
        <v>2</v>
      </c>
      <c r="W39" s="137">
        <f t="shared" si="21"/>
        <v>32692200</v>
      </c>
      <c r="X39" s="2">
        <f t="shared" si="22"/>
        <v>57.645971398674575</v>
      </c>
      <c r="Y39" s="12">
        <f t="shared" si="23"/>
        <v>34.446982908964074</v>
      </c>
      <c r="Z39" s="2">
        <f t="shared" ref="Z39:Z59" si="35">S39+S39*$C$125</f>
        <v>7.829875518672198</v>
      </c>
      <c r="AA39" s="12">
        <f t="shared" ref="AA39:AA59" si="36">T39+T39*$C$125</f>
        <v>9.6721991701244789</v>
      </c>
      <c r="AB39" s="2">
        <f t="shared" ref="AB39:AB59" si="37">U39+U39*$C$125</f>
        <v>3.6846473029045637</v>
      </c>
      <c r="AC39" s="12">
        <f t="shared" si="24"/>
        <v>1.142857142857143</v>
      </c>
      <c r="AD39" s="137">
        <f t="shared" si="25"/>
        <v>17766836</v>
      </c>
      <c r="AE39" s="2">
        <f t="shared" si="26"/>
        <v>43.755199999999995</v>
      </c>
      <c r="AF39" s="12">
        <f t="shared" si="27"/>
        <v>26.1464</v>
      </c>
      <c r="AG39" s="2">
        <f t="shared" si="28"/>
        <v>9.0711999999999993</v>
      </c>
      <c r="AH39" s="12">
        <f t="shared" si="29"/>
        <v>11.205599999999999</v>
      </c>
      <c r="AI39" s="2">
        <f t="shared" si="30"/>
        <v>4.2687999999999997</v>
      </c>
      <c r="AJ39" s="12">
        <f t="shared" si="31"/>
        <v>1.0671999999999999</v>
      </c>
      <c r="AK39" s="137">
        <f t="shared" si="32"/>
        <v>17444558</v>
      </c>
      <c r="IZ39" s="1"/>
    </row>
    <row r="40" spans="1:260">
      <c r="A40" s="66">
        <f t="shared" si="33"/>
        <v>2029</v>
      </c>
      <c r="B40" s="11">
        <f>'Travel Time'!B73</f>
        <v>21790</v>
      </c>
      <c r="C40" s="12">
        <f t="shared" si="4"/>
        <v>99</v>
      </c>
      <c r="D40" s="27">
        <f t="shared" si="5"/>
        <v>167</v>
      </c>
      <c r="E40" s="2">
        <f t="shared" si="6"/>
        <v>84</v>
      </c>
      <c r="F40" s="12">
        <f t="shared" si="7"/>
        <v>50</v>
      </c>
      <c r="G40" s="2">
        <f t="shared" si="8"/>
        <v>17</v>
      </c>
      <c r="H40" s="28">
        <f t="shared" si="9"/>
        <v>22</v>
      </c>
      <c r="I40" s="3">
        <f t="shared" si="10"/>
        <v>8</v>
      </c>
      <c r="J40" s="30">
        <f t="shared" si="11"/>
        <v>2</v>
      </c>
      <c r="K40" s="137">
        <f t="shared" si="12"/>
        <v>32856400</v>
      </c>
      <c r="L40" s="77"/>
      <c r="M40" s="66">
        <f t="shared" si="34"/>
        <v>2029</v>
      </c>
      <c r="N40" s="67">
        <f>'Travel Time'!E73</f>
        <v>21790</v>
      </c>
      <c r="O40" s="12">
        <f t="shared" si="13"/>
        <v>99</v>
      </c>
      <c r="P40" s="27">
        <f t="shared" si="14"/>
        <v>167</v>
      </c>
      <c r="Q40" s="2">
        <f t="shared" si="15"/>
        <v>84</v>
      </c>
      <c r="R40" s="12">
        <f t="shared" si="16"/>
        <v>50</v>
      </c>
      <c r="S40" s="2">
        <f t="shared" si="17"/>
        <v>17</v>
      </c>
      <c r="T40" s="28">
        <f t="shared" si="18"/>
        <v>22</v>
      </c>
      <c r="U40" s="3">
        <f t="shared" si="19"/>
        <v>8</v>
      </c>
      <c r="V40" s="30">
        <f t="shared" si="20"/>
        <v>2</v>
      </c>
      <c r="W40" s="137">
        <f t="shared" si="21"/>
        <v>32856400</v>
      </c>
      <c r="X40" s="2">
        <f t="shared" si="22"/>
        <v>59.051970701081274</v>
      </c>
      <c r="Y40" s="12">
        <f t="shared" si="23"/>
        <v>35.149982560167423</v>
      </c>
      <c r="Z40" s="2">
        <f t="shared" si="35"/>
        <v>7.829875518672198</v>
      </c>
      <c r="AA40" s="12">
        <f t="shared" si="36"/>
        <v>10.13278008298755</v>
      </c>
      <c r="AB40" s="2">
        <f t="shared" si="37"/>
        <v>3.6846473029045637</v>
      </c>
      <c r="AC40" s="12">
        <f t="shared" si="24"/>
        <v>1.142857142857143</v>
      </c>
      <c r="AD40" s="137">
        <f t="shared" si="25"/>
        <v>17845639</v>
      </c>
      <c r="AE40" s="2">
        <f t="shared" si="26"/>
        <v>44.822399999999995</v>
      </c>
      <c r="AF40" s="12">
        <f t="shared" si="27"/>
        <v>26.68</v>
      </c>
      <c r="AG40" s="2">
        <f t="shared" si="28"/>
        <v>9.0711999999999993</v>
      </c>
      <c r="AH40" s="12">
        <f t="shared" si="29"/>
        <v>11.739199999999999</v>
      </c>
      <c r="AI40" s="2">
        <f t="shared" si="30"/>
        <v>4.2687999999999997</v>
      </c>
      <c r="AJ40" s="12">
        <f t="shared" si="31"/>
        <v>1.0671999999999999</v>
      </c>
      <c r="AK40" s="137">
        <f t="shared" si="32"/>
        <v>17532175</v>
      </c>
      <c r="IZ40" s="1"/>
    </row>
    <row r="41" spans="1:260">
      <c r="A41" s="66">
        <f t="shared" si="33"/>
        <v>2030</v>
      </c>
      <c r="B41" s="11">
        <f>'Travel Time'!B74</f>
        <v>22130</v>
      </c>
      <c r="C41" s="12">
        <f t="shared" si="4"/>
        <v>100</v>
      </c>
      <c r="D41" s="27">
        <f t="shared" si="5"/>
        <v>168</v>
      </c>
      <c r="E41" s="2">
        <f t="shared" si="6"/>
        <v>85</v>
      </c>
      <c r="F41" s="12">
        <f t="shared" si="7"/>
        <v>50</v>
      </c>
      <c r="G41" s="2">
        <f t="shared" si="8"/>
        <v>18</v>
      </c>
      <c r="H41" s="28">
        <f t="shared" si="9"/>
        <v>22</v>
      </c>
      <c r="I41" s="3">
        <f t="shared" si="10"/>
        <v>8</v>
      </c>
      <c r="J41" s="30">
        <f t="shared" si="11"/>
        <v>2</v>
      </c>
      <c r="K41" s="137">
        <f t="shared" si="12"/>
        <v>32938200</v>
      </c>
      <c r="L41" s="77"/>
      <c r="M41" s="66">
        <f t="shared" si="34"/>
        <v>2030</v>
      </c>
      <c r="N41" s="67">
        <f>'Travel Time'!E74</f>
        <v>22130</v>
      </c>
      <c r="O41" s="12">
        <f t="shared" si="13"/>
        <v>100</v>
      </c>
      <c r="P41" s="27">
        <f t="shared" si="14"/>
        <v>168</v>
      </c>
      <c r="Q41" s="2">
        <f t="shared" si="15"/>
        <v>85</v>
      </c>
      <c r="R41" s="12">
        <f t="shared" si="16"/>
        <v>50</v>
      </c>
      <c r="S41" s="2">
        <f t="shared" si="17"/>
        <v>18</v>
      </c>
      <c r="T41" s="28">
        <f t="shared" si="18"/>
        <v>22</v>
      </c>
      <c r="U41" s="3">
        <f t="shared" si="19"/>
        <v>8</v>
      </c>
      <c r="V41" s="30">
        <f t="shared" si="20"/>
        <v>2</v>
      </c>
      <c r="W41" s="137">
        <f t="shared" si="21"/>
        <v>32938200</v>
      </c>
      <c r="X41" s="2">
        <f t="shared" si="22"/>
        <v>59.754970352284616</v>
      </c>
      <c r="Y41" s="12">
        <f t="shared" si="23"/>
        <v>35.149982560167423</v>
      </c>
      <c r="Z41" s="2">
        <f t="shared" si="35"/>
        <v>8.2904564315352687</v>
      </c>
      <c r="AA41" s="12">
        <f t="shared" si="36"/>
        <v>10.13278008298755</v>
      </c>
      <c r="AB41" s="2">
        <f t="shared" si="37"/>
        <v>3.6846473029045637</v>
      </c>
      <c r="AC41" s="12">
        <f t="shared" si="24"/>
        <v>1.142857142857143</v>
      </c>
      <c r="AD41" s="137">
        <f t="shared" si="25"/>
        <v>17884429</v>
      </c>
      <c r="AE41" s="2">
        <f t="shared" si="26"/>
        <v>45.355999999999995</v>
      </c>
      <c r="AF41" s="12">
        <f t="shared" si="27"/>
        <v>26.68</v>
      </c>
      <c r="AG41" s="2">
        <f t="shared" si="28"/>
        <v>9.6047999999999991</v>
      </c>
      <c r="AH41" s="12">
        <f t="shared" si="29"/>
        <v>11.739199999999999</v>
      </c>
      <c r="AI41" s="2">
        <f t="shared" si="30"/>
        <v>4.2687999999999997</v>
      </c>
      <c r="AJ41" s="12">
        <f t="shared" si="31"/>
        <v>1.0671999999999999</v>
      </c>
      <c r="AK41" s="137">
        <f t="shared" si="32"/>
        <v>17575824</v>
      </c>
      <c r="IZ41" s="1"/>
    </row>
    <row r="42" spans="1:260">
      <c r="A42" s="66">
        <f t="shared" si="33"/>
        <v>2031</v>
      </c>
      <c r="B42" s="11">
        <f>'Travel Time'!B75</f>
        <v>22475</v>
      </c>
      <c r="C42" s="12">
        <f t="shared" si="4"/>
        <v>102</v>
      </c>
      <c r="D42" s="27">
        <f t="shared" si="5"/>
        <v>172</v>
      </c>
      <c r="E42" s="2">
        <f t="shared" si="6"/>
        <v>87</v>
      </c>
      <c r="F42" s="12">
        <f t="shared" si="7"/>
        <v>51</v>
      </c>
      <c r="G42" s="2">
        <f t="shared" si="8"/>
        <v>18</v>
      </c>
      <c r="H42" s="28">
        <f t="shared" si="9"/>
        <v>22</v>
      </c>
      <c r="I42" s="3">
        <f t="shared" si="10"/>
        <v>8</v>
      </c>
      <c r="J42" s="30">
        <f t="shared" si="11"/>
        <v>2</v>
      </c>
      <c r="K42" s="137">
        <f t="shared" si="12"/>
        <v>32951300</v>
      </c>
      <c r="L42" s="77"/>
      <c r="M42" s="66">
        <f t="shared" si="34"/>
        <v>2031</v>
      </c>
      <c r="N42" s="67">
        <f>'Travel Time'!E75</f>
        <v>22475</v>
      </c>
      <c r="O42" s="12">
        <f t="shared" si="13"/>
        <v>102</v>
      </c>
      <c r="P42" s="27">
        <f t="shared" si="14"/>
        <v>172</v>
      </c>
      <c r="Q42" s="2">
        <f t="shared" si="15"/>
        <v>87</v>
      </c>
      <c r="R42" s="12">
        <f t="shared" si="16"/>
        <v>51</v>
      </c>
      <c r="S42" s="2">
        <f t="shared" si="17"/>
        <v>18</v>
      </c>
      <c r="T42" s="28">
        <f t="shared" si="18"/>
        <v>22</v>
      </c>
      <c r="U42" s="3">
        <f t="shared" si="19"/>
        <v>8</v>
      </c>
      <c r="V42" s="30">
        <f t="shared" si="20"/>
        <v>2</v>
      </c>
      <c r="W42" s="137">
        <f t="shared" si="21"/>
        <v>32951300</v>
      </c>
      <c r="X42" s="2">
        <f t="shared" si="22"/>
        <v>61.160969654691314</v>
      </c>
      <c r="Y42" s="12">
        <f t="shared" si="23"/>
        <v>35.852982211370772</v>
      </c>
      <c r="Z42" s="2">
        <f t="shared" si="35"/>
        <v>8.2904564315352687</v>
      </c>
      <c r="AA42" s="12">
        <f t="shared" si="36"/>
        <v>10.13278008298755</v>
      </c>
      <c r="AB42" s="2">
        <f t="shared" si="37"/>
        <v>3.6846473029045637</v>
      </c>
      <c r="AC42" s="12">
        <f t="shared" si="24"/>
        <v>1.142857142857143</v>
      </c>
      <c r="AD42" s="137">
        <f t="shared" si="25"/>
        <v>17893639</v>
      </c>
      <c r="AE42" s="2">
        <f t="shared" si="26"/>
        <v>46.423199999999994</v>
      </c>
      <c r="AF42" s="12">
        <f t="shared" si="27"/>
        <v>27.2136</v>
      </c>
      <c r="AG42" s="2">
        <f t="shared" si="28"/>
        <v>9.6047999999999991</v>
      </c>
      <c r="AH42" s="12">
        <f t="shared" si="29"/>
        <v>11.739199999999999</v>
      </c>
      <c r="AI42" s="2">
        <f t="shared" si="30"/>
        <v>4.2687999999999997</v>
      </c>
      <c r="AJ42" s="12">
        <f t="shared" si="31"/>
        <v>1.0671999999999999</v>
      </c>
      <c r="AK42" s="137">
        <f t="shared" si="32"/>
        <v>17582814</v>
      </c>
      <c r="IZ42" s="1"/>
    </row>
    <row r="43" spans="1:260">
      <c r="A43" s="66">
        <f t="shared" si="33"/>
        <v>2032</v>
      </c>
      <c r="B43" s="11">
        <f>'Travel Time'!B76</f>
        <v>22825</v>
      </c>
      <c r="C43" s="12">
        <f t="shared" si="4"/>
        <v>104</v>
      </c>
      <c r="D43" s="27">
        <f t="shared" si="5"/>
        <v>175</v>
      </c>
      <c r="E43" s="2">
        <f t="shared" si="6"/>
        <v>88</v>
      </c>
      <c r="F43" s="12">
        <f t="shared" si="7"/>
        <v>52</v>
      </c>
      <c r="G43" s="2">
        <f t="shared" si="8"/>
        <v>18</v>
      </c>
      <c r="H43" s="28">
        <f t="shared" si="9"/>
        <v>23</v>
      </c>
      <c r="I43" s="3">
        <f t="shared" si="10"/>
        <v>8</v>
      </c>
      <c r="J43" s="30">
        <f t="shared" si="11"/>
        <v>2</v>
      </c>
      <c r="K43" s="137">
        <f t="shared" si="12"/>
        <v>33110900</v>
      </c>
      <c r="L43" s="77"/>
      <c r="M43" s="66">
        <f t="shared" si="34"/>
        <v>2032</v>
      </c>
      <c r="N43" s="67">
        <f>'Travel Time'!E76</f>
        <v>22825</v>
      </c>
      <c r="O43" s="12">
        <f t="shared" si="13"/>
        <v>104</v>
      </c>
      <c r="P43" s="27">
        <f t="shared" si="14"/>
        <v>175</v>
      </c>
      <c r="Q43" s="2">
        <f t="shared" si="15"/>
        <v>88</v>
      </c>
      <c r="R43" s="12">
        <f t="shared" si="16"/>
        <v>52</v>
      </c>
      <c r="S43" s="2">
        <f t="shared" si="17"/>
        <v>18</v>
      </c>
      <c r="T43" s="28">
        <f t="shared" si="18"/>
        <v>23</v>
      </c>
      <c r="U43" s="3">
        <f t="shared" si="19"/>
        <v>8</v>
      </c>
      <c r="V43" s="30">
        <f t="shared" si="20"/>
        <v>2</v>
      </c>
      <c r="W43" s="137">
        <f t="shared" si="21"/>
        <v>33110900</v>
      </c>
      <c r="X43" s="2">
        <f t="shared" si="22"/>
        <v>61.863969305894663</v>
      </c>
      <c r="Y43" s="12">
        <f t="shared" si="23"/>
        <v>36.555981862574122</v>
      </c>
      <c r="Z43" s="2">
        <f t="shared" si="35"/>
        <v>8.2904564315352687</v>
      </c>
      <c r="AA43" s="12">
        <f t="shared" si="36"/>
        <v>10.59336099585062</v>
      </c>
      <c r="AB43" s="2">
        <f t="shared" si="37"/>
        <v>3.6846473029045637</v>
      </c>
      <c r="AC43" s="12">
        <f t="shared" si="24"/>
        <v>1.142857142857143</v>
      </c>
      <c r="AD43" s="137">
        <f t="shared" si="25"/>
        <v>17969208</v>
      </c>
      <c r="AE43" s="2">
        <f t="shared" si="26"/>
        <v>46.956799999999994</v>
      </c>
      <c r="AF43" s="12">
        <f t="shared" si="27"/>
        <v>27.747199999999999</v>
      </c>
      <c r="AG43" s="2">
        <f t="shared" si="28"/>
        <v>9.6047999999999991</v>
      </c>
      <c r="AH43" s="12">
        <f t="shared" si="29"/>
        <v>12.272799999999998</v>
      </c>
      <c r="AI43" s="2">
        <f t="shared" si="30"/>
        <v>4.2687999999999997</v>
      </c>
      <c r="AJ43" s="12">
        <f t="shared" si="31"/>
        <v>1.0671999999999999</v>
      </c>
      <c r="AK43" s="137">
        <f t="shared" si="32"/>
        <v>17667976</v>
      </c>
      <c r="IZ43" s="1"/>
    </row>
    <row r="44" spans="1:260">
      <c r="A44" s="66">
        <f t="shared" si="33"/>
        <v>2033</v>
      </c>
      <c r="B44" s="11">
        <f>'Travel Time'!B77</f>
        <v>23181</v>
      </c>
      <c r="C44" s="12">
        <f t="shared" si="4"/>
        <v>105</v>
      </c>
      <c r="D44" s="27">
        <f t="shared" si="5"/>
        <v>177</v>
      </c>
      <c r="E44" s="2">
        <f t="shared" si="6"/>
        <v>89</v>
      </c>
      <c r="F44" s="12">
        <f t="shared" si="7"/>
        <v>53</v>
      </c>
      <c r="G44" s="2">
        <f t="shared" si="8"/>
        <v>18</v>
      </c>
      <c r="H44" s="28">
        <f t="shared" si="9"/>
        <v>23</v>
      </c>
      <c r="I44" s="3">
        <f t="shared" si="10"/>
        <v>8</v>
      </c>
      <c r="J44" s="30">
        <f t="shared" si="11"/>
        <v>3</v>
      </c>
      <c r="K44" s="137">
        <f t="shared" si="12"/>
        <v>44719400</v>
      </c>
      <c r="L44" s="77"/>
      <c r="M44" s="66">
        <f t="shared" si="34"/>
        <v>2033</v>
      </c>
      <c r="N44" s="67">
        <f>'Travel Time'!E77</f>
        <v>23181</v>
      </c>
      <c r="O44" s="12">
        <f t="shared" si="13"/>
        <v>105</v>
      </c>
      <c r="P44" s="27">
        <f t="shared" si="14"/>
        <v>177</v>
      </c>
      <c r="Q44" s="2">
        <f t="shared" si="15"/>
        <v>89</v>
      </c>
      <c r="R44" s="12">
        <f t="shared" si="16"/>
        <v>53</v>
      </c>
      <c r="S44" s="2">
        <f t="shared" si="17"/>
        <v>18</v>
      </c>
      <c r="T44" s="28">
        <f t="shared" si="18"/>
        <v>23</v>
      </c>
      <c r="U44" s="3">
        <f t="shared" si="19"/>
        <v>8</v>
      </c>
      <c r="V44" s="30">
        <f t="shared" si="20"/>
        <v>3</v>
      </c>
      <c r="W44" s="137">
        <f t="shared" si="21"/>
        <v>44719400</v>
      </c>
      <c r="X44" s="2">
        <f t="shared" si="22"/>
        <v>62.566968957098013</v>
      </c>
      <c r="Y44" s="12">
        <f t="shared" si="23"/>
        <v>37.258981513777471</v>
      </c>
      <c r="Z44" s="2">
        <f t="shared" si="35"/>
        <v>8.2904564315352687</v>
      </c>
      <c r="AA44" s="12">
        <f t="shared" si="36"/>
        <v>10.59336099585062</v>
      </c>
      <c r="AB44" s="2">
        <f t="shared" si="37"/>
        <v>3.6846473029045637</v>
      </c>
      <c r="AC44" s="12">
        <f t="shared" si="24"/>
        <v>1.7142857142857144</v>
      </c>
      <c r="AD44" s="137">
        <f t="shared" si="25"/>
        <v>24603755</v>
      </c>
      <c r="AE44" s="2">
        <f t="shared" si="26"/>
        <v>47.490399999999994</v>
      </c>
      <c r="AF44" s="12">
        <f t="shared" si="27"/>
        <v>28.280799999999999</v>
      </c>
      <c r="AG44" s="2">
        <f t="shared" si="28"/>
        <v>9.6047999999999991</v>
      </c>
      <c r="AH44" s="12">
        <f t="shared" si="29"/>
        <v>12.272799999999998</v>
      </c>
      <c r="AI44" s="2">
        <f t="shared" si="30"/>
        <v>4.2687999999999997</v>
      </c>
      <c r="AJ44" s="12">
        <f t="shared" si="31"/>
        <v>1.6008</v>
      </c>
      <c r="AK44" s="137">
        <f t="shared" si="32"/>
        <v>23862272</v>
      </c>
      <c r="IZ44" s="1"/>
    </row>
    <row r="45" spans="1:260">
      <c r="A45" s="66">
        <f t="shared" si="33"/>
        <v>2034</v>
      </c>
      <c r="B45" s="11">
        <f>'Travel Time'!B78</f>
        <v>23543</v>
      </c>
      <c r="C45" s="12">
        <f t="shared" si="4"/>
        <v>107</v>
      </c>
      <c r="D45" s="27">
        <f t="shared" si="5"/>
        <v>180</v>
      </c>
      <c r="E45" s="2">
        <f t="shared" si="6"/>
        <v>91</v>
      </c>
      <c r="F45" s="12">
        <f t="shared" si="7"/>
        <v>54</v>
      </c>
      <c r="G45" s="2">
        <f t="shared" si="8"/>
        <v>19</v>
      </c>
      <c r="H45" s="28">
        <f t="shared" si="9"/>
        <v>23</v>
      </c>
      <c r="I45" s="3">
        <f t="shared" si="10"/>
        <v>8</v>
      </c>
      <c r="J45" s="30">
        <f t="shared" si="11"/>
        <v>3</v>
      </c>
      <c r="K45" s="137">
        <f t="shared" si="12"/>
        <v>44809700</v>
      </c>
      <c r="L45" s="77"/>
      <c r="M45" s="66">
        <f t="shared" si="34"/>
        <v>2034</v>
      </c>
      <c r="N45" s="67">
        <f>'Travel Time'!E78</f>
        <v>23543</v>
      </c>
      <c r="O45" s="12">
        <f t="shared" si="13"/>
        <v>107</v>
      </c>
      <c r="P45" s="27">
        <f t="shared" si="14"/>
        <v>180</v>
      </c>
      <c r="Q45" s="2">
        <f t="shared" si="15"/>
        <v>91</v>
      </c>
      <c r="R45" s="12">
        <f t="shared" si="16"/>
        <v>54</v>
      </c>
      <c r="S45" s="2">
        <f t="shared" si="17"/>
        <v>19</v>
      </c>
      <c r="T45" s="28">
        <f t="shared" si="18"/>
        <v>23</v>
      </c>
      <c r="U45" s="3">
        <f t="shared" si="19"/>
        <v>8</v>
      </c>
      <c r="V45" s="30">
        <f t="shared" si="20"/>
        <v>3</v>
      </c>
      <c r="W45" s="137">
        <f t="shared" si="21"/>
        <v>44809700</v>
      </c>
      <c r="X45" s="2">
        <f t="shared" si="22"/>
        <v>63.972968259504711</v>
      </c>
      <c r="Y45" s="12">
        <f t="shared" si="23"/>
        <v>37.961981164980813</v>
      </c>
      <c r="Z45" s="2">
        <f t="shared" si="35"/>
        <v>8.7510373443983394</v>
      </c>
      <c r="AA45" s="12">
        <f t="shared" si="36"/>
        <v>10.59336099585062</v>
      </c>
      <c r="AB45" s="2">
        <f t="shared" si="37"/>
        <v>3.6846473029045637</v>
      </c>
      <c r="AC45" s="12">
        <f t="shared" si="24"/>
        <v>1.7142857142857144</v>
      </c>
      <c r="AD45" s="137">
        <f t="shared" si="25"/>
        <v>24648521</v>
      </c>
      <c r="AE45" s="2">
        <f t="shared" si="26"/>
        <v>48.557599999999994</v>
      </c>
      <c r="AF45" s="12">
        <f t="shared" si="27"/>
        <v>28.814399999999999</v>
      </c>
      <c r="AG45" s="2">
        <f t="shared" si="28"/>
        <v>10.138399999999999</v>
      </c>
      <c r="AH45" s="12">
        <f t="shared" si="29"/>
        <v>12.272799999999998</v>
      </c>
      <c r="AI45" s="2">
        <f t="shared" si="30"/>
        <v>4.2687999999999997</v>
      </c>
      <c r="AJ45" s="12">
        <f t="shared" si="31"/>
        <v>1.6008</v>
      </c>
      <c r="AK45" s="137">
        <f t="shared" si="32"/>
        <v>23910456</v>
      </c>
      <c r="IZ45" s="1"/>
    </row>
    <row r="46" spans="1:260">
      <c r="A46" s="66">
        <f t="shared" si="33"/>
        <v>2035</v>
      </c>
      <c r="B46" s="11">
        <f>'Travel Time'!B79</f>
        <v>23910</v>
      </c>
      <c r="C46" s="12">
        <f t="shared" si="4"/>
        <v>109</v>
      </c>
      <c r="D46" s="27">
        <f t="shared" si="5"/>
        <v>184</v>
      </c>
      <c r="E46" s="2">
        <f t="shared" si="6"/>
        <v>92</v>
      </c>
      <c r="F46" s="12">
        <f t="shared" si="7"/>
        <v>55</v>
      </c>
      <c r="G46" s="2">
        <f t="shared" si="8"/>
        <v>19</v>
      </c>
      <c r="H46" s="28">
        <f t="shared" si="9"/>
        <v>24</v>
      </c>
      <c r="I46" s="3">
        <f t="shared" si="10"/>
        <v>9</v>
      </c>
      <c r="J46" s="30">
        <f t="shared" si="11"/>
        <v>3</v>
      </c>
      <c r="K46" s="137">
        <f t="shared" si="12"/>
        <v>45524100</v>
      </c>
      <c r="L46" s="77"/>
      <c r="M46" s="66">
        <f t="shared" si="34"/>
        <v>2035</v>
      </c>
      <c r="N46" s="67">
        <f>'Travel Time'!E79</f>
        <v>23910</v>
      </c>
      <c r="O46" s="12">
        <f t="shared" si="13"/>
        <v>109</v>
      </c>
      <c r="P46" s="27">
        <f t="shared" si="14"/>
        <v>184</v>
      </c>
      <c r="Q46" s="2">
        <f t="shared" si="15"/>
        <v>92</v>
      </c>
      <c r="R46" s="12">
        <f t="shared" si="16"/>
        <v>55</v>
      </c>
      <c r="S46" s="2">
        <f t="shared" si="17"/>
        <v>19</v>
      </c>
      <c r="T46" s="28">
        <f t="shared" si="18"/>
        <v>24</v>
      </c>
      <c r="U46" s="3">
        <f t="shared" si="19"/>
        <v>9</v>
      </c>
      <c r="V46" s="30">
        <f t="shared" si="20"/>
        <v>3</v>
      </c>
      <c r="W46" s="137">
        <f t="shared" si="21"/>
        <v>45524100</v>
      </c>
      <c r="X46" s="2">
        <f t="shared" si="22"/>
        <v>64.675967910708053</v>
      </c>
      <c r="Y46" s="12">
        <f t="shared" si="23"/>
        <v>38.664980816184169</v>
      </c>
      <c r="Z46" s="2">
        <f t="shared" si="35"/>
        <v>8.7510373443983394</v>
      </c>
      <c r="AA46" s="12">
        <f t="shared" si="36"/>
        <v>11.053941908713691</v>
      </c>
      <c r="AB46" s="2">
        <f t="shared" si="37"/>
        <v>4.1452282157676343</v>
      </c>
      <c r="AC46" s="12">
        <f t="shared" si="24"/>
        <v>1.7142857142857144</v>
      </c>
      <c r="AD46" s="137">
        <f t="shared" si="25"/>
        <v>24979620</v>
      </c>
      <c r="AE46" s="2">
        <f t="shared" si="26"/>
        <v>49.091199999999994</v>
      </c>
      <c r="AF46" s="12">
        <f t="shared" si="27"/>
        <v>29.347999999999999</v>
      </c>
      <c r="AG46" s="2">
        <f t="shared" si="28"/>
        <v>10.138399999999999</v>
      </c>
      <c r="AH46" s="12">
        <f t="shared" si="29"/>
        <v>12.8064</v>
      </c>
      <c r="AI46" s="2">
        <f t="shared" si="30"/>
        <v>4.8023999999999996</v>
      </c>
      <c r="AJ46" s="12">
        <f t="shared" si="31"/>
        <v>1.6008</v>
      </c>
      <c r="AK46" s="137">
        <f t="shared" si="32"/>
        <v>24291660</v>
      </c>
      <c r="IZ46" s="1"/>
    </row>
    <row r="47" spans="1:260">
      <c r="A47" s="66">
        <f t="shared" si="33"/>
        <v>2036</v>
      </c>
      <c r="B47" s="11">
        <f>'Travel Time'!B80</f>
        <v>24283</v>
      </c>
      <c r="C47" s="12">
        <f t="shared" si="4"/>
        <v>110</v>
      </c>
      <c r="D47" s="27">
        <f t="shared" si="5"/>
        <v>185</v>
      </c>
      <c r="E47" s="2">
        <f t="shared" si="6"/>
        <v>93</v>
      </c>
      <c r="F47" s="12">
        <f t="shared" si="7"/>
        <v>55</v>
      </c>
      <c r="G47" s="2">
        <f t="shared" si="8"/>
        <v>19</v>
      </c>
      <c r="H47" s="28">
        <f t="shared" si="9"/>
        <v>24</v>
      </c>
      <c r="I47" s="3">
        <f t="shared" si="10"/>
        <v>9</v>
      </c>
      <c r="J47" s="30">
        <f t="shared" si="11"/>
        <v>3</v>
      </c>
      <c r="K47" s="137">
        <f t="shared" si="12"/>
        <v>45528700</v>
      </c>
      <c r="L47" s="77"/>
      <c r="M47" s="66">
        <f t="shared" si="34"/>
        <v>2036</v>
      </c>
      <c r="N47" s="67">
        <f>'Travel Time'!E80</f>
        <v>24283</v>
      </c>
      <c r="O47" s="12">
        <f t="shared" si="13"/>
        <v>110</v>
      </c>
      <c r="P47" s="27">
        <f t="shared" si="14"/>
        <v>185</v>
      </c>
      <c r="Q47" s="2">
        <f t="shared" si="15"/>
        <v>93</v>
      </c>
      <c r="R47" s="12">
        <f t="shared" si="16"/>
        <v>55</v>
      </c>
      <c r="S47" s="2">
        <f t="shared" si="17"/>
        <v>19</v>
      </c>
      <c r="T47" s="28">
        <f t="shared" si="18"/>
        <v>24</v>
      </c>
      <c r="U47" s="3">
        <f t="shared" si="19"/>
        <v>9</v>
      </c>
      <c r="V47" s="30">
        <f t="shared" si="20"/>
        <v>3</v>
      </c>
      <c r="W47" s="137">
        <f t="shared" si="21"/>
        <v>45528700</v>
      </c>
      <c r="X47" s="2">
        <f t="shared" si="22"/>
        <v>65.378967561911409</v>
      </c>
      <c r="Y47" s="12">
        <f t="shared" si="23"/>
        <v>38.664980816184169</v>
      </c>
      <c r="Z47" s="2">
        <f t="shared" si="35"/>
        <v>8.7510373443983394</v>
      </c>
      <c r="AA47" s="12">
        <f t="shared" si="36"/>
        <v>11.053941908713691</v>
      </c>
      <c r="AB47" s="2">
        <f t="shared" si="37"/>
        <v>4.1452282157676343</v>
      </c>
      <c r="AC47" s="12">
        <f t="shared" si="24"/>
        <v>1.7142857142857144</v>
      </c>
      <c r="AD47" s="137">
        <f t="shared" si="25"/>
        <v>24982854</v>
      </c>
      <c r="AE47" s="2">
        <f t="shared" si="26"/>
        <v>49.624799999999993</v>
      </c>
      <c r="AF47" s="12">
        <f t="shared" si="27"/>
        <v>29.347999999999999</v>
      </c>
      <c r="AG47" s="2">
        <f t="shared" si="28"/>
        <v>10.138399999999999</v>
      </c>
      <c r="AH47" s="12">
        <f t="shared" si="29"/>
        <v>12.8064</v>
      </c>
      <c r="AI47" s="2">
        <f t="shared" si="30"/>
        <v>4.8023999999999996</v>
      </c>
      <c r="AJ47" s="12">
        <f t="shared" si="31"/>
        <v>1.6008</v>
      </c>
      <c r="AK47" s="137">
        <f t="shared" si="32"/>
        <v>24294114</v>
      </c>
      <c r="IZ47" s="1"/>
    </row>
    <row r="48" spans="1:260">
      <c r="A48" s="66">
        <f t="shared" si="33"/>
        <v>2037</v>
      </c>
      <c r="B48" s="11">
        <f>'Travel Time'!B81</f>
        <v>24661</v>
      </c>
      <c r="C48" s="12">
        <f t="shared" si="4"/>
        <v>112</v>
      </c>
      <c r="D48" s="27">
        <f t="shared" si="5"/>
        <v>189</v>
      </c>
      <c r="E48" s="2">
        <f t="shared" si="6"/>
        <v>95</v>
      </c>
      <c r="F48" s="12">
        <f t="shared" si="7"/>
        <v>56</v>
      </c>
      <c r="G48" s="2">
        <f t="shared" si="8"/>
        <v>20</v>
      </c>
      <c r="H48" s="28">
        <f t="shared" si="9"/>
        <v>24</v>
      </c>
      <c r="I48" s="3">
        <f t="shared" si="10"/>
        <v>9</v>
      </c>
      <c r="J48" s="30">
        <f t="shared" si="11"/>
        <v>3</v>
      </c>
      <c r="K48" s="137">
        <f t="shared" si="12"/>
        <v>45619000</v>
      </c>
      <c r="L48" s="77"/>
      <c r="M48" s="66">
        <f t="shared" si="34"/>
        <v>2037</v>
      </c>
      <c r="N48" s="67">
        <f>'Travel Time'!E81</f>
        <v>24661</v>
      </c>
      <c r="O48" s="12">
        <f t="shared" si="13"/>
        <v>112</v>
      </c>
      <c r="P48" s="27">
        <f t="shared" si="14"/>
        <v>189</v>
      </c>
      <c r="Q48" s="2">
        <f t="shared" si="15"/>
        <v>95</v>
      </c>
      <c r="R48" s="12">
        <f t="shared" si="16"/>
        <v>56</v>
      </c>
      <c r="S48" s="2">
        <f t="shared" si="17"/>
        <v>20</v>
      </c>
      <c r="T48" s="28">
        <f t="shared" si="18"/>
        <v>24</v>
      </c>
      <c r="U48" s="3">
        <f t="shared" si="19"/>
        <v>9</v>
      </c>
      <c r="V48" s="30">
        <f t="shared" si="20"/>
        <v>3</v>
      </c>
      <c r="W48" s="137">
        <f t="shared" si="21"/>
        <v>45619000</v>
      </c>
      <c r="X48" s="2">
        <f t="shared" si="22"/>
        <v>66.784966864318108</v>
      </c>
      <c r="Y48" s="12">
        <f t="shared" si="23"/>
        <v>39.367980467387511</v>
      </c>
      <c r="Z48" s="2">
        <f t="shared" si="35"/>
        <v>9.21161825726141</v>
      </c>
      <c r="AA48" s="12">
        <f t="shared" si="36"/>
        <v>11.053941908713691</v>
      </c>
      <c r="AB48" s="2">
        <f t="shared" si="37"/>
        <v>4.1452282157676343</v>
      </c>
      <c r="AC48" s="12">
        <f t="shared" si="24"/>
        <v>1.7142857142857144</v>
      </c>
      <c r="AD48" s="137">
        <f t="shared" si="25"/>
        <v>25027620</v>
      </c>
      <c r="AE48" s="2">
        <f t="shared" si="26"/>
        <v>50.691999999999993</v>
      </c>
      <c r="AF48" s="12">
        <f t="shared" si="27"/>
        <v>29.881599999999999</v>
      </c>
      <c r="AG48" s="2">
        <f t="shared" si="28"/>
        <v>10.671999999999999</v>
      </c>
      <c r="AH48" s="12">
        <f t="shared" si="29"/>
        <v>12.8064</v>
      </c>
      <c r="AI48" s="2">
        <f t="shared" si="30"/>
        <v>4.8023999999999996</v>
      </c>
      <c r="AJ48" s="12">
        <f t="shared" si="31"/>
        <v>1.6008</v>
      </c>
      <c r="AK48" s="137">
        <f t="shared" si="32"/>
        <v>24342298</v>
      </c>
      <c r="IZ48" s="1"/>
    </row>
    <row r="49" spans="1:260">
      <c r="A49" s="66">
        <f t="shared" si="33"/>
        <v>2038</v>
      </c>
      <c r="B49" s="11">
        <f>'Travel Time'!B82</f>
        <v>25046</v>
      </c>
      <c r="C49" s="12">
        <f t="shared" si="4"/>
        <v>114</v>
      </c>
      <c r="D49" s="27">
        <f t="shared" si="5"/>
        <v>192</v>
      </c>
      <c r="E49" s="2">
        <f t="shared" si="6"/>
        <v>97</v>
      </c>
      <c r="F49" s="12">
        <f t="shared" si="7"/>
        <v>57</v>
      </c>
      <c r="G49" s="2">
        <f t="shared" si="8"/>
        <v>20</v>
      </c>
      <c r="H49" s="28">
        <f t="shared" si="9"/>
        <v>25</v>
      </c>
      <c r="I49" s="3">
        <f t="shared" si="10"/>
        <v>9</v>
      </c>
      <c r="J49" s="30">
        <f t="shared" si="11"/>
        <v>3</v>
      </c>
      <c r="K49" s="137">
        <f t="shared" si="12"/>
        <v>45783200</v>
      </c>
      <c r="L49" s="77"/>
      <c r="M49" s="66">
        <f t="shared" si="34"/>
        <v>2038</v>
      </c>
      <c r="N49" s="67">
        <f>'Travel Time'!E82</f>
        <v>25046</v>
      </c>
      <c r="O49" s="12">
        <f t="shared" si="13"/>
        <v>114</v>
      </c>
      <c r="P49" s="27">
        <f t="shared" si="14"/>
        <v>192</v>
      </c>
      <c r="Q49" s="2">
        <f t="shared" si="15"/>
        <v>97</v>
      </c>
      <c r="R49" s="12">
        <f t="shared" si="16"/>
        <v>57</v>
      </c>
      <c r="S49" s="2">
        <f t="shared" si="17"/>
        <v>20</v>
      </c>
      <c r="T49" s="28">
        <f t="shared" si="18"/>
        <v>25</v>
      </c>
      <c r="U49" s="3">
        <f t="shared" si="19"/>
        <v>9</v>
      </c>
      <c r="V49" s="30">
        <f t="shared" si="20"/>
        <v>3</v>
      </c>
      <c r="W49" s="137">
        <f t="shared" si="21"/>
        <v>45783200</v>
      </c>
      <c r="X49" s="2">
        <f t="shared" si="22"/>
        <v>68.190966166724792</v>
      </c>
      <c r="Y49" s="12">
        <f t="shared" si="23"/>
        <v>40.07098011859086</v>
      </c>
      <c r="Z49" s="2">
        <f t="shared" si="35"/>
        <v>9.21161825726141</v>
      </c>
      <c r="AA49" s="12">
        <f t="shared" si="36"/>
        <v>11.514522821576762</v>
      </c>
      <c r="AB49" s="2">
        <f t="shared" si="37"/>
        <v>4.1452282157676343</v>
      </c>
      <c r="AC49" s="12">
        <f t="shared" si="24"/>
        <v>1.7142857142857144</v>
      </c>
      <c r="AD49" s="137">
        <f t="shared" si="25"/>
        <v>25106423</v>
      </c>
      <c r="AE49" s="2">
        <f t="shared" si="26"/>
        <v>51.7592</v>
      </c>
      <c r="AF49" s="12">
        <f t="shared" si="27"/>
        <v>30.415199999999999</v>
      </c>
      <c r="AG49" s="2">
        <f t="shared" si="28"/>
        <v>10.671999999999999</v>
      </c>
      <c r="AH49" s="12">
        <f t="shared" si="29"/>
        <v>13.34</v>
      </c>
      <c r="AI49" s="2">
        <f t="shared" si="30"/>
        <v>4.8023999999999996</v>
      </c>
      <c r="AJ49" s="12">
        <f t="shared" si="31"/>
        <v>1.6008</v>
      </c>
      <c r="AK49" s="137">
        <f t="shared" si="32"/>
        <v>24429916</v>
      </c>
      <c r="IZ49" s="1"/>
    </row>
    <row r="50" spans="1:260">
      <c r="A50" s="66">
        <f t="shared" si="33"/>
        <v>2039</v>
      </c>
      <c r="B50" s="11">
        <f>'Travel Time'!B83</f>
        <v>25436</v>
      </c>
      <c r="C50" s="12">
        <f t="shared" si="4"/>
        <v>116</v>
      </c>
      <c r="D50" s="27">
        <f t="shared" si="5"/>
        <v>195</v>
      </c>
      <c r="E50" s="2">
        <f t="shared" si="6"/>
        <v>98</v>
      </c>
      <c r="F50" s="12">
        <f t="shared" si="7"/>
        <v>58</v>
      </c>
      <c r="G50" s="2">
        <f t="shared" si="8"/>
        <v>20</v>
      </c>
      <c r="H50" s="28">
        <f t="shared" si="9"/>
        <v>25</v>
      </c>
      <c r="I50" s="3">
        <f t="shared" si="10"/>
        <v>9</v>
      </c>
      <c r="J50" s="30">
        <f t="shared" si="11"/>
        <v>3</v>
      </c>
      <c r="K50" s="137">
        <f t="shared" si="12"/>
        <v>45791700</v>
      </c>
      <c r="L50" s="77"/>
      <c r="M50" s="66">
        <f t="shared" si="34"/>
        <v>2039</v>
      </c>
      <c r="N50" s="67">
        <f>'Travel Time'!E83</f>
        <v>25436</v>
      </c>
      <c r="O50" s="12">
        <f t="shared" si="13"/>
        <v>116</v>
      </c>
      <c r="P50" s="27">
        <f t="shared" si="14"/>
        <v>195</v>
      </c>
      <c r="Q50" s="2">
        <f t="shared" si="15"/>
        <v>98</v>
      </c>
      <c r="R50" s="12">
        <f t="shared" si="16"/>
        <v>58</v>
      </c>
      <c r="S50" s="2">
        <f t="shared" si="17"/>
        <v>20</v>
      </c>
      <c r="T50" s="28">
        <f t="shared" si="18"/>
        <v>25</v>
      </c>
      <c r="U50" s="3">
        <f t="shared" si="19"/>
        <v>9</v>
      </c>
      <c r="V50" s="30">
        <f t="shared" si="20"/>
        <v>3</v>
      </c>
      <c r="W50" s="137">
        <f t="shared" si="21"/>
        <v>45791700</v>
      </c>
      <c r="X50" s="2">
        <f t="shared" si="22"/>
        <v>68.893965817928148</v>
      </c>
      <c r="Y50" s="12">
        <f t="shared" si="23"/>
        <v>40.773979769794209</v>
      </c>
      <c r="Z50" s="2">
        <f t="shared" si="35"/>
        <v>9.21161825726141</v>
      </c>
      <c r="AA50" s="12">
        <f t="shared" si="36"/>
        <v>11.514522821576762</v>
      </c>
      <c r="AB50" s="2">
        <f t="shared" si="37"/>
        <v>4.1452282157676343</v>
      </c>
      <c r="AC50" s="12">
        <f t="shared" si="24"/>
        <v>1.7142857142857144</v>
      </c>
      <c r="AD50" s="137">
        <f t="shared" si="25"/>
        <v>25112399</v>
      </c>
      <c r="AE50" s="2">
        <f t="shared" si="26"/>
        <v>52.2928</v>
      </c>
      <c r="AF50" s="12">
        <f t="shared" si="27"/>
        <v>30.948799999999999</v>
      </c>
      <c r="AG50" s="2">
        <f t="shared" si="28"/>
        <v>10.671999999999999</v>
      </c>
      <c r="AH50" s="12">
        <f t="shared" si="29"/>
        <v>13.34</v>
      </c>
      <c r="AI50" s="2">
        <f t="shared" si="30"/>
        <v>4.8023999999999996</v>
      </c>
      <c r="AJ50" s="12">
        <f t="shared" si="31"/>
        <v>1.6008</v>
      </c>
      <c r="AK50" s="137">
        <f t="shared" si="32"/>
        <v>24434451</v>
      </c>
      <c r="IZ50" s="1"/>
    </row>
    <row r="51" spans="1:260">
      <c r="A51" s="66">
        <f t="shared" si="33"/>
        <v>2040</v>
      </c>
      <c r="B51" s="11">
        <f>'Travel Time'!B84</f>
        <v>25833</v>
      </c>
      <c r="C51" s="12">
        <f t="shared" si="4"/>
        <v>117</v>
      </c>
      <c r="D51" s="27">
        <f t="shared" si="5"/>
        <v>197</v>
      </c>
      <c r="E51" s="2">
        <f t="shared" si="6"/>
        <v>99</v>
      </c>
      <c r="F51" s="12">
        <f t="shared" si="7"/>
        <v>59</v>
      </c>
      <c r="G51" s="2">
        <f t="shared" si="8"/>
        <v>20</v>
      </c>
      <c r="H51" s="28">
        <f t="shared" si="9"/>
        <v>26</v>
      </c>
      <c r="I51" s="3">
        <f t="shared" si="10"/>
        <v>9</v>
      </c>
      <c r="J51" s="30">
        <f t="shared" si="11"/>
        <v>3</v>
      </c>
      <c r="K51" s="137">
        <f t="shared" si="12"/>
        <v>45951300</v>
      </c>
      <c r="L51" s="77"/>
      <c r="M51" s="66">
        <f t="shared" si="34"/>
        <v>2040</v>
      </c>
      <c r="N51" s="67">
        <f>'Travel Time'!E84</f>
        <v>25833</v>
      </c>
      <c r="O51" s="12">
        <f t="shared" si="13"/>
        <v>117</v>
      </c>
      <c r="P51" s="27">
        <f t="shared" si="14"/>
        <v>197</v>
      </c>
      <c r="Q51" s="2">
        <f t="shared" si="15"/>
        <v>99</v>
      </c>
      <c r="R51" s="12">
        <f t="shared" si="16"/>
        <v>59</v>
      </c>
      <c r="S51" s="2">
        <f t="shared" si="17"/>
        <v>20</v>
      </c>
      <c r="T51" s="28">
        <f t="shared" si="18"/>
        <v>26</v>
      </c>
      <c r="U51" s="3">
        <f t="shared" si="19"/>
        <v>9</v>
      </c>
      <c r="V51" s="30">
        <f t="shared" si="20"/>
        <v>3</v>
      </c>
      <c r="W51" s="137">
        <f t="shared" si="21"/>
        <v>45951300</v>
      </c>
      <c r="X51" s="2">
        <f t="shared" si="22"/>
        <v>69.596965469131504</v>
      </c>
      <c r="Y51" s="12">
        <f t="shared" si="23"/>
        <v>41.476979420997559</v>
      </c>
      <c r="Z51" s="2">
        <f t="shared" si="35"/>
        <v>9.21161825726141</v>
      </c>
      <c r="AA51" s="12">
        <f t="shared" si="36"/>
        <v>11.975103734439832</v>
      </c>
      <c r="AB51" s="2">
        <f t="shared" si="37"/>
        <v>4.1452282157676343</v>
      </c>
      <c r="AC51" s="12">
        <f t="shared" si="24"/>
        <v>1.7142857142857144</v>
      </c>
      <c r="AD51" s="137">
        <f t="shared" si="25"/>
        <v>25187968</v>
      </c>
      <c r="AE51" s="2">
        <f t="shared" si="26"/>
        <v>52.8264</v>
      </c>
      <c r="AF51" s="12">
        <f t="shared" si="27"/>
        <v>31.482399999999998</v>
      </c>
      <c r="AG51" s="2">
        <f t="shared" si="28"/>
        <v>10.671999999999999</v>
      </c>
      <c r="AH51" s="12">
        <f t="shared" si="29"/>
        <v>13.8736</v>
      </c>
      <c r="AI51" s="2">
        <f t="shared" si="30"/>
        <v>4.8023999999999996</v>
      </c>
      <c r="AJ51" s="12">
        <f t="shared" si="31"/>
        <v>1.6008</v>
      </c>
      <c r="AK51" s="137">
        <f t="shared" si="32"/>
        <v>24519614</v>
      </c>
      <c r="IZ51" s="1"/>
    </row>
    <row r="52" spans="1:260">
      <c r="A52" s="66">
        <f t="shared" si="33"/>
        <v>2041</v>
      </c>
      <c r="B52" s="11">
        <f>'Travel Time'!B85</f>
        <v>26236</v>
      </c>
      <c r="C52" s="12">
        <f t="shared" si="4"/>
        <v>119</v>
      </c>
      <c r="D52" s="27">
        <f t="shared" si="5"/>
        <v>200</v>
      </c>
      <c r="E52" s="2">
        <f t="shared" si="6"/>
        <v>101</v>
      </c>
      <c r="F52" s="12">
        <f t="shared" si="7"/>
        <v>60</v>
      </c>
      <c r="G52" s="2">
        <f t="shared" si="8"/>
        <v>21</v>
      </c>
      <c r="H52" s="28">
        <f t="shared" si="9"/>
        <v>26</v>
      </c>
      <c r="I52" s="3">
        <f t="shared" si="10"/>
        <v>9</v>
      </c>
      <c r="J52" s="30">
        <f t="shared" si="11"/>
        <v>3</v>
      </c>
      <c r="K52" s="137">
        <f t="shared" si="12"/>
        <v>46041600</v>
      </c>
      <c r="L52" s="77"/>
      <c r="M52" s="66">
        <f t="shared" si="34"/>
        <v>2041</v>
      </c>
      <c r="N52" s="67">
        <f>'Travel Time'!E85</f>
        <v>26236</v>
      </c>
      <c r="O52" s="12">
        <f t="shared" si="13"/>
        <v>119</v>
      </c>
      <c r="P52" s="27">
        <f t="shared" si="14"/>
        <v>200</v>
      </c>
      <c r="Q52" s="2">
        <f t="shared" si="15"/>
        <v>101</v>
      </c>
      <c r="R52" s="12">
        <f t="shared" si="16"/>
        <v>60</v>
      </c>
      <c r="S52" s="2">
        <f t="shared" si="17"/>
        <v>21</v>
      </c>
      <c r="T52" s="28">
        <f t="shared" si="18"/>
        <v>26</v>
      </c>
      <c r="U52" s="3">
        <f t="shared" si="19"/>
        <v>9</v>
      </c>
      <c r="V52" s="30">
        <f t="shared" si="20"/>
        <v>3</v>
      </c>
      <c r="W52" s="137">
        <f t="shared" si="21"/>
        <v>46041600</v>
      </c>
      <c r="X52" s="2">
        <f t="shared" si="22"/>
        <v>71.002964771538188</v>
      </c>
      <c r="Y52" s="12">
        <f t="shared" si="23"/>
        <v>42.179979072200908</v>
      </c>
      <c r="Z52" s="2">
        <f t="shared" si="35"/>
        <v>9.6721991701244789</v>
      </c>
      <c r="AA52" s="12">
        <f t="shared" si="36"/>
        <v>11.975103734439832</v>
      </c>
      <c r="AB52" s="2">
        <f t="shared" si="37"/>
        <v>4.1452282157676343</v>
      </c>
      <c r="AC52" s="12">
        <f t="shared" si="24"/>
        <v>1.7142857142857144</v>
      </c>
      <c r="AD52" s="137">
        <f t="shared" si="25"/>
        <v>25232734</v>
      </c>
      <c r="AE52" s="2">
        <f t="shared" si="26"/>
        <v>53.893599999999999</v>
      </c>
      <c r="AF52" s="12">
        <f t="shared" si="27"/>
        <v>32.015999999999998</v>
      </c>
      <c r="AG52" s="2">
        <f t="shared" si="28"/>
        <v>11.205599999999999</v>
      </c>
      <c r="AH52" s="12">
        <f t="shared" si="29"/>
        <v>13.8736</v>
      </c>
      <c r="AI52" s="2">
        <f t="shared" si="30"/>
        <v>4.8023999999999996</v>
      </c>
      <c r="AJ52" s="12">
        <f t="shared" si="31"/>
        <v>1.6008</v>
      </c>
      <c r="AK52" s="137">
        <f t="shared" si="32"/>
        <v>24567798</v>
      </c>
      <c r="IZ52" s="1"/>
    </row>
    <row r="53" spans="1:260">
      <c r="A53" s="66">
        <f t="shared" si="33"/>
        <v>2042</v>
      </c>
      <c r="B53" s="11">
        <f>'Travel Time'!B86</f>
        <v>26645</v>
      </c>
      <c r="C53" s="12">
        <f t="shared" si="4"/>
        <v>121</v>
      </c>
      <c r="D53" s="27">
        <f t="shared" si="5"/>
        <v>204</v>
      </c>
      <c r="E53" s="2">
        <f t="shared" si="6"/>
        <v>103</v>
      </c>
      <c r="F53" s="12">
        <f t="shared" si="7"/>
        <v>61</v>
      </c>
      <c r="G53" s="2">
        <f t="shared" si="8"/>
        <v>21</v>
      </c>
      <c r="H53" s="28">
        <f t="shared" si="9"/>
        <v>26</v>
      </c>
      <c r="I53" s="3">
        <f t="shared" si="10"/>
        <v>10</v>
      </c>
      <c r="J53" s="30">
        <f t="shared" si="11"/>
        <v>3</v>
      </c>
      <c r="K53" s="137">
        <f t="shared" si="12"/>
        <v>46609500</v>
      </c>
      <c r="L53" s="77"/>
      <c r="M53" s="66">
        <f t="shared" si="34"/>
        <v>2042</v>
      </c>
      <c r="N53" s="67">
        <f>'Travel Time'!E86</f>
        <v>26645</v>
      </c>
      <c r="O53" s="12">
        <f t="shared" si="13"/>
        <v>121</v>
      </c>
      <c r="P53" s="27">
        <f t="shared" si="14"/>
        <v>204</v>
      </c>
      <c r="Q53" s="2">
        <f t="shared" si="15"/>
        <v>103</v>
      </c>
      <c r="R53" s="12">
        <f t="shared" si="16"/>
        <v>61</v>
      </c>
      <c r="S53" s="2">
        <f t="shared" si="17"/>
        <v>21</v>
      </c>
      <c r="T53" s="28">
        <f t="shared" si="18"/>
        <v>26</v>
      </c>
      <c r="U53" s="3">
        <f t="shared" si="19"/>
        <v>10</v>
      </c>
      <c r="V53" s="30">
        <f t="shared" si="20"/>
        <v>3</v>
      </c>
      <c r="W53" s="137">
        <f t="shared" si="21"/>
        <v>46609500</v>
      </c>
      <c r="X53" s="2">
        <f t="shared" si="22"/>
        <v>72.408964073944887</v>
      </c>
      <c r="Y53" s="12">
        <f t="shared" si="23"/>
        <v>42.882978723404257</v>
      </c>
      <c r="Z53" s="2">
        <f t="shared" si="35"/>
        <v>9.6721991701244789</v>
      </c>
      <c r="AA53" s="12">
        <f t="shared" si="36"/>
        <v>11.975103734439832</v>
      </c>
      <c r="AB53" s="2">
        <f t="shared" si="37"/>
        <v>4.605809128630705</v>
      </c>
      <c r="AC53" s="12">
        <f t="shared" si="24"/>
        <v>1.7142857142857144</v>
      </c>
      <c r="AD53" s="137">
        <f t="shared" si="25"/>
        <v>25497474</v>
      </c>
      <c r="AE53" s="2">
        <f t="shared" si="26"/>
        <v>54.960799999999999</v>
      </c>
      <c r="AF53" s="12">
        <f t="shared" si="27"/>
        <v>32.549599999999998</v>
      </c>
      <c r="AG53" s="2">
        <f t="shared" si="28"/>
        <v>11.205599999999999</v>
      </c>
      <c r="AH53" s="12">
        <f t="shared" si="29"/>
        <v>13.8736</v>
      </c>
      <c r="AI53" s="2">
        <f t="shared" si="30"/>
        <v>5.3359999999999994</v>
      </c>
      <c r="AJ53" s="12">
        <f t="shared" si="31"/>
        <v>1.6008</v>
      </c>
      <c r="AK53" s="137">
        <f t="shared" si="32"/>
        <v>24870829</v>
      </c>
      <c r="IZ53" s="1"/>
    </row>
    <row r="54" spans="1:260">
      <c r="A54" s="66">
        <f t="shared" si="33"/>
        <v>2043</v>
      </c>
      <c r="B54" s="11">
        <f>'Travel Time'!B87</f>
        <v>27061</v>
      </c>
      <c r="C54" s="12">
        <f t="shared" si="4"/>
        <v>123</v>
      </c>
      <c r="D54" s="27">
        <f t="shared" si="5"/>
        <v>207</v>
      </c>
      <c r="E54" s="2">
        <f t="shared" si="6"/>
        <v>104</v>
      </c>
      <c r="F54" s="12">
        <f t="shared" si="7"/>
        <v>62</v>
      </c>
      <c r="G54" s="2">
        <f t="shared" si="8"/>
        <v>22</v>
      </c>
      <c r="H54" s="28">
        <f t="shared" si="9"/>
        <v>27</v>
      </c>
      <c r="I54" s="3">
        <f t="shared" si="10"/>
        <v>10</v>
      </c>
      <c r="J54" s="30">
        <f t="shared" si="11"/>
        <v>3</v>
      </c>
      <c r="K54" s="137">
        <f t="shared" si="12"/>
        <v>46846300</v>
      </c>
      <c r="L54" s="77"/>
      <c r="M54" s="66">
        <f t="shared" si="34"/>
        <v>2043</v>
      </c>
      <c r="N54" s="67">
        <f>'Travel Time'!E87</f>
        <v>27061</v>
      </c>
      <c r="O54" s="12">
        <f t="shared" si="13"/>
        <v>123</v>
      </c>
      <c r="P54" s="27">
        <f t="shared" si="14"/>
        <v>207</v>
      </c>
      <c r="Q54" s="2">
        <f t="shared" si="15"/>
        <v>104</v>
      </c>
      <c r="R54" s="12">
        <f t="shared" si="16"/>
        <v>62</v>
      </c>
      <c r="S54" s="2">
        <f t="shared" si="17"/>
        <v>22</v>
      </c>
      <c r="T54" s="28">
        <f t="shared" si="18"/>
        <v>27</v>
      </c>
      <c r="U54" s="3">
        <f t="shared" si="19"/>
        <v>10</v>
      </c>
      <c r="V54" s="30">
        <f t="shared" si="20"/>
        <v>3</v>
      </c>
      <c r="W54" s="137">
        <f t="shared" si="21"/>
        <v>46846300</v>
      </c>
      <c r="X54" s="2">
        <f t="shared" si="22"/>
        <v>73.111963725148243</v>
      </c>
      <c r="Y54" s="12">
        <f t="shared" si="23"/>
        <v>43.585978374607606</v>
      </c>
      <c r="Z54" s="2">
        <f t="shared" si="35"/>
        <v>10.13278008298755</v>
      </c>
      <c r="AA54" s="12">
        <f t="shared" si="36"/>
        <v>12.435684647302903</v>
      </c>
      <c r="AB54" s="2">
        <f t="shared" si="37"/>
        <v>4.605809128630705</v>
      </c>
      <c r="AC54" s="12">
        <f t="shared" si="24"/>
        <v>1.7142857142857144</v>
      </c>
      <c r="AD54" s="137">
        <f t="shared" si="25"/>
        <v>25608600</v>
      </c>
      <c r="AE54" s="2">
        <f t="shared" si="26"/>
        <v>55.494399999999999</v>
      </c>
      <c r="AF54" s="12">
        <f t="shared" si="27"/>
        <v>33.083199999999998</v>
      </c>
      <c r="AG54" s="2">
        <f t="shared" si="28"/>
        <v>11.739199999999999</v>
      </c>
      <c r="AH54" s="12">
        <f t="shared" si="29"/>
        <v>14.4072</v>
      </c>
      <c r="AI54" s="2">
        <f t="shared" si="30"/>
        <v>5.3359999999999994</v>
      </c>
      <c r="AJ54" s="12">
        <f t="shared" si="31"/>
        <v>1.6008</v>
      </c>
      <c r="AK54" s="137">
        <f t="shared" si="32"/>
        <v>24997186</v>
      </c>
      <c r="IZ54" s="1"/>
    </row>
    <row r="55" spans="1:260">
      <c r="A55" s="66">
        <f t="shared" si="33"/>
        <v>2044</v>
      </c>
      <c r="B55" s="11">
        <f>'Travel Time'!B88</f>
        <v>27483</v>
      </c>
      <c r="C55" s="12">
        <f t="shared" si="4"/>
        <v>125</v>
      </c>
      <c r="D55" s="27">
        <f t="shared" si="5"/>
        <v>211</v>
      </c>
      <c r="E55" s="2">
        <f t="shared" si="6"/>
        <v>106</v>
      </c>
      <c r="F55" s="12">
        <f t="shared" si="7"/>
        <v>63</v>
      </c>
      <c r="G55" s="2">
        <f t="shared" si="8"/>
        <v>22</v>
      </c>
      <c r="H55" s="28">
        <f t="shared" si="9"/>
        <v>27</v>
      </c>
      <c r="I55" s="3">
        <f t="shared" si="10"/>
        <v>10</v>
      </c>
      <c r="J55" s="30">
        <f t="shared" si="11"/>
        <v>3</v>
      </c>
      <c r="K55" s="137">
        <f t="shared" si="12"/>
        <v>46859400</v>
      </c>
      <c r="L55" s="77"/>
      <c r="M55" s="66">
        <f t="shared" si="34"/>
        <v>2044</v>
      </c>
      <c r="N55" s="67">
        <f>'Travel Time'!E88</f>
        <v>27483</v>
      </c>
      <c r="O55" s="12">
        <f t="shared" si="13"/>
        <v>125</v>
      </c>
      <c r="P55" s="27">
        <f t="shared" si="14"/>
        <v>211</v>
      </c>
      <c r="Q55" s="2">
        <f t="shared" si="15"/>
        <v>106</v>
      </c>
      <c r="R55" s="12">
        <f t="shared" si="16"/>
        <v>63</v>
      </c>
      <c r="S55" s="2">
        <f t="shared" si="17"/>
        <v>22</v>
      </c>
      <c r="T55" s="28">
        <f t="shared" si="18"/>
        <v>27</v>
      </c>
      <c r="U55" s="3">
        <f t="shared" si="19"/>
        <v>10</v>
      </c>
      <c r="V55" s="30">
        <f t="shared" si="20"/>
        <v>3</v>
      </c>
      <c r="W55" s="137">
        <f t="shared" si="21"/>
        <v>46859400</v>
      </c>
      <c r="X55" s="2">
        <f t="shared" si="22"/>
        <v>74.517963027554941</v>
      </c>
      <c r="Y55" s="12">
        <f t="shared" si="23"/>
        <v>44.288978025810948</v>
      </c>
      <c r="Z55" s="2">
        <f t="shared" si="35"/>
        <v>10.13278008298755</v>
      </c>
      <c r="AA55" s="12">
        <f t="shared" si="36"/>
        <v>12.435684647302903</v>
      </c>
      <c r="AB55" s="2">
        <f t="shared" si="37"/>
        <v>4.605809128630705</v>
      </c>
      <c r="AC55" s="12">
        <f t="shared" si="24"/>
        <v>1.7142857142857144</v>
      </c>
      <c r="AD55" s="137">
        <f t="shared" si="25"/>
        <v>25617809</v>
      </c>
      <c r="AE55" s="2">
        <f t="shared" si="26"/>
        <v>56.561599999999999</v>
      </c>
      <c r="AF55" s="12">
        <f t="shared" si="27"/>
        <v>33.616799999999998</v>
      </c>
      <c r="AG55" s="2">
        <f t="shared" si="28"/>
        <v>11.739199999999999</v>
      </c>
      <c r="AH55" s="12">
        <f t="shared" si="29"/>
        <v>14.4072</v>
      </c>
      <c r="AI55" s="2">
        <f t="shared" si="30"/>
        <v>5.3359999999999994</v>
      </c>
      <c r="AJ55" s="12">
        <f t="shared" si="31"/>
        <v>1.6008</v>
      </c>
      <c r="AK55" s="137">
        <f t="shared" si="32"/>
        <v>25004176</v>
      </c>
      <c r="IZ55" s="1"/>
    </row>
    <row r="56" spans="1:260">
      <c r="A56" s="66">
        <f t="shared" si="33"/>
        <v>2045</v>
      </c>
      <c r="B56" s="11">
        <f>'Travel Time'!B89</f>
        <v>27911</v>
      </c>
      <c r="C56" s="12">
        <f t="shared" si="4"/>
        <v>127</v>
      </c>
      <c r="D56" s="27">
        <f t="shared" si="5"/>
        <v>214</v>
      </c>
      <c r="E56" s="2">
        <f t="shared" si="6"/>
        <v>108</v>
      </c>
      <c r="F56" s="12">
        <f t="shared" si="7"/>
        <v>64</v>
      </c>
      <c r="G56" s="2">
        <f t="shared" si="8"/>
        <v>22</v>
      </c>
      <c r="H56" s="28">
        <f t="shared" si="9"/>
        <v>28</v>
      </c>
      <c r="I56" s="3">
        <f t="shared" si="10"/>
        <v>10</v>
      </c>
      <c r="J56" s="30">
        <f t="shared" si="11"/>
        <v>3</v>
      </c>
      <c r="K56" s="137">
        <f t="shared" si="12"/>
        <v>47023600</v>
      </c>
      <c r="L56" s="77"/>
      <c r="M56" s="66">
        <f t="shared" si="34"/>
        <v>2045</v>
      </c>
      <c r="N56" s="67">
        <f>'Travel Time'!E89</f>
        <v>27911</v>
      </c>
      <c r="O56" s="12">
        <f t="shared" si="13"/>
        <v>127</v>
      </c>
      <c r="P56" s="27">
        <f t="shared" si="14"/>
        <v>214</v>
      </c>
      <c r="Q56" s="2">
        <f t="shared" si="15"/>
        <v>108</v>
      </c>
      <c r="R56" s="12">
        <f t="shared" si="16"/>
        <v>64</v>
      </c>
      <c r="S56" s="2">
        <f t="shared" si="17"/>
        <v>22</v>
      </c>
      <c r="T56" s="28">
        <f t="shared" si="18"/>
        <v>28</v>
      </c>
      <c r="U56" s="3">
        <f t="shared" si="19"/>
        <v>10</v>
      </c>
      <c r="V56" s="30">
        <f t="shared" si="20"/>
        <v>3</v>
      </c>
      <c r="W56" s="137">
        <f t="shared" si="21"/>
        <v>47023600</v>
      </c>
      <c r="X56" s="2">
        <f t="shared" si="22"/>
        <v>75.923962329961626</v>
      </c>
      <c r="Y56" s="12">
        <f t="shared" si="23"/>
        <v>44.991977677014305</v>
      </c>
      <c r="Z56" s="2">
        <f t="shared" si="35"/>
        <v>10.13278008298755</v>
      </c>
      <c r="AA56" s="12">
        <f t="shared" si="36"/>
        <v>12.896265560165972</v>
      </c>
      <c r="AB56" s="2">
        <f t="shared" si="37"/>
        <v>4.605809128630705</v>
      </c>
      <c r="AC56" s="12">
        <f t="shared" si="24"/>
        <v>1.7142857142857144</v>
      </c>
      <c r="AD56" s="137">
        <f t="shared" si="25"/>
        <v>25696612</v>
      </c>
      <c r="AE56" s="2">
        <f t="shared" si="26"/>
        <v>57.628799999999998</v>
      </c>
      <c r="AF56" s="12">
        <f t="shared" si="27"/>
        <v>34.150399999999998</v>
      </c>
      <c r="AG56" s="2">
        <f t="shared" si="28"/>
        <v>11.739199999999999</v>
      </c>
      <c r="AH56" s="12">
        <f t="shared" si="29"/>
        <v>14.940799999999999</v>
      </c>
      <c r="AI56" s="2">
        <f t="shared" si="30"/>
        <v>5.3359999999999994</v>
      </c>
      <c r="AJ56" s="12">
        <f t="shared" si="31"/>
        <v>1.6008</v>
      </c>
      <c r="AK56" s="137">
        <f t="shared" si="32"/>
        <v>25091793</v>
      </c>
      <c r="IZ56" s="1"/>
    </row>
    <row r="57" spans="1:260">
      <c r="A57" s="66">
        <f t="shared" si="33"/>
        <v>2046</v>
      </c>
      <c r="B57" s="11">
        <f>'Travel Time'!B90</f>
        <v>28346</v>
      </c>
      <c r="C57" s="12">
        <f t="shared" si="4"/>
        <v>129</v>
      </c>
      <c r="D57" s="27">
        <f t="shared" si="5"/>
        <v>217</v>
      </c>
      <c r="E57" s="2">
        <f t="shared" si="6"/>
        <v>109</v>
      </c>
      <c r="F57" s="12">
        <f t="shared" si="7"/>
        <v>65</v>
      </c>
      <c r="G57" s="2">
        <f t="shared" si="8"/>
        <v>23</v>
      </c>
      <c r="H57" s="28">
        <f t="shared" si="9"/>
        <v>28</v>
      </c>
      <c r="I57" s="3">
        <f t="shared" si="10"/>
        <v>10</v>
      </c>
      <c r="J57" s="30">
        <f t="shared" si="11"/>
        <v>3</v>
      </c>
      <c r="K57" s="137">
        <f t="shared" si="12"/>
        <v>47109300</v>
      </c>
      <c r="L57" s="77"/>
      <c r="M57" s="66">
        <f t="shared" si="34"/>
        <v>2046</v>
      </c>
      <c r="N57" s="67">
        <f>'Travel Time'!E90</f>
        <v>28346</v>
      </c>
      <c r="O57" s="12">
        <f t="shared" si="13"/>
        <v>129</v>
      </c>
      <c r="P57" s="27">
        <f t="shared" si="14"/>
        <v>217</v>
      </c>
      <c r="Q57" s="2">
        <f t="shared" si="15"/>
        <v>109</v>
      </c>
      <c r="R57" s="12">
        <f t="shared" si="16"/>
        <v>65</v>
      </c>
      <c r="S57" s="2">
        <f t="shared" si="17"/>
        <v>23</v>
      </c>
      <c r="T57" s="28">
        <f t="shared" si="18"/>
        <v>28</v>
      </c>
      <c r="U57" s="3">
        <f t="shared" si="19"/>
        <v>10</v>
      </c>
      <c r="V57" s="30">
        <f t="shared" si="20"/>
        <v>3</v>
      </c>
      <c r="W57" s="137">
        <f t="shared" si="21"/>
        <v>47109300</v>
      </c>
      <c r="X57" s="2">
        <f t="shared" si="22"/>
        <v>76.626961981164982</v>
      </c>
      <c r="Y57" s="12">
        <f t="shared" si="23"/>
        <v>45.694977328217647</v>
      </c>
      <c r="Z57" s="2">
        <f t="shared" si="35"/>
        <v>10.59336099585062</v>
      </c>
      <c r="AA57" s="12">
        <f t="shared" si="36"/>
        <v>12.896265560165972</v>
      </c>
      <c r="AB57" s="2">
        <f t="shared" si="37"/>
        <v>4.605809128630705</v>
      </c>
      <c r="AC57" s="12">
        <f t="shared" si="24"/>
        <v>1.7142857142857144</v>
      </c>
      <c r="AD57" s="137">
        <f t="shared" si="25"/>
        <v>25738145</v>
      </c>
      <c r="AE57" s="2">
        <f t="shared" si="26"/>
        <v>58.162399999999998</v>
      </c>
      <c r="AF57" s="12">
        <f t="shared" si="27"/>
        <v>34.683999999999997</v>
      </c>
      <c r="AG57" s="2">
        <f t="shared" si="28"/>
        <v>12.272799999999998</v>
      </c>
      <c r="AH57" s="12">
        <f t="shared" si="29"/>
        <v>14.940799999999999</v>
      </c>
      <c r="AI57" s="2">
        <f t="shared" si="30"/>
        <v>5.3359999999999994</v>
      </c>
      <c r="AJ57" s="12">
        <f t="shared" si="31"/>
        <v>1.6008</v>
      </c>
      <c r="AK57" s="137">
        <f t="shared" si="32"/>
        <v>25137522</v>
      </c>
      <c r="IZ57" s="1"/>
    </row>
    <row r="58" spans="1:260">
      <c r="A58" s="66">
        <f t="shared" si="33"/>
        <v>2047</v>
      </c>
      <c r="B58" s="11">
        <f>'Travel Time'!B91</f>
        <v>28789</v>
      </c>
      <c r="C58" s="12">
        <f t="shared" si="4"/>
        <v>131</v>
      </c>
      <c r="D58" s="27">
        <f t="shared" si="5"/>
        <v>221</v>
      </c>
      <c r="E58" s="2">
        <f t="shared" si="6"/>
        <v>111</v>
      </c>
      <c r="F58" s="12">
        <f t="shared" si="7"/>
        <v>66</v>
      </c>
      <c r="G58" s="2">
        <f t="shared" si="8"/>
        <v>23</v>
      </c>
      <c r="H58" s="28">
        <f t="shared" si="9"/>
        <v>29</v>
      </c>
      <c r="I58" s="3">
        <f t="shared" si="10"/>
        <v>10</v>
      </c>
      <c r="J58" s="30">
        <f t="shared" si="11"/>
        <v>3</v>
      </c>
      <c r="K58" s="137">
        <f t="shared" si="12"/>
        <v>47273500</v>
      </c>
      <c r="L58" s="77"/>
      <c r="M58" s="66">
        <f t="shared" si="34"/>
        <v>2047</v>
      </c>
      <c r="N58" s="67">
        <f>'Travel Time'!E91</f>
        <v>28789</v>
      </c>
      <c r="O58" s="12">
        <f t="shared" si="13"/>
        <v>131</v>
      </c>
      <c r="P58" s="27">
        <f t="shared" si="14"/>
        <v>221</v>
      </c>
      <c r="Q58" s="2">
        <f t="shared" si="15"/>
        <v>111</v>
      </c>
      <c r="R58" s="12">
        <f t="shared" si="16"/>
        <v>66</v>
      </c>
      <c r="S58" s="2">
        <f t="shared" si="17"/>
        <v>23</v>
      </c>
      <c r="T58" s="28">
        <f t="shared" si="18"/>
        <v>29</v>
      </c>
      <c r="U58" s="3">
        <f t="shared" si="19"/>
        <v>10</v>
      </c>
      <c r="V58" s="30">
        <f t="shared" si="20"/>
        <v>3</v>
      </c>
      <c r="W58" s="137">
        <f t="shared" si="21"/>
        <v>47273500</v>
      </c>
      <c r="X58" s="2">
        <f t="shared" si="22"/>
        <v>78.03296128357168</v>
      </c>
      <c r="Y58" s="12">
        <f t="shared" si="23"/>
        <v>46.397976979421003</v>
      </c>
      <c r="Z58" s="2">
        <f t="shared" si="35"/>
        <v>10.59336099585062</v>
      </c>
      <c r="AA58" s="12">
        <f t="shared" si="36"/>
        <v>13.356846473029043</v>
      </c>
      <c r="AB58" s="2">
        <f t="shared" si="37"/>
        <v>4.605809128630705</v>
      </c>
      <c r="AC58" s="12">
        <f t="shared" si="24"/>
        <v>1.7142857142857144</v>
      </c>
      <c r="AD58" s="137">
        <f t="shared" si="25"/>
        <v>25816948</v>
      </c>
      <c r="AE58" s="2">
        <f t="shared" si="26"/>
        <v>59.229599999999998</v>
      </c>
      <c r="AF58" s="12">
        <f t="shared" si="27"/>
        <v>35.217599999999997</v>
      </c>
      <c r="AG58" s="2">
        <f t="shared" si="28"/>
        <v>12.272799999999998</v>
      </c>
      <c r="AH58" s="12">
        <f t="shared" si="29"/>
        <v>15.474399999999999</v>
      </c>
      <c r="AI58" s="2">
        <f t="shared" si="30"/>
        <v>5.3359999999999994</v>
      </c>
      <c r="AJ58" s="12">
        <f t="shared" si="31"/>
        <v>1.6008</v>
      </c>
      <c r="AK58" s="137">
        <f t="shared" si="32"/>
        <v>25225140</v>
      </c>
      <c r="IZ58" s="1"/>
    </row>
    <row r="59" spans="1:260" ht="14.4" thickBot="1">
      <c r="A59" s="66">
        <f t="shared" si="33"/>
        <v>2048</v>
      </c>
      <c r="B59" s="11">
        <f>'Travel Time'!B92</f>
        <v>29237</v>
      </c>
      <c r="C59" s="12">
        <f t="shared" si="4"/>
        <v>133</v>
      </c>
      <c r="D59" s="27">
        <f t="shared" si="5"/>
        <v>224</v>
      </c>
      <c r="E59" s="2">
        <f t="shared" si="6"/>
        <v>113</v>
      </c>
      <c r="F59" s="12">
        <f t="shared" si="7"/>
        <v>67</v>
      </c>
      <c r="G59" s="2">
        <f t="shared" si="8"/>
        <v>23</v>
      </c>
      <c r="H59" s="28">
        <f t="shared" si="9"/>
        <v>29</v>
      </c>
      <c r="I59" s="3">
        <f t="shared" si="10"/>
        <v>11</v>
      </c>
      <c r="J59" s="30">
        <f t="shared" si="11"/>
        <v>3</v>
      </c>
      <c r="K59" s="138">
        <f t="shared" si="12"/>
        <v>47841400</v>
      </c>
      <c r="L59" s="77"/>
      <c r="M59" s="66">
        <f t="shared" si="34"/>
        <v>2048</v>
      </c>
      <c r="N59" s="67">
        <f>'Travel Time'!E92</f>
        <v>29237</v>
      </c>
      <c r="O59" s="12">
        <f t="shared" si="13"/>
        <v>133</v>
      </c>
      <c r="P59" s="27">
        <f t="shared" si="14"/>
        <v>224</v>
      </c>
      <c r="Q59" s="2">
        <f t="shared" si="15"/>
        <v>113</v>
      </c>
      <c r="R59" s="12">
        <f t="shared" si="16"/>
        <v>67</v>
      </c>
      <c r="S59" s="2">
        <f t="shared" si="17"/>
        <v>23</v>
      </c>
      <c r="T59" s="28">
        <f t="shared" si="18"/>
        <v>29</v>
      </c>
      <c r="U59" s="3">
        <f t="shared" si="19"/>
        <v>11</v>
      </c>
      <c r="V59" s="30">
        <f t="shared" si="20"/>
        <v>3</v>
      </c>
      <c r="W59" s="138">
        <f t="shared" si="21"/>
        <v>47841400</v>
      </c>
      <c r="X59" s="2">
        <f t="shared" si="22"/>
        <v>79.438960585978379</v>
      </c>
      <c r="Y59" s="12">
        <f t="shared" si="23"/>
        <v>47.100976630624345</v>
      </c>
      <c r="Z59" s="2">
        <f t="shared" si="35"/>
        <v>10.59336099585062</v>
      </c>
      <c r="AA59" s="12">
        <f t="shared" si="36"/>
        <v>13.356846473029043</v>
      </c>
      <c r="AB59" s="2">
        <f t="shared" si="37"/>
        <v>5.0663900414937748</v>
      </c>
      <c r="AC59" s="12">
        <f t="shared" si="24"/>
        <v>1.7142857142857144</v>
      </c>
      <c r="AD59" s="138">
        <f t="shared" si="25"/>
        <v>26081687</v>
      </c>
      <c r="AE59" s="2">
        <f t="shared" si="26"/>
        <v>60.296799999999998</v>
      </c>
      <c r="AF59" s="12">
        <f t="shared" si="27"/>
        <v>35.751199999999997</v>
      </c>
      <c r="AG59" s="2">
        <f t="shared" si="28"/>
        <v>12.272799999999998</v>
      </c>
      <c r="AH59" s="12">
        <f t="shared" si="29"/>
        <v>15.474399999999999</v>
      </c>
      <c r="AI59" s="2">
        <f t="shared" si="30"/>
        <v>5.8695999999999993</v>
      </c>
      <c r="AJ59" s="12">
        <f t="shared" si="31"/>
        <v>1.6008</v>
      </c>
      <c r="AK59" s="138">
        <f t="shared" si="32"/>
        <v>25528171</v>
      </c>
      <c r="IZ59" s="1"/>
    </row>
    <row r="60" spans="1:260" ht="14.4" thickTop="1">
      <c r="A60" s="398" t="s">
        <v>16</v>
      </c>
      <c r="B60" s="399"/>
      <c r="C60" s="399"/>
      <c r="D60" s="399"/>
      <c r="E60" s="399"/>
      <c r="F60" s="399"/>
      <c r="G60" s="399"/>
      <c r="H60" s="399"/>
      <c r="I60" s="399"/>
      <c r="J60" s="400"/>
      <c r="K60" s="139">
        <f>SUM(K38:K59)</f>
        <v>936564400</v>
      </c>
      <c r="L60" s="77"/>
      <c r="M60" s="398" t="s">
        <v>16</v>
      </c>
      <c r="N60" s="399"/>
      <c r="O60" s="399"/>
      <c r="P60" s="399"/>
      <c r="Q60" s="399"/>
      <c r="R60" s="399"/>
      <c r="S60" s="399"/>
      <c r="T60" s="399"/>
      <c r="U60" s="399"/>
      <c r="V60" s="400"/>
      <c r="W60" s="40">
        <f>SUM(W38:W59)</f>
        <v>936564400</v>
      </c>
      <c r="X60" s="105"/>
      <c r="Y60" s="77"/>
      <c r="Z60" s="77"/>
      <c r="AA60" s="77"/>
      <c r="AD60" s="40">
        <f>SUM(AD38:AD59)</f>
        <v>512059780</v>
      </c>
      <c r="AE60" s="105"/>
      <c r="AK60" s="40">
        <f>SUM(AK38:AK59)</f>
        <v>499750765</v>
      </c>
      <c r="IZ60" s="1"/>
    </row>
    <row r="61" spans="1:260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D61" s="105"/>
    </row>
    <row r="62" spans="1:260">
      <c r="A62" s="365" t="s">
        <v>67</v>
      </c>
      <c r="B62" s="407"/>
      <c r="C62" s="407"/>
      <c r="D62" s="407"/>
      <c r="E62" s="407"/>
      <c r="F62" s="407"/>
      <c r="G62" s="407"/>
      <c r="H62" s="407"/>
      <c r="I62" s="395"/>
      <c r="J62" s="77"/>
      <c r="K62" s="77"/>
      <c r="L62" s="65"/>
      <c r="M62" s="65"/>
      <c r="N62" s="88"/>
      <c r="O62" s="88"/>
      <c r="P62" s="88"/>
      <c r="Q62" s="88"/>
      <c r="R62" s="88"/>
      <c r="S62" s="88"/>
      <c r="T62" s="88"/>
      <c r="U62" s="89"/>
      <c r="V62" s="77"/>
      <c r="W62" s="77"/>
      <c r="X62" s="77"/>
      <c r="Y62" s="90"/>
      <c r="Z62" s="90"/>
      <c r="AA62" s="90"/>
      <c r="AB62" s="90"/>
    </row>
    <row r="63" spans="1:260">
      <c r="A63" s="365" t="s">
        <v>68</v>
      </c>
      <c r="B63" s="407"/>
      <c r="C63" s="407"/>
      <c r="D63" s="407"/>
      <c r="E63" s="407"/>
      <c r="F63" s="407"/>
      <c r="G63" s="407"/>
      <c r="H63" s="407"/>
      <c r="I63" s="395"/>
      <c r="J63" s="77"/>
      <c r="K63" s="77"/>
      <c r="L63" s="81"/>
      <c r="M63" s="81"/>
      <c r="N63" s="91"/>
      <c r="O63" s="92"/>
      <c r="P63" s="93"/>
      <c r="Q63" s="93"/>
      <c r="R63" s="93"/>
      <c r="S63" s="93"/>
      <c r="T63" s="94"/>
      <c r="U63" s="95"/>
      <c r="V63" s="87"/>
      <c r="W63" s="77"/>
      <c r="X63" s="77"/>
      <c r="Y63" s="87"/>
      <c r="Z63" s="87"/>
      <c r="AA63" s="87"/>
      <c r="AB63" s="87"/>
      <c r="AC63" s="87"/>
      <c r="AD63" s="87"/>
      <c r="AE63" s="87"/>
      <c r="AF63" s="87"/>
      <c r="AG63" s="87"/>
    </row>
    <row r="64" spans="1:260">
      <c r="A64" s="348"/>
      <c r="B64" s="348"/>
      <c r="C64" s="18">
        <v>2016</v>
      </c>
      <c r="D64" s="18">
        <v>2017</v>
      </c>
      <c r="E64" s="18">
        <v>2018</v>
      </c>
      <c r="F64" s="18">
        <v>2019</v>
      </c>
      <c r="G64" s="18">
        <v>2020</v>
      </c>
      <c r="H64" s="354" t="s">
        <v>69</v>
      </c>
      <c r="I64" s="354"/>
      <c r="J64" s="77"/>
      <c r="K64" s="77"/>
      <c r="L64" s="96"/>
      <c r="M64" s="96"/>
      <c r="N64" s="91"/>
      <c r="O64" s="97"/>
      <c r="P64" s="97"/>
      <c r="Q64" s="97"/>
      <c r="R64" s="97"/>
      <c r="S64" s="93"/>
      <c r="T64" s="94"/>
      <c r="U64" s="98"/>
      <c r="V64" s="99"/>
      <c r="W64" s="77"/>
      <c r="X64" s="77"/>
      <c r="Y64" s="77"/>
      <c r="Z64" s="77"/>
      <c r="AA64" s="108"/>
      <c r="AB64" s="83"/>
      <c r="AC64" s="83"/>
      <c r="AD64" s="83"/>
      <c r="AE64" s="83"/>
      <c r="AF64" s="99"/>
      <c r="AG64" s="99"/>
    </row>
    <row r="65" spans="1:33">
      <c r="A65" s="397" t="s">
        <v>66</v>
      </c>
      <c r="B65" s="68" t="s">
        <v>70</v>
      </c>
      <c r="C65" s="13">
        <v>2</v>
      </c>
      <c r="D65" s="24">
        <v>2</v>
      </c>
      <c r="E65" s="13">
        <v>0</v>
      </c>
      <c r="F65" s="24">
        <v>4</v>
      </c>
      <c r="G65" s="13">
        <v>2</v>
      </c>
      <c r="H65" s="24">
        <f t="shared" ref="H65:H74" si="38">SUM(C65:G65)</f>
        <v>10</v>
      </c>
      <c r="I65" s="14">
        <f>H65/$H$75</f>
        <v>2.3980815347721823E-2</v>
      </c>
      <c r="J65" s="77"/>
      <c r="K65" s="77"/>
      <c r="L65" s="96"/>
      <c r="M65" s="96"/>
      <c r="N65" s="91"/>
      <c r="O65" s="97"/>
      <c r="P65" s="97"/>
      <c r="Q65" s="97"/>
      <c r="R65" s="97"/>
      <c r="S65" s="93"/>
      <c r="T65" s="94"/>
      <c r="U65" s="98"/>
      <c r="V65" s="100"/>
      <c r="W65" s="77"/>
      <c r="X65" s="77"/>
      <c r="Y65" s="84"/>
      <c r="Z65" s="77"/>
      <c r="AA65" s="82"/>
      <c r="AB65" s="82"/>
      <c r="AC65" s="82"/>
      <c r="AD65" s="82"/>
      <c r="AE65" s="82"/>
      <c r="AF65" s="102"/>
      <c r="AG65" s="100"/>
    </row>
    <row r="66" spans="1:33">
      <c r="A66" s="397"/>
      <c r="B66" s="69" t="s">
        <v>71</v>
      </c>
      <c r="C66" s="15">
        <v>2</v>
      </c>
      <c r="D66" s="25">
        <v>2</v>
      </c>
      <c r="E66" s="15">
        <v>0</v>
      </c>
      <c r="F66" s="25">
        <v>4</v>
      </c>
      <c r="G66" s="15">
        <v>2</v>
      </c>
      <c r="H66" s="25">
        <f>SUM(C66:G66)</f>
        <v>10</v>
      </c>
      <c r="I66" s="16">
        <f>H66/$H$76</f>
        <v>2.8328611898016998E-2</v>
      </c>
      <c r="J66" s="77"/>
      <c r="K66" s="77"/>
      <c r="L66" s="96"/>
      <c r="M66" s="96"/>
      <c r="N66" s="91"/>
      <c r="O66" s="97"/>
      <c r="P66" s="97"/>
      <c r="Q66" s="97"/>
      <c r="R66" s="97"/>
      <c r="S66" s="93"/>
      <c r="T66" s="94"/>
      <c r="U66" s="98"/>
      <c r="V66" s="100"/>
      <c r="W66" s="77"/>
      <c r="X66" s="77"/>
      <c r="Y66" s="84"/>
      <c r="Z66" s="77"/>
      <c r="AA66" s="82"/>
      <c r="AB66" s="82"/>
      <c r="AC66" s="82"/>
      <c r="AD66" s="82"/>
      <c r="AE66" s="82"/>
      <c r="AF66" s="102"/>
      <c r="AG66" s="100"/>
    </row>
    <row r="67" spans="1:33">
      <c r="A67" s="397" t="s">
        <v>72</v>
      </c>
      <c r="B67" s="68" t="s">
        <v>70</v>
      </c>
      <c r="C67" s="13">
        <v>13</v>
      </c>
      <c r="D67" s="24">
        <v>3</v>
      </c>
      <c r="E67" s="13">
        <v>8</v>
      </c>
      <c r="F67" s="24">
        <v>4</v>
      </c>
      <c r="G67" s="13">
        <v>5</v>
      </c>
      <c r="H67" s="24">
        <f t="shared" si="38"/>
        <v>33</v>
      </c>
      <c r="I67" s="14">
        <f>H67/$H$75</f>
        <v>7.9136690647482008E-2</v>
      </c>
      <c r="J67" s="77"/>
      <c r="K67" s="77"/>
      <c r="L67" s="96"/>
      <c r="M67" s="96"/>
      <c r="N67" s="96"/>
      <c r="O67" s="81"/>
      <c r="P67" s="97"/>
      <c r="Q67" s="97"/>
      <c r="R67" s="97"/>
      <c r="S67" s="97"/>
      <c r="T67" s="101"/>
      <c r="U67" s="98"/>
      <c r="V67" s="100"/>
      <c r="W67" s="77"/>
      <c r="X67" s="77"/>
      <c r="Y67" s="84"/>
      <c r="Z67" s="77"/>
      <c r="AA67" s="82"/>
      <c r="AB67" s="82"/>
      <c r="AC67" s="82"/>
      <c r="AD67" s="82"/>
      <c r="AE67" s="82"/>
      <c r="AF67" s="102"/>
      <c r="AG67" s="100"/>
    </row>
    <row r="68" spans="1:33">
      <c r="A68" s="397"/>
      <c r="B68" s="69" t="s">
        <v>71</v>
      </c>
      <c r="C68" s="15">
        <v>19</v>
      </c>
      <c r="D68" s="25">
        <v>3</v>
      </c>
      <c r="E68" s="15">
        <v>8</v>
      </c>
      <c r="F68" s="25">
        <v>6</v>
      </c>
      <c r="G68" s="15">
        <v>5</v>
      </c>
      <c r="H68" s="25">
        <f t="shared" si="38"/>
        <v>41</v>
      </c>
      <c r="I68" s="16">
        <f>H68/$H$76</f>
        <v>0.11614730878186968</v>
      </c>
      <c r="J68" s="77"/>
      <c r="K68" s="77"/>
      <c r="L68" s="84"/>
      <c r="M68" s="84"/>
      <c r="N68" s="77"/>
      <c r="O68" s="82"/>
      <c r="P68" s="77"/>
      <c r="Q68" s="77"/>
      <c r="R68" s="77"/>
      <c r="S68" s="77"/>
      <c r="T68" s="77"/>
      <c r="U68" s="102"/>
      <c r="V68" s="100"/>
      <c r="W68" s="77"/>
      <c r="X68" s="77"/>
      <c r="Y68" s="84"/>
      <c r="Z68" s="77"/>
      <c r="AA68" s="82"/>
      <c r="AB68" s="82"/>
      <c r="AC68" s="82"/>
      <c r="AD68" s="82"/>
      <c r="AE68" s="82"/>
      <c r="AF68" s="102"/>
      <c r="AG68" s="100"/>
    </row>
    <row r="69" spans="1:33">
      <c r="A69" s="397" t="s">
        <v>73</v>
      </c>
      <c r="B69" s="68" t="s">
        <v>70</v>
      </c>
      <c r="C69" s="13">
        <v>18</v>
      </c>
      <c r="D69" s="24">
        <v>15</v>
      </c>
      <c r="E69" s="13">
        <v>22</v>
      </c>
      <c r="F69" s="24">
        <v>24</v>
      </c>
      <c r="G69" s="13">
        <v>12</v>
      </c>
      <c r="H69" s="24">
        <f t="shared" si="38"/>
        <v>91</v>
      </c>
      <c r="I69" s="14">
        <f>H69/$H$75</f>
        <v>0.21822541966426859</v>
      </c>
      <c r="J69" s="103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100"/>
      <c r="W69" s="77"/>
      <c r="X69" s="77"/>
      <c r="Y69" s="84"/>
      <c r="Z69" s="77"/>
      <c r="AA69" s="82"/>
      <c r="AB69" s="82"/>
      <c r="AC69" s="82"/>
      <c r="AD69" s="82"/>
      <c r="AE69" s="82"/>
      <c r="AF69" s="102"/>
      <c r="AG69" s="100"/>
    </row>
    <row r="70" spans="1:33">
      <c r="A70" s="397"/>
      <c r="B70" s="69" t="s">
        <v>71</v>
      </c>
      <c r="C70" s="15">
        <v>27</v>
      </c>
      <c r="D70" s="25">
        <v>25</v>
      </c>
      <c r="E70" s="15">
        <v>44</v>
      </c>
      <c r="F70" s="25">
        <v>37</v>
      </c>
      <c r="G70" s="15">
        <v>24</v>
      </c>
      <c r="H70" s="25">
        <f t="shared" si="38"/>
        <v>157</v>
      </c>
      <c r="I70" s="16">
        <f>H70/$H$76</f>
        <v>0.44475920679886688</v>
      </c>
      <c r="J70" s="103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100"/>
      <c r="W70" s="77"/>
      <c r="X70" s="77"/>
      <c r="Y70" s="84"/>
      <c r="Z70" s="77"/>
      <c r="AA70" s="82"/>
      <c r="AB70" s="82"/>
      <c r="AC70" s="82"/>
      <c r="AD70" s="82"/>
      <c r="AE70" s="82"/>
      <c r="AF70" s="102"/>
      <c r="AG70" s="100"/>
    </row>
    <row r="71" spans="1:33">
      <c r="A71" s="397" t="s">
        <v>74</v>
      </c>
      <c r="B71" s="68" t="s">
        <v>70</v>
      </c>
      <c r="C71" s="13">
        <v>26</v>
      </c>
      <c r="D71" s="24">
        <v>10</v>
      </c>
      <c r="E71" s="13">
        <v>10</v>
      </c>
      <c r="F71" s="24">
        <v>15</v>
      </c>
      <c r="G71" s="13">
        <v>12</v>
      </c>
      <c r="H71" s="24">
        <f t="shared" si="38"/>
        <v>73</v>
      </c>
      <c r="I71" s="14">
        <f>H71/$H$75</f>
        <v>0.1750599520383693</v>
      </c>
      <c r="J71" s="103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100"/>
      <c r="W71" s="77"/>
      <c r="X71" s="77"/>
      <c r="Y71" s="84"/>
      <c r="Z71" s="77"/>
      <c r="AA71" s="82"/>
      <c r="AB71" s="82"/>
      <c r="AC71" s="82"/>
      <c r="AD71" s="82"/>
      <c r="AE71" s="82"/>
      <c r="AF71" s="102"/>
      <c r="AG71" s="100"/>
    </row>
    <row r="72" spans="1:33">
      <c r="A72" s="397"/>
      <c r="B72" s="69" t="s">
        <v>71</v>
      </c>
      <c r="C72" s="15">
        <v>55</v>
      </c>
      <c r="D72" s="25">
        <v>23</v>
      </c>
      <c r="E72" s="15">
        <v>19</v>
      </c>
      <c r="F72" s="25">
        <v>27</v>
      </c>
      <c r="G72" s="15">
        <v>21</v>
      </c>
      <c r="H72" s="25">
        <f t="shared" si="38"/>
        <v>145</v>
      </c>
      <c r="I72" s="16">
        <f>H72/$H$76</f>
        <v>0.41076487252124644</v>
      </c>
      <c r="J72" s="103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100"/>
      <c r="W72" s="77"/>
      <c r="X72" s="77"/>
      <c r="Y72" s="84"/>
      <c r="Z72" s="77"/>
      <c r="AA72" s="82"/>
      <c r="AB72" s="82"/>
      <c r="AC72" s="82"/>
      <c r="AD72" s="82"/>
      <c r="AE72" s="82"/>
      <c r="AF72" s="102"/>
      <c r="AG72" s="100"/>
    </row>
    <row r="73" spans="1:33">
      <c r="A73" s="397" t="s">
        <v>75</v>
      </c>
      <c r="B73" s="68" t="s">
        <v>70</v>
      </c>
      <c r="C73" s="13">
        <v>54</v>
      </c>
      <c r="D73" s="24">
        <v>40</v>
      </c>
      <c r="E73" s="13">
        <v>36</v>
      </c>
      <c r="F73" s="24">
        <v>54</v>
      </c>
      <c r="G73" s="13">
        <v>26</v>
      </c>
      <c r="H73" s="24">
        <f t="shared" si="38"/>
        <v>210</v>
      </c>
      <c r="I73" s="14">
        <f>H73/$H$75</f>
        <v>0.50359712230215825</v>
      </c>
      <c r="J73" s="77"/>
      <c r="K73" s="77"/>
      <c r="L73" s="84"/>
      <c r="M73" s="84"/>
      <c r="N73" s="77"/>
      <c r="O73" s="82"/>
      <c r="P73" s="82"/>
      <c r="Q73" s="82"/>
      <c r="R73" s="82"/>
      <c r="S73" s="82"/>
      <c r="T73" s="82"/>
      <c r="U73" s="102"/>
      <c r="V73" s="100"/>
      <c r="W73" s="77"/>
      <c r="X73" s="77"/>
      <c r="Y73" s="84"/>
      <c r="Z73" s="77"/>
      <c r="AA73" s="82"/>
      <c r="AB73" s="82"/>
      <c r="AC73" s="82"/>
      <c r="AD73" s="82"/>
      <c r="AE73" s="82"/>
      <c r="AF73" s="102"/>
      <c r="AG73" s="100"/>
    </row>
    <row r="74" spans="1:33">
      <c r="A74" s="397"/>
      <c r="B74" s="69" t="s">
        <v>71</v>
      </c>
      <c r="C74" s="15">
        <v>0</v>
      </c>
      <c r="D74" s="25">
        <v>0</v>
      </c>
      <c r="E74" s="15">
        <v>0</v>
      </c>
      <c r="F74" s="25">
        <v>0</v>
      </c>
      <c r="G74" s="15">
        <v>0</v>
      </c>
      <c r="H74" s="25">
        <f t="shared" si="38"/>
        <v>0</v>
      </c>
      <c r="I74" s="16">
        <f>H74/$H$76</f>
        <v>0</v>
      </c>
      <c r="J74" s="104"/>
      <c r="K74" s="77"/>
      <c r="L74" s="84"/>
      <c r="M74" s="84"/>
      <c r="N74" s="77"/>
      <c r="O74" s="82"/>
      <c r="P74" s="82"/>
      <c r="Q74" s="82"/>
      <c r="R74" s="82"/>
      <c r="S74" s="82"/>
      <c r="T74" s="82"/>
      <c r="U74" s="102"/>
      <c r="V74" s="100"/>
      <c r="W74" s="77"/>
      <c r="X74" s="77"/>
      <c r="Y74" s="84"/>
      <c r="Z74" s="77"/>
      <c r="AA74" s="82"/>
      <c r="AB74" s="82"/>
      <c r="AC74" s="82"/>
      <c r="AD74" s="82"/>
      <c r="AE74" s="82"/>
      <c r="AF74" s="102"/>
      <c r="AG74" s="100"/>
    </row>
    <row r="75" spans="1:33">
      <c r="A75" s="397" t="s">
        <v>16</v>
      </c>
      <c r="B75" s="68" t="s">
        <v>70</v>
      </c>
      <c r="C75" s="17">
        <f>SUM(C65,C67,C69,C71,C73)</f>
        <v>113</v>
      </c>
      <c r="D75" s="26">
        <f>SUM(D65,D67,D69,D71,D73)</f>
        <v>70</v>
      </c>
      <c r="E75" s="17">
        <f t="shared" ref="E75:G76" si="39">SUM(E65,E67,E69,E71,E73)</f>
        <v>76</v>
      </c>
      <c r="F75" s="26">
        <f t="shared" si="39"/>
        <v>101</v>
      </c>
      <c r="G75" s="17">
        <f t="shared" si="39"/>
        <v>57</v>
      </c>
      <c r="H75" s="24">
        <f>SUM(C75:G75)</f>
        <v>417</v>
      </c>
      <c r="I75" s="14">
        <f>H75/$H$75</f>
        <v>1</v>
      </c>
      <c r="J75" s="77"/>
      <c r="K75" s="77"/>
      <c r="L75" s="84"/>
      <c r="M75" s="84"/>
      <c r="N75" s="77"/>
      <c r="O75" s="82"/>
      <c r="P75" s="82"/>
      <c r="Q75" s="82"/>
      <c r="R75" s="82"/>
      <c r="S75" s="82"/>
      <c r="T75" s="82"/>
      <c r="U75" s="102"/>
      <c r="V75" s="100"/>
      <c r="W75" s="77"/>
      <c r="X75" s="77"/>
      <c r="Y75" s="84"/>
      <c r="Z75" s="77"/>
      <c r="AA75" s="82"/>
      <c r="AB75" s="82"/>
      <c r="AC75" s="82"/>
      <c r="AD75" s="82"/>
      <c r="AE75" s="82"/>
      <c r="AF75" s="102"/>
      <c r="AG75" s="100"/>
    </row>
    <row r="76" spans="1:33">
      <c r="A76" s="412"/>
      <c r="B76" s="197" t="s">
        <v>71</v>
      </c>
      <c r="C76" s="257">
        <f>SUM(C66,C68,C70,C72,C74)</f>
        <v>103</v>
      </c>
      <c r="D76" s="258">
        <f>SUM(D66,D68,D70,D72,D74)</f>
        <v>53</v>
      </c>
      <c r="E76" s="257">
        <f t="shared" si="39"/>
        <v>71</v>
      </c>
      <c r="F76" s="258">
        <f t="shared" si="39"/>
        <v>74</v>
      </c>
      <c r="G76" s="257">
        <f t="shared" si="39"/>
        <v>52</v>
      </c>
      <c r="H76" s="259">
        <f>SUM(C76:G76)</f>
        <v>353</v>
      </c>
      <c r="I76" s="16">
        <f>H76/$H$76</f>
        <v>1</v>
      </c>
      <c r="J76" s="77"/>
      <c r="K76" s="77"/>
      <c r="L76" s="84"/>
      <c r="M76" s="84"/>
      <c r="N76" s="77"/>
      <c r="O76" s="82"/>
      <c r="P76" s="82"/>
      <c r="Q76" s="82"/>
      <c r="R76" s="82"/>
      <c r="S76" s="82"/>
      <c r="T76" s="82"/>
      <c r="U76" s="102"/>
      <c r="V76" s="100"/>
      <c r="W76" s="77"/>
      <c r="X76" s="77"/>
      <c r="Y76" s="84"/>
      <c r="Z76" s="77"/>
      <c r="AA76" s="82"/>
      <c r="AB76" s="82"/>
      <c r="AC76" s="82"/>
      <c r="AD76" s="82"/>
      <c r="AE76" s="82"/>
      <c r="AF76" s="102"/>
      <c r="AG76" s="100"/>
    </row>
    <row r="77" spans="1:33">
      <c r="A77" s="401" t="s">
        <v>76</v>
      </c>
      <c r="B77" s="402"/>
      <c r="C77" s="402"/>
      <c r="D77" s="402"/>
      <c r="E77" s="402"/>
      <c r="F77" s="402"/>
      <c r="G77" s="402"/>
      <c r="H77" s="402"/>
      <c r="I77" s="403"/>
      <c r="J77" s="77"/>
      <c r="K77" s="7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77"/>
      <c r="X77" s="77"/>
      <c r="Y77" s="87"/>
      <c r="Z77" s="87"/>
      <c r="AA77" s="87"/>
      <c r="AB77" s="87"/>
      <c r="AC77" s="87"/>
      <c r="AD77" s="87"/>
      <c r="AE77" s="87"/>
      <c r="AF77" s="87"/>
      <c r="AG77" s="87"/>
    </row>
    <row r="78" spans="1:33">
      <c r="A78" s="80"/>
      <c r="B78" s="80"/>
      <c r="C78" s="80"/>
      <c r="D78" s="80"/>
      <c r="E78" s="65"/>
      <c r="F78" s="65"/>
      <c r="G78" s="65"/>
      <c r="H78" s="65"/>
      <c r="I78" s="80"/>
      <c r="J78" s="80"/>
      <c r="K78" s="77"/>
      <c r="L78" s="77"/>
      <c r="M78" s="77"/>
      <c r="N78" s="77"/>
      <c r="O78" s="77"/>
      <c r="P78" s="77"/>
      <c r="Q78" s="77"/>
      <c r="R78" s="77"/>
      <c r="S78" s="80"/>
      <c r="T78" s="80"/>
      <c r="U78" s="80"/>
      <c r="V78" s="77"/>
      <c r="W78" s="77"/>
      <c r="X78" s="77"/>
      <c r="Y78" s="77"/>
      <c r="Z78" s="77"/>
      <c r="AA78" s="77"/>
    </row>
    <row r="79" spans="1:33">
      <c r="A79" s="369" t="s">
        <v>77</v>
      </c>
      <c r="B79" s="369"/>
      <c r="C79" s="77"/>
      <c r="D79" s="86"/>
      <c r="E79" s="81"/>
      <c r="F79" s="65"/>
      <c r="G79" s="65"/>
      <c r="H79" s="65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</row>
    <row r="80" spans="1:33" ht="17.399999999999999" customHeight="1">
      <c r="A80" s="19"/>
      <c r="B80" s="238" t="s">
        <v>78</v>
      </c>
      <c r="C80" s="77"/>
      <c r="D80" s="99"/>
      <c r="E80" s="81"/>
      <c r="F80" s="81"/>
      <c r="G80" s="65"/>
      <c r="H80" s="65"/>
      <c r="I80" s="77"/>
      <c r="J80" s="80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</row>
    <row r="81" spans="1:27">
      <c r="A81" s="198" t="s">
        <v>79</v>
      </c>
      <c r="B81" s="39">
        <v>4600</v>
      </c>
      <c r="C81" s="77"/>
      <c r="D81" s="99"/>
      <c r="E81" s="81"/>
      <c r="F81" s="65"/>
      <c r="G81" s="65"/>
      <c r="H81" s="65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</row>
    <row r="82" spans="1:27" ht="13.95" customHeight="1">
      <c r="A82" s="396" t="s">
        <v>80</v>
      </c>
      <c r="B82" s="396"/>
      <c r="C82" s="77"/>
      <c r="D82" s="387" t="s">
        <v>195</v>
      </c>
      <c r="E82" s="388"/>
      <c r="F82" s="388"/>
      <c r="G82" s="388"/>
      <c r="H82" s="389"/>
      <c r="I82" s="77"/>
      <c r="J82" s="80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</row>
    <row r="83" spans="1:27" ht="20.399999999999999" customHeight="1">
      <c r="A83" s="76"/>
      <c r="B83" s="76"/>
      <c r="C83" s="77"/>
      <c r="D83" s="390" t="s">
        <v>196</v>
      </c>
      <c r="E83" s="390" t="s">
        <v>197</v>
      </c>
      <c r="F83" s="391" t="s">
        <v>198</v>
      </c>
      <c r="G83" s="387" t="s">
        <v>199</v>
      </c>
      <c r="H83" s="389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</row>
    <row r="84" spans="1:27">
      <c r="A84" s="365" t="s">
        <v>81</v>
      </c>
      <c r="B84" s="395"/>
      <c r="C84" s="77"/>
      <c r="D84" s="390"/>
      <c r="E84" s="390"/>
      <c r="F84" s="391"/>
      <c r="G84" s="323" t="s">
        <v>200</v>
      </c>
      <c r="H84" s="323" t="s">
        <v>201</v>
      </c>
      <c r="I84" s="77"/>
      <c r="J84" s="80" t="s">
        <v>219</v>
      </c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</row>
    <row r="85" spans="1:27" ht="43.2" customHeight="1">
      <c r="A85" s="19" t="s">
        <v>82</v>
      </c>
      <c r="B85" s="19" t="s">
        <v>83</v>
      </c>
      <c r="C85" s="77"/>
      <c r="D85" s="322" t="s">
        <v>205</v>
      </c>
      <c r="E85" s="313">
        <v>459</v>
      </c>
      <c r="F85" s="314">
        <v>0.57999999999999996</v>
      </c>
      <c r="G85" s="315" t="s">
        <v>202</v>
      </c>
      <c r="H85" s="314" t="s">
        <v>202</v>
      </c>
      <c r="I85" s="77"/>
      <c r="J85" s="408" t="s">
        <v>218</v>
      </c>
      <c r="K85" s="408"/>
      <c r="L85" s="408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</row>
    <row r="86" spans="1:27" ht="28.8">
      <c r="A86" s="199" t="s">
        <v>84</v>
      </c>
      <c r="B86" s="41">
        <v>3900</v>
      </c>
      <c r="C86" s="77"/>
      <c r="D86" s="322" t="s">
        <v>204</v>
      </c>
      <c r="E86" s="313">
        <v>1252</v>
      </c>
      <c r="F86" s="314">
        <v>0.92</v>
      </c>
      <c r="G86" s="316" t="s">
        <v>202</v>
      </c>
      <c r="H86" s="314" t="s">
        <v>202</v>
      </c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</row>
    <row r="87" spans="1:27">
      <c r="A87" s="200" t="s">
        <v>85</v>
      </c>
      <c r="B87" s="42">
        <v>77200</v>
      </c>
      <c r="C87" s="77"/>
      <c r="D87" s="317" t="s">
        <v>16</v>
      </c>
      <c r="E87" s="318"/>
      <c r="F87" s="319">
        <f>F85*F86</f>
        <v>0.53359999999999996</v>
      </c>
      <c r="G87" s="320"/>
      <c r="H87" s="321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</row>
    <row r="88" spans="1:27">
      <c r="A88" s="200" t="s">
        <v>86</v>
      </c>
      <c r="B88" s="42">
        <v>151100</v>
      </c>
      <c r="C88" s="77"/>
      <c r="D88" s="384" t="s">
        <v>203</v>
      </c>
      <c r="E88" s="385"/>
      <c r="F88" s="385"/>
      <c r="G88" s="385"/>
      <c r="H88" s="386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</row>
    <row r="89" spans="1:27">
      <c r="A89" s="200" t="s">
        <v>87</v>
      </c>
      <c r="B89" s="42">
        <v>554800</v>
      </c>
      <c r="C89" s="77"/>
      <c r="D89" s="99"/>
      <c r="E89" s="77"/>
      <c r="F89" s="65"/>
      <c r="G89" s="65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</row>
    <row r="90" spans="1:27">
      <c r="A90" s="200" t="s">
        <v>88</v>
      </c>
      <c r="B90" s="42">
        <v>11600000</v>
      </c>
      <c r="C90" s="77"/>
      <c r="D90" s="99"/>
      <c r="E90" s="77"/>
      <c r="F90" s="65"/>
      <c r="G90" s="65"/>
      <c r="H90" s="77"/>
      <c r="I90" s="77"/>
      <c r="J90" s="80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</row>
    <row r="91" spans="1:27" ht="27.6">
      <c r="A91" s="201" t="s">
        <v>89</v>
      </c>
      <c r="B91" s="43">
        <v>210300</v>
      </c>
      <c r="C91" s="77"/>
      <c r="D91" s="99"/>
      <c r="E91" s="77"/>
      <c r="F91" s="65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</row>
    <row r="92" spans="1:27" ht="41.4">
      <c r="A92" s="202" t="s">
        <v>90</v>
      </c>
      <c r="B92" s="44">
        <v>159800</v>
      </c>
      <c r="C92" s="77"/>
      <c r="D92" s="99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</row>
    <row r="93" spans="1:27" ht="13.95" customHeight="1">
      <c r="A93" s="396" t="s">
        <v>80</v>
      </c>
      <c r="B93" s="396"/>
      <c r="C93" s="77"/>
      <c r="D93" s="99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</row>
    <row r="94" spans="1:27">
      <c r="A94" s="76"/>
      <c r="B94" s="76"/>
      <c r="C94" s="77"/>
      <c r="D94" s="99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</row>
    <row r="95" spans="1:27" ht="13.95" customHeight="1">
      <c r="A95" s="404" t="s">
        <v>91</v>
      </c>
      <c r="B95" s="404"/>
      <c r="C95" s="77"/>
      <c r="D95" s="99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</row>
    <row r="96" spans="1:27">
      <c r="A96" s="20" t="s">
        <v>92</v>
      </c>
      <c r="B96" s="20" t="s">
        <v>93</v>
      </c>
      <c r="C96" s="77"/>
      <c r="D96" s="99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</row>
    <row r="97" spans="1:27">
      <c r="A97" s="203" t="s">
        <v>94</v>
      </c>
      <c r="B97" s="253">
        <v>1.67</v>
      </c>
      <c r="C97" s="77"/>
      <c r="D97" s="99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</row>
    <row r="98" spans="1:27">
      <c r="A98" s="204" t="s">
        <v>95</v>
      </c>
      <c r="B98" s="261">
        <v>1</v>
      </c>
      <c r="C98" s="77"/>
      <c r="D98" s="99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</row>
    <row r="99" spans="1:27" ht="13.95" customHeight="1">
      <c r="A99" s="396" t="s">
        <v>80</v>
      </c>
      <c r="B99" s="396"/>
      <c r="C99" s="77"/>
      <c r="D99" s="99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</row>
    <row r="100" spans="1:27">
      <c r="A100" s="77"/>
      <c r="B100" s="77"/>
      <c r="C100" s="77"/>
      <c r="D100" s="99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</row>
    <row r="101" spans="1:27">
      <c r="A101" s="404" t="s">
        <v>96</v>
      </c>
      <c r="B101" s="404"/>
      <c r="C101" s="77"/>
      <c r="D101" s="99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</row>
    <row r="102" spans="1:27">
      <c r="A102" s="272" t="s">
        <v>185</v>
      </c>
      <c r="B102" s="284">
        <f>873/556</f>
        <v>1.5701438848920863</v>
      </c>
      <c r="C102" s="77"/>
      <c r="D102" s="99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</row>
    <row r="103" spans="1:27">
      <c r="A103" s="286" t="s">
        <v>186</v>
      </c>
      <c r="B103" s="287">
        <f>1739/995</f>
        <v>1.7477386934673367</v>
      </c>
      <c r="C103" s="77"/>
      <c r="D103" s="99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</row>
    <row r="104" spans="1:27">
      <c r="A104" s="285" t="s">
        <v>184</v>
      </c>
      <c r="B104" s="288">
        <f>(873+1739)/(556+995)</f>
        <v>1.6840747904577691</v>
      </c>
      <c r="C104" s="77"/>
      <c r="D104" s="99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</row>
    <row r="105" spans="1:27">
      <c r="A105" s="409" t="s">
        <v>221</v>
      </c>
      <c r="B105" s="409"/>
      <c r="C105" s="77"/>
      <c r="D105" s="99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</row>
    <row r="106" spans="1:27">
      <c r="A106" s="83"/>
      <c r="B106" s="83"/>
      <c r="C106" s="77"/>
      <c r="D106" s="99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</row>
    <row r="107" spans="1:27">
      <c r="A107" s="381" t="s">
        <v>97</v>
      </c>
      <c r="B107" s="383"/>
      <c r="C107" s="77"/>
      <c r="D107" s="99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85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</row>
    <row r="108" spans="1:27">
      <c r="A108" s="203" t="s">
        <v>98</v>
      </c>
      <c r="B108" s="23">
        <f>(H75/5)/AVERAGE(B112:B116)</f>
        <v>4.5410491239151031E-3</v>
      </c>
      <c r="C108" s="77"/>
      <c r="D108" s="99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</row>
    <row r="109" spans="1:27">
      <c r="A109" s="410" t="s">
        <v>48</v>
      </c>
      <c r="B109" s="411"/>
      <c r="C109" s="77"/>
      <c r="D109" s="99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</row>
    <row r="110" spans="1:27">
      <c r="A110" s="76"/>
      <c r="B110" s="76"/>
      <c r="C110" s="77"/>
      <c r="D110" s="99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</row>
    <row r="111" spans="1:27" ht="13.95" customHeight="1">
      <c r="A111" s="365" t="s">
        <v>99</v>
      </c>
      <c r="B111" s="395"/>
      <c r="C111" s="77"/>
      <c r="D111" s="99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</row>
    <row r="112" spans="1:27">
      <c r="A112" s="205">
        <v>2016</v>
      </c>
      <c r="B112" s="21">
        <f>ROUND($B$117*(1-$B$118)^($A$117-A112),0)</f>
        <v>17793</v>
      </c>
      <c r="C112" s="77"/>
      <c r="D112" s="99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</row>
    <row r="113" spans="1:27">
      <c r="A113" s="205">
        <v>2017</v>
      </c>
      <c r="B113" s="21">
        <f>ROUND($B$117*(1-$B$118)^($A$117-A113),0)</f>
        <v>18075</v>
      </c>
      <c r="C113" s="77"/>
      <c r="D113" s="99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</row>
    <row r="114" spans="1:27">
      <c r="A114" s="205">
        <v>2018</v>
      </c>
      <c r="B114" s="21">
        <f t="shared" ref="B114" si="40">ROUND($B$117*(1-$B$118)^($A$117-A114),0)</f>
        <v>18361</v>
      </c>
      <c r="C114" s="77"/>
      <c r="D114" s="99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</row>
    <row r="115" spans="1:27">
      <c r="A115" s="205">
        <v>2019</v>
      </c>
      <c r="B115" s="21">
        <f>ROUND($B$117*(1-$B$118)^($A$117-A115),0)</f>
        <v>18652</v>
      </c>
      <c r="C115" s="77"/>
      <c r="D115" s="99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</row>
    <row r="116" spans="1:27">
      <c r="A116" s="205">
        <v>2020</v>
      </c>
      <c r="B116" s="21">
        <f>ROUND($B$117*(1-$B$118)^($A$117-A116),0)</f>
        <v>18948</v>
      </c>
      <c r="C116" s="77"/>
      <c r="D116" s="99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</row>
    <row r="117" spans="1:27">
      <c r="A117" s="205">
        <v>2022</v>
      </c>
      <c r="B117" s="21">
        <f>'Travel Time'!B66</f>
        <v>19552.862419205907</v>
      </c>
      <c r="C117" s="77"/>
      <c r="D117" s="99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</row>
    <row r="118" spans="1:27">
      <c r="A118" s="206" t="s">
        <v>100</v>
      </c>
      <c r="B118" s="22">
        <f>'Travel Time'!B115</f>
        <v>1.5594533929825793E-2</v>
      </c>
      <c r="C118" s="77"/>
      <c r="D118" s="9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9"/>
      <c r="R118" s="77"/>
      <c r="S118" s="77"/>
      <c r="T118" s="77"/>
      <c r="U118" s="77"/>
      <c r="V118" s="77"/>
      <c r="W118" s="77"/>
      <c r="X118" s="77"/>
      <c r="Y118" s="77"/>
      <c r="Z118" s="77"/>
      <c r="AA118" s="77"/>
    </row>
    <row r="119" spans="1:27">
      <c r="A119" s="401" t="s">
        <v>48</v>
      </c>
      <c r="B119" s="403"/>
      <c r="C119" s="77"/>
      <c r="D119" s="99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9"/>
      <c r="R119" s="77"/>
      <c r="S119" s="77"/>
      <c r="T119" s="77"/>
      <c r="U119" s="77"/>
      <c r="V119" s="77"/>
      <c r="W119" s="77"/>
      <c r="X119" s="77"/>
      <c r="Y119" s="77"/>
      <c r="Z119" s="77"/>
      <c r="AA119" s="77"/>
    </row>
    <row r="120" spans="1:27">
      <c r="A120" s="75"/>
      <c r="B120" s="76"/>
      <c r="C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</row>
    <row r="121" spans="1:27" ht="41.4" customHeight="1">
      <c r="A121" s="354" t="s">
        <v>210</v>
      </c>
      <c r="B121" s="354"/>
      <c r="C121" s="354"/>
      <c r="D121" s="354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</row>
    <row r="122" spans="1:27">
      <c r="A122" s="20" t="s">
        <v>208</v>
      </c>
      <c r="B122" s="20" t="s">
        <v>211</v>
      </c>
      <c r="C122" s="20" t="s">
        <v>213</v>
      </c>
      <c r="D122" s="20" t="s">
        <v>215</v>
      </c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</row>
    <row r="123" spans="1:27" ht="41.4">
      <c r="A123" s="327" t="s">
        <v>206</v>
      </c>
      <c r="B123" s="326">
        <v>1.19</v>
      </c>
      <c r="C123" s="326">
        <v>12.05</v>
      </c>
      <c r="D123" s="326">
        <v>57.34</v>
      </c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</row>
    <row r="124" spans="1:27" ht="27.6">
      <c r="A124" s="327" t="s">
        <v>207</v>
      </c>
      <c r="B124" s="326">
        <v>0.68</v>
      </c>
      <c r="C124" s="326">
        <v>5.55</v>
      </c>
      <c r="D124" s="326">
        <v>40.31</v>
      </c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</row>
    <row r="125" spans="1:27" ht="21" customHeight="1">
      <c r="A125" s="205" t="s">
        <v>209</v>
      </c>
      <c r="B125" s="325">
        <f>(B124-B123)/B123</f>
        <v>-0.42857142857142849</v>
      </c>
      <c r="C125" s="325">
        <f>(C124-C123)/C123</f>
        <v>-0.53941908713692954</v>
      </c>
      <c r="D125" s="325">
        <f>(D124-D123)/D123</f>
        <v>-0.29700034879665155</v>
      </c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</row>
    <row r="126" spans="1:27" s="77" customFormat="1" ht="41.4">
      <c r="A126" s="324" t="s">
        <v>212</v>
      </c>
    </row>
    <row r="127" spans="1:27" s="77" customFormat="1"/>
    <row r="128" spans="1:27" s="77" customFormat="1"/>
    <row r="129" spans="14:30" s="77" customFormat="1"/>
    <row r="130" spans="14:30" s="77" customFormat="1">
      <c r="AD130" s="105"/>
    </row>
    <row r="131" spans="14:30" s="77" customFormat="1">
      <c r="Y131" s="78"/>
      <c r="AD131" s="105"/>
    </row>
    <row r="132" spans="14:30" s="77" customFormat="1"/>
    <row r="133" spans="14:30" s="77" customFormat="1">
      <c r="Q133" s="78"/>
    </row>
    <row r="134" spans="14:30" s="77" customFormat="1">
      <c r="N134" s="78"/>
      <c r="Q134" s="78"/>
    </row>
    <row r="135" spans="14:30" s="77" customFormat="1"/>
    <row r="136" spans="14:30" s="77" customFormat="1"/>
    <row r="137" spans="14:30" s="77" customFormat="1"/>
    <row r="138" spans="14:30" s="77" customFormat="1"/>
    <row r="139" spans="14:30" s="77" customFormat="1"/>
    <row r="140" spans="14:30" s="77" customFormat="1"/>
    <row r="141" spans="14:30" s="77" customFormat="1"/>
    <row r="142" spans="14:30" s="77" customFormat="1"/>
    <row r="143" spans="14:30" s="77" customFormat="1"/>
    <row r="144" spans="14:30" s="77" customFormat="1"/>
    <row r="145" s="77" customFormat="1"/>
    <row r="146" s="77" customFormat="1"/>
    <row r="147" s="77" customFormat="1"/>
    <row r="148" s="77" customFormat="1"/>
    <row r="149" s="77" customFormat="1"/>
    <row r="150" s="77" customFormat="1"/>
    <row r="151" s="77" customFormat="1"/>
    <row r="152" s="77" customFormat="1"/>
    <row r="153" s="77" customFormat="1"/>
    <row r="154" s="77" customFormat="1"/>
    <row r="155" s="77" customFormat="1"/>
    <row r="156" s="77" customFormat="1"/>
    <row r="157" s="77" customFormat="1"/>
    <row r="158" s="77" customFormat="1"/>
    <row r="159" s="77" customFormat="1"/>
    <row r="160" s="77" customFormat="1"/>
    <row r="161" s="77" customFormat="1"/>
    <row r="162" s="77" customFormat="1"/>
    <row r="163" s="77" customFormat="1"/>
    <row r="164" s="77" customFormat="1"/>
    <row r="165" s="77" customFormat="1"/>
    <row r="166" s="77" customFormat="1"/>
    <row r="167" s="77" customFormat="1"/>
    <row r="168" s="77" customFormat="1"/>
    <row r="169" s="77" customFormat="1"/>
    <row r="170" s="77" customFormat="1"/>
    <row r="171" s="77" customFormat="1"/>
    <row r="172" s="77" customFormat="1"/>
    <row r="173" s="77" customFormat="1"/>
    <row r="174" s="77" customFormat="1"/>
    <row r="175" s="77" customFormat="1"/>
    <row r="176" s="77" customFormat="1"/>
    <row r="177" s="77" customFormat="1"/>
    <row r="178" s="77" customFormat="1"/>
    <row r="179" s="77" customFormat="1"/>
    <row r="180" s="77" customFormat="1"/>
    <row r="181" s="77" customFormat="1"/>
    <row r="182" s="77" customFormat="1"/>
    <row r="183" s="77" customFormat="1"/>
    <row r="184" s="77" customFormat="1"/>
    <row r="185" s="77" customFormat="1"/>
    <row r="186" s="77" customFormat="1"/>
    <row r="187" s="77" customFormat="1"/>
    <row r="188" s="77" customFormat="1"/>
    <row r="189" s="77" customFormat="1"/>
    <row r="190" s="77" customFormat="1"/>
    <row r="191" s="77" customFormat="1"/>
    <row r="192" s="77" customFormat="1"/>
    <row r="193" s="77" customFormat="1"/>
    <row r="194" s="77" customFormat="1"/>
    <row r="195" s="77" customFormat="1"/>
    <row r="196" s="77" customFormat="1"/>
    <row r="197" s="77" customFormat="1"/>
    <row r="198" s="77" customFormat="1"/>
    <row r="199" s="77" customFormat="1"/>
    <row r="200" s="77" customFormat="1"/>
    <row r="201" s="77" customFormat="1"/>
    <row r="202" s="77" customFormat="1"/>
    <row r="203" s="77" customFormat="1"/>
    <row r="204" s="77" customFormat="1"/>
    <row r="205" s="77" customFormat="1"/>
    <row r="206" s="77" customFormat="1"/>
    <row r="207" s="77" customFormat="1"/>
    <row r="208" s="77" customFormat="1"/>
    <row r="209" s="77" customFormat="1"/>
    <row r="210" s="77" customFormat="1"/>
    <row r="211" s="77" customFormat="1"/>
    <row r="212" s="77" customFormat="1"/>
    <row r="213" s="77" customFormat="1"/>
    <row r="214" s="77" customFormat="1"/>
    <row r="215" s="77" customFormat="1"/>
    <row r="216" s="77" customFormat="1"/>
    <row r="217" s="77" customFormat="1"/>
    <row r="218" s="77" customFormat="1"/>
    <row r="219" s="77" customFormat="1"/>
    <row r="220" s="77" customFormat="1"/>
    <row r="221" s="77" customFormat="1"/>
    <row r="222" s="77" customFormat="1"/>
    <row r="223" s="77" customFormat="1"/>
    <row r="224" s="77" customFormat="1"/>
    <row r="225" s="77" customFormat="1"/>
    <row r="226" s="77" customFormat="1"/>
    <row r="227" s="77" customFormat="1"/>
    <row r="228" s="77" customFormat="1"/>
    <row r="229" s="77" customFormat="1"/>
    <row r="230" s="77" customFormat="1"/>
    <row r="231" s="77" customFormat="1"/>
    <row r="232" s="77" customFormat="1"/>
    <row r="233" s="77" customFormat="1"/>
    <row r="234" s="77" customFormat="1"/>
    <row r="235" s="77" customFormat="1"/>
    <row r="236" s="77" customFormat="1"/>
    <row r="237" s="77" customFormat="1"/>
    <row r="238" s="77" customFormat="1"/>
    <row r="239" s="77" customFormat="1"/>
    <row r="240" s="77" customFormat="1"/>
    <row r="241" s="77" customFormat="1"/>
    <row r="242" s="77" customFormat="1"/>
    <row r="243" s="77" customFormat="1"/>
    <row r="244" s="77" customFormat="1"/>
    <row r="245" s="77" customFormat="1"/>
    <row r="246" s="77" customFormat="1"/>
    <row r="247" s="77" customFormat="1"/>
    <row r="248" s="77" customFormat="1"/>
    <row r="249" s="77" customFormat="1"/>
    <row r="250" s="77" customFormat="1"/>
    <row r="251" s="77" customFormat="1"/>
    <row r="252" s="77" customFormat="1"/>
    <row r="253" s="77" customFormat="1"/>
    <row r="254" s="77" customFormat="1"/>
    <row r="255" s="77" customFormat="1"/>
    <row r="256" s="77" customFormat="1"/>
    <row r="257" s="77" customFormat="1"/>
    <row r="258" s="77" customFormat="1"/>
    <row r="259" s="77" customFormat="1"/>
    <row r="260" s="77" customFormat="1"/>
    <row r="261" s="77" customFormat="1"/>
    <row r="262" s="77" customFormat="1"/>
    <row r="263" s="77" customFormat="1"/>
    <row r="264" s="77" customFormat="1"/>
    <row r="265" s="77" customFormat="1"/>
    <row r="266" s="77" customFormat="1"/>
    <row r="267" s="77" customFormat="1"/>
    <row r="268" s="77" customFormat="1"/>
    <row r="269" s="77" customFormat="1"/>
    <row r="270" s="77" customFormat="1"/>
    <row r="271" s="77" customFormat="1"/>
    <row r="272" s="77" customFormat="1"/>
    <row r="273" s="77" customFormat="1"/>
    <row r="274" s="77" customFormat="1"/>
    <row r="275" s="77" customFormat="1"/>
    <row r="276" s="77" customFormat="1"/>
    <row r="277" s="77" customFormat="1"/>
    <row r="278" s="77" customFormat="1"/>
    <row r="279" s="77" customFormat="1"/>
    <row r="280" s="77" customFormat="1"/>
    <row r="281" s="77" customFormat="1"/>
    <row r="282" s="77" customFormat="1"/>
    <row r="283" s="77" customFormat="1"/>
    <row r="284" s="77" customFormat="1"/>
    <row r="285" s="77" customFormat="1"/>
    <row r="286" s="77" customFormat="1"/>
    <row r="287" s="77" customFormat="1"/>
    <row r="288" s="77" customFormat="1"/>
    <row r="289" s="77" customFormat="1"/>
    <row r="290" s="77" customFormat="1"/>
    <row r="291" s="77" customFormat="1"/>
    <row r="292" s="77" customFormat="1"/>
    <row r="293" s="77" customFormat="1"/>
    <row r="294" s="77" customFormat="1"/>
    <row r="295" s="77" customFormat="1"/>
    <row r="296" s="77" customFormat="1"/>
    <row r="297" s="77" customFormat="1"/>
    <row r="298" s="77" customFormat="1"/>
    <row r="299" s="77" customFormat="1"/>
    <row r="300" s="77" customFormat="1"/>
    <row r="301" s="77" customFormat="1"/>
    <row r="302" s="77" customFormat="1"/>
    <row r="303" s="77" customFormat="1"/>
    <row r="304" s="77" customFormat="1"/>
    <row r="305" s="77" customFormat="1"/>
    <row r="306" s="77" customFormat="1"/>
    <row r="307" s="77" customFormat="1"/>
    <row r="308" s="77" customFormat="1"/>
    <row r="309" s="77" customFormat="1"/>
    <row r="310" s="77" customFormat="1"/>
    <row r="311" s="77" customFormat="1"/>
    <row r="312" s="77" customFormat="1"/>
    <row r="313" s="77" customFormat="1"/>
    <row r="314" s="77" customFormat="1"/>
    <row r="315" s="77" customFormat="1"/>
    <row r="316" s="77" customFormat="1"/>
    <row r="317" s="77" customFormat="1"/>
    <row r="318" s="77" customFormat="1"/>
    <row r="319" s="77" customFormat="1"/>
    <row r="320" s="77" customFormat="1"/>
    <row r="321" s="77" customFormat="1"/>
    <row r="322" s="77" customFormat="1"/>
    <row r="323" s="77" customFormat="1"/>
    <row r="324" s="77" customFormat="1"/>
    <row r="325" s="77" customFormat="1"/>
    <row r="326" s="77" customFormat="1"/>
    <row r="327" s="77" customFormat="1"/>
    <row r="328" s="77" customFormat="1"/>
    <row r="329" s="77" customFormat="1"/>
    <row r="330" s="77" customFormat="1"/>
    <row r="331" s="77" customFormat="1"/>
    <row r="332" s="77" customFormat="1"/>
    <row r="333" s="77" customFormat="1"/>
    <row r="334" s="77" customFormat="1"/>
    <row r="335" s="77" customFormat="1"/>
    <row r="336" s="77" customFormat="1"/>
    <row r="337" s="77" customFormat="1"/>
    <row r="338" s="77" customFormat="1"/>
    <row r="339" s="77" customFormat="1"/>
    <row r="340" s="77" customFormat="1"/>
    <row r="341" s="77" customFormat="1"/>
    <row r="342" s="77" customFormat="1"/>
    <row r="343" s="77" customFormat="1"/>
    <row r="344" s="77" customFormat="1"/>
    <row r="345" s="77" customFormat="1"/>
    <row r="346" s="77" customFormat="1"/>
    <row r="347" s="77" customFormat="1"/>
    <row r="348" s="77" customFormat="1"/>
    <row r="349" s="77" customFormat="1"/>
    <row r="350" s="77" customFormat="1"/>
    <row r="351" s="77" customFormat="1"/>
    <row r="352" s="77" customFormat="1"/>
    <row r="353" s="77" customFormat="1"/>
    <row r="354" s="77" customFormat="1"/>
    <row r="355" s="77" customFormat="1"/>
    <row r="356" s="77" customFormat="1"/>
    <row r="357" s="77" customFormat="1"/>
    <row r="358" s="77" customFormat="1"/>
    <row r="359" s="77" customFormat="1"/>
    <row r="360" s="77" customFormat="1"/>
    <row r="361" s="77" customFormat="1"/>
    <row r="362" s="77" customFormat="1"/>
    <row r="363" s="77" customFormat="1"/>
    <row r="364" s="77" customFormat="1"/>
    <row r="365" s="77" customFormat="1"/>
    <row r="366" s="77" customFormat="1"/>
    <row r="367" s="77" customFormat="1"/>
    <row r="368" s="77" customFormat="1"/>
    <row r="369" s="77" customFormat="1"/>
    <row r="370" s="77" customFormat="1"/>
    <row r="371" s="77" customFormat="1"/>
    <row r="372" s="77" customFormat="1"/>
    <row r="373" s="77" customFormat="1"/>
    <row r="374" s="77" customFormat="1"/>
    <row r="375" s="77" customFormat="1"/>
    <row r="376" s="77" customFormat="1"/>
    <row r="377" s="77" customFormat="1"/>
    <row r="378" s="77" customFormat="1"/>
    <row r="379" s="77" customFormat="1"/>
    <row r="380" s="77" customFormat="1"/>
    <row r="381" s="77" customFormat="1"/>
    <row r="382" s="77" customFormat="1"/>
    <row r="383" s="77" customFormat="1"/>
    <row r="384" s="77" customFormat="1"/>
    <row r="385" s="77" customFormat="1"/>
    <row r="386" s="77" customFormat="1"/>
    <row r="387" s="77" customFormat="1"/>
    <row r="388" s="77" customFormat="1"/>
    <row r="389" s="77" customFormat="1"/>
    <row r="390" s="77" customFormat="1"/>
    <row r="391" s="77" customFormat="1"/>
    <row r="392" s="77" customFormat="1"/>
    <row r="393" s="77" customFormat="1"/>
    <row r="394" s="77" customFormat="1"/>
    <row r="395" s="77" customFormat="1"/>
    <row r="396" s="77" customFormat="1"/>
    <row r="397" s="77" customFormat="1"/>
    <row r="398" s="77" customFormat="1"/>
    <row r="399" s="77" customFormat="1"/>
    <row r="400" s="77" customFormat="1"/>
    <row r="401" s="77" customFormat="1"/>
    <row r="402" s="77" customFormat="1"/>
    <row r="403" s="77" customFormat="1"/>
    <row r="404" s="77" customFormat="1"/>
    <row r="405" s="77" customFormat="1"/>
    <row r="406" s="77" customFormat="1"/>
    <row r="407" s="77" customFormat="1"/>
    <row r="408" s="77" customFormat="1"/>
    <row r="409" s="77" customFormat="1"/>
    <row r="410" s="77" customFormat="1"/>
    <row r="411" s="77" customFormat="1"/>
    <row r="412" s="77" customFormat="1"/>
    <row r="413" s="77" customFormat="1"/>
    <row r="414" s="77" customFormat="1"/>
    <row r="415" s="77" customFormat="1"/>
    <row r="416" s="77" customFormat="1"/>
    <row r="417" s="77" customFormat="1"/>
    <row r="418" s="77" customFormat="1"/>
    <row r="419" s="77" customFormat="1"/>
    <row r="420" s="77" customFormat="1"/>
    <row r="421" s="77" customFormat="1"/>
    <row r="422" s="77" customFormat="1"/>
    <row r="423" s="77" customFormat="1"/>
    <row r="424" s="77" customFormat="1"/>
    <row r="425" s="77" customFormat="1"/>
    <row r="426" s="77" customFormat="1"/>
    <row r="427" s="77" customFormat="1"/>
    <row r="428" s="77" customFormat="1"/>
    <row r="429" s="77" customFormat="1"/>
    <row r="430" s="77" customFormat="1"/>
    <row r="431" s="77" customFormat="1"/>
    <row r="432" s="77" customFormat="1"/>
    <row r="433" s="77" customFormat="1"/>
    <row r="434" s="77" customFormat="1"/>
    <row r="435" s="77" customFormat="1"/>
    <row r="436" s="77" customFormat="1"/>
    <row r="437" s="77" customFormat="1"/>
    <row r="438" s="77" customFormat="1"/>
    <row r="439" s="77" customFormat="1"/>
    <row r="440" s="77" customFormat="1"/>
    <row r="441" s="77" customFormat="1"/>
    <row r="442" s="77" customFormat="1"/>
    <row r="443" s="77" customFormat="1"/>
    <row r="444" s="77" customFormat="1"/>
    <row r="445" s="77" customFormat="1"/>
    <row r="446" s="77" customFormat="1"/>
    <row r="447" s="77" customFormat="1"/>
    <row r="448" s="77" customFormat="1"/>
    <row r="449" s="77" customFormat="1"/>
    <row r="450" s="77" customFormat="1"/>
    <row r="451" s="77" customFormat="1"/>
    <row r="452" s="77" customFormat="1"/>
    <row r="453" s="77" customFormat="1"/>
    <row r="454" s="77" customFormat="1"/>
    <row r="455" s="77" customFormat="1"/>
    <row r="456" s="77" customFormat="1"/>
    <row r="457" s="77" customFormat="1"/>
    <row r="458" s="77" customFormat="1"/>
    <row r="459" s="77" customFormat="1"/>
    <row r="460" s="77" customFormat="1"/>
    <row r="461" s="77" customFormat="1"/>
    <row r="462" s="77" customFormat="1"/>
    <row r="463" s="77" customFormat="1"/>
    <row r="464" s="77" customFormat="1"/>
    <row r="465" s="77" customFormat="1"/>
    <row r="466" s="77" customFormat="1"/>
    <row r="467" s="77" customFormat="1"/>
    <row r="468" s="77" customFormat="1"/>
    <row r="469" s="77" customFormat="1"/>
    <row r="470" s="77" customFormat="1"/>
    <row r="471" s="77" customFormat="1"/>
    <row r="472" s="77" customFormat="1"/>
    <row r="473" s="77" customFormat="1"/>
    <row r="474" s="77" customFormat="1"/>
    <row r="475" s="77" customFormat="1"/>
    <row r="476" s="77" customFormat="1"/>
    <row r="477" s="77" customFormat="1"/>
    <row r="478" s="77" customFormat="1"/>
    <row r="479" s="77" customFormat="1"/>
    <row r="480" s="77" customFormat="1"/>
    <row r="481" s="77" customFormat="1"/>
    <row r="482" s="77" customFormat="1"/>
    <row r="483" s="77" customFormat="1"/>
    <row r="484" s="77" customFormat="1"/>
    <row r="485" s="77" customFormat="1"/>
    <row r="486" s="77" customFormat="1"/>
    <row r="487" s="77" customFormat="1"/>
    <row r="488" s="77" customFormat="1"/>
    <row r="489" s="77" customFormat="1"/>
    <row r="490" s="77" customFormat="1"/>
    <row r="491" s="77" customFormat="1"/>
    <row r="492" s="77" customFormat="1"/>
    <row r="493" s="77" customFormat="1"/>
    <row r="494" s="77" customFormat="1"/>
    <row r="495" s="77" customFormat="1"/>
    <row r="496" s="77" customFormat="1"/>
    <row r="497" s="77" customFormat="1"/>
    <row r="498" s="77" customFormat="1"/>
    <row r="499" s="77" customFormat="1"/>
    <row r="500" s="77" customFormat="1"/>
    <row r="501" s="77" customFormat="1"/>
    <row r="502" s="77" customFormat="1"/>
    <row r="503" s="77" customFormat="1"/>
    <row r="504" s="77" customFormat="1"/>
    <row r="505" s="77" customFormat="1"/>
    <row r="506" s="77" customFormat="1"/>
    <row r="507" s="77" customFormat="1"/>
    <row r="508" s="77" customFormat="1"/>
    <row r="509" s="77" customFormat="1"/>
    <row r="510" s="77" customFormat="1"/>
    <row r="511" s="77" customFormat="1"/>
    <row r="512" s="77" customFormat="1"/>
    <row r="513" s="77" customFormat="1"/>
    <row r="514" s="77" customFormat="1"/>
    <row r="515" s="77" customFormat="1"/>
    <row r="516" s="77" customFormat="1"/>
    <row r="517" s="77" customFormat="1"/>
    <row r="518" s="77" customFormat="1"/>
    <row r="519" s="77" customFormat="1"/>
    <row r="520" s="77" customFormat="1"/>
    <row r="521" s="77" customFormat="1"/>
    <row r="522" s="77" customFormat="1"/>
    <row r="523" s="77" customFormat="1"/>
    <row r="524" s="77" customFormat="1"/>
    <row r="525" s="77" customFormat="1"/>
    <row r="526" s="77" customFormat="1"/>
    <row r="527" s="77" customFormat="1"/>
    <row r="528" s="77" customFormat="1"/>
    <row r="529" s="77" customFormat="1"/>
    <row r="530" s="77" customFormat="1"/>
    <row r="531" s="77" customFormat="1"/>
    <row r="532" s="77" customFormat="1"/>
    <row r="533" s="77" customFormat="1"/>
    <row r="534" s="77" customFormat="1"/>
    <row r="535" s="77" customFormat="1"/>
    <row r="536" s="77" customFormat="1"/>
    <row r="537" s="77" customFormat="1"/>
    <row r="538" s="77" customFormat="1"/>
    <row r="539" s="77" customFormat="1"/>
    <row r="540" s="77" customFormat="1"/>
    <row r="541" s="77" customFormat="1"/>
    <row r="542" s="77" customFormat="1"/>
    <row r="543" s="77" customFormat="1"/>
    <row r="544" s="77" customFormat="1"/>
    <row r="545" s="77" customFormat="1"/>
    <row r="546" s="77" customFormat="1"/>
    <row r="547" s="77" customFormat="1"/>
    <row r="548" s="77" customFormat="1"/>
    <row r="549" s="77" customFormat="1"/>
    <row r="550" s="77" customFormat="1"/>
    <row r="551" s="77" customFormat="1"/>
    <row r="552" s="77" customFormat="1"/>
    <row r="553" s="77" customFormat="1"/>
    <row r="554" s="77" customFormat="1"/>
    <row r="555" s="77" customFormat="1"/>
    <row r="556" s="77" customFormat="1"/>
    <row r="557" s="77" customFormat="1"/>
    <row r="558" s="77" customFormat="1"/>
    <row r="559" s="77" customFormat="1"/>
    <row r="560" s="77" customFormat="1"/>
    <row r="561" s="77" customFormat="1"/>
    <row r="562" s="77" customFormat="1"/>
    <row r="563" s="77" customFormat="1"/>
    <row r="564" s="77" customFormat="1"/>
    <row r="565" s="77" customFormat="1"/>
    <row r="566" s="77" customFormat="1"/>
    <row r="567" s="77" customFormat="1"/>
    <row r="568" s="77" customFormat="1"/>
    <row r="569" s="77" customFormat="1"/>
    <row r="570" s="77" customFormat="1"/>
    <row r="571" s="77" customFormat="1"/>
    <row r="572" s="77" customFormat="1"/>
    <row r="573" s="77" customFormat="1"/>
    <row r="574" s="77" customFormat="1"/>
    <row r="575" s="77" customFormat="1"/>
    <row r="576" s="77" customFormat="1"/>
    <row r="577" s="77" customFormat="1"/>
    <row r="578" s="77" customFormat="1"/>
    <row r="579" s="77" customFormat="1"/>
    <row r="580" s="77" customFormat="1"/>
    <row r="581" s="77" customFormat="1"/>
    <row r="582" s="77" customFormat="1"/>
    <row r="583" s="77" customFormat="1"/>
    <row r="584" s="77" customFormat="1"/>
    <row r="585" s="77" customFormat="1"/>
    <row r="586" s="77" customFormat="1"/>
    <row r="587" s="77" customFormat="1"/>
    <row r="588" s="77" customFormat="1"/>
    <row r="589" s="77" customFormat="1"/>
    <row r="590" s="77" customFormat="1"/>
    <row r="591" s="77" customFormat="1"/>
    <row r="592" s="77" customFormat="1"/>
    <row r="593" s="77" customFormat="1"/>
    <row r="594" s="77" customFormat="1"/>
    <row r="595" s="77" customFormat="1"/>
    <row r="596" s="77" customFormat="1"/>
    <row r="597" s="77" customFormat="1"/>
    <row r="598" s="77" customFormat="1"/>
    <row r="599" s="77" customFormat="1"/>
    <row r="600" s="77" customFormat="1"/>
    <row r="601" s="77" customFormat="1"/>
    <row r="602" s="77" customFormat="1"/>
    <row r="603" s="77" customFormat="1"/>
    <row r="604" s="77" customFormat="1"/>
    <row r="605" s="77" customFormat="1"/>
    <row r="606" s="77" customFormat="1"/>
    <row r="607" s="77" customFormat="1"/>
    <row r="608" s="77" customFormat="1"/>
    <row r="609" s="77" customFormat="1"/>
    <row r="610" s="77" customFormat="1"/>
    <row r="611" s="77" customFormat="1"/>
    <row r="612" s="77" customFormat="1"/>
    <row r="613" s="77" customFormat="1"/>
    <row r="614" s="77" customFormat="1"/>
    <row r="615" s="77" customFormat="1"/>
    <row r="616" s="77" customFormat="1"/>
    <row r="617" s="77" customFormat="1"/>
    <row r="618" s="77" customFormat="1"/>
    <row r="619" s="77" customFormat="1"/>
    <row r="620" s="77" customFormat="1"/>
    <row r="621" s="77" customFormat="1"/>
    <row r="622" s="77" customFormat="1"/>
    <row r="623" s="77" customFormat="1"/>
    <row r="624" s="77" customFormat="1"/>
    <row r="625" s="77" customFormat="1"/>
    <row r="626" s="77" customFormat="1"/>
    <row r="627" s="77" customFormat="1"/>
    <row r="628" s="77" customFormat="1"/>
    <row r="629" s="77" customFormat="1"/>
    <row r="630" s="77" customFormat="1"/>
    <row r="631" s="77" customFormat="1"/>
    <row r="632" s="77" customFormat="1"/>
    <row r="633" s="77" customFormat="1"/>
    <row r="634" s="77" customFormat="1"/>
    <row r="635" s="77" customFormat="1"/>
    <row r="636" s="77" customFormat="1"/>
    <row r="637" s="77" customFormat="1"/>
    <row r="638" s="77" customFormat="1"/>
    <row r="639" s="77" customFormat="1"/>
    <row r="640" s="77" customFormat="1"/>
    <row r="641" s="77" customFormat="1"/>
    <row r="642" s="77" customFormat="1"/>
    <row r="643" s="77" customFormat="1"/>
    <row r="644" s="77" customFormat="1"/>
    <row r="645" s="77" customFormat="1"/>
    <row r="646" s="77" customFormat="1"/>
    <row r="647" s="77" customFormat="1"/>
    <row r="648" s="77" customFormat="1"/>
    <row r="649" s="77" customFormat="1"/>
    <row r="650" s="77" customFormat="1"/>
    <row r="651" s="77" customFormat="1"/>
    <row r="652" s="77" customFormat="1"/>
    <row r="653" s="77" customFormat="1"/>
    <row r="654" s="77" customFormat="1"/>
    <row r="655" s="77" customFormat="1"/>
    <row r="656" s="77" customFormat="1"/>
    <row r="657" s="77" customFormat="1"/>
    <row r="658" s="77" customFormat="1"/>
    <row r="659" s="77" customFormat="1"/>
    <row r="660" s="77" customFormat="1"/>
    <row r="661" s="77" customFormat="1"/>
    <row r="662" s="77" customFormat="1"/>
    <row r="663" s="77" customFormat="1"/>
    <row r="664" s="77" customFormat="1"/>
    <row r="665" s="77" customFormat="1"/>
    <row r="666" s="77" customFormat="1"/>
    <row r="667" s="77" customFormat="1"/>
    <row r="668" s="77" customFormat="1"/>
    <row r="669" s="77" customFormat="1"/>
    <row r="670" s="77" customFormat="1"/>
    <row r="671" s="77" customFormat="1"/>
    <row r="672" s="77" customFormat="1"/>
    <row r="673" spans="1:8" s="77" customFormat="1"/>
    <row r="674" spans="1:8" s="77" customFormat="1"/>
    <row r="675" spans="1:8" s="77" customFormat="1"/>
    <row r="676" spans="1:8" s="77" customFormat="1"/>
    <row r="677" spans="1:8" s="77" customFormat="1"/>
    <row r="678" spans="1:8" s="77" customFormat="1"/>
    <row r="679" spans="1:8" s="77" customFormat="1"/>
    <row r="680" spans="1:8" s="77" customFormat="1"/>
    <row r="681" spans="1:8" s="77" customFormat="1"/>
    <row r="682" spans="1:8" s="77" customFormat="1"/>
    <row r="683" spans="1:8" s="77" customFormat="1"/>
    <row r="684" spans="1:8" s="77" customFormat="1">
      <c r="A684" s="1"/>
      <c r="B684" s="1"/>
      <c r="C684" s="1"/>
      <c r="D684" s="1"/>
      <c r="E684" s="1"/>
      <c r="F684" s="1"/>
      <c r="G684" s="1"/>
      <c r="H684" s="1"/>
    </row>
  </sheetData>
  <mergeCells count="71">
    <mergeCell ref="J85:L85"/>
    <mergeCell ref="A121:D121"/>
    <mergeCell ref="A119:B119"/>
    <mergeCell ref="A111:B111"/>
    <mergeCell ref="B7:C7"/>
    <mergeCell ref="A107:B107"/>
    <mergeCell ref="A93:B93"/>
    <mergeCell ref="A101:B101"/>
    <mergeCell ref="A95:B95"/>
    <mergeCell ref="A99:B99"/>
    <mergeCell ref="A105:B105"/>
    <mergeCell ref="A109:B109"/>
    <mergeCell ref="A35:A37"/>
    <mergeCell ref="B35:B37"/>
    <mergeCell ref="A63:I63"/>
    <mergeCell ref="A75:A76"/>
    <mergeCell ref="M60:V60"/>
    <mergeCell ref="A77:I77"/>
    <mergeCell ref="A1:D1"/>
    <mergeCell ref="C2:D2"/>
    <mergeCell ref="C3:D3"/>
    <mergeCell ref="A2:B2"/>
    <mergeCell ref="A3:B3"/>
    <mergeCell ref="A6:E6"/>
    <mergeCell ref="B8:B9"/>
    <mergeCell ref="C8:C9"/>
    <mergeCell ref="D7:D9"/>
    <mergeCell ref="E7:E9"/>
    <mergeCell ref="A7:A9"/>
    <mergeCell ref="A60:J60"/>
    <mergeCell ref="A62:I62"/>
    <mergeCell ref="A84:B84"/>
    <mergeCell ref="A79:B79"/>
    <mergeCell ref="A82:B82"/>
    <mergeCell ref="H64:I64"/>
    <mergeCell ref="A64:B64"/>
    <mergeCell ref="A73:A74"/>
    <mergeCell ref="A65:A66"/>
    <mergeCell ref="A67:A68"/>
    <mergeCell ref="A69:A70"/>
    <mergeCell ref="A71:A72"/>
    <mergeCell ref="W36:W37"/>
    <mergeCell ref="M35:M37"/>
    <mergeCell ref="N35:N37"/>
    <mergeCell ref="Q36:Q37"/>
    <mergeCell ref="C35:K35"/>
    <mergeCell ref="O35:W35"/>
    <mergeCell ref="C36:C37"/>
    <mergeCell ref="D36:D37"/>
    <mergeCell ref="E36:E37"/>
    <mergeCell ref="O36:O37"/>
    <mergeCell ref="F36:J36"/>
    <mergeCell ref="R36:V36"/>
    <mergeCell ref="K36:K37"/>
    <mergeCell ref="P36:P37"/>
    <mergeCell ref="D88:H88"/>
    <mergeCell ref="D82:H82"/>
    <mergeCell ref="D83:D84"/>
    <mergeCell ref="E83:E84"/>
    <mergeCell ref="F83:F84"/>
    <mergeCell ref="G83:H83"/>
    <mergeCell ref="AD36:AD37"/>
    <mergeCell ref="X35:AD35"/>
    <mergeCell ref="X34:AD34"/>
    <mergeCell ref="AE34:AK34"/>
    <mergeCell ref="AE35:AK35"/>
    <mergeCell ref="AE36:AE37"/>
    <mergeCell ref="AF36:AJ36"/>
    <mergeCell ref="AK36:AK37"/>
    <mergeCell ref="X36:X37"/>
    <mergeCell ref="Y36:AC36"/>
  </mergeCells>
  <pageMargins left="0.25" right="0.25" top="0.75" bottom="0.75" header="0.3" footer="0.3"/>
  <pageSetup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AF9C1-7ACB-4B37-9664-FA0AE41C20C2}">
  <sheetPr>
    <tabColor theme="6"/>
    <pageSetUpPr fitToPage="1"/>
  </sheetPr>
  <dimension ref="A1:DA339"/>
  <sheetViews>
    <sheetView workbookViewId="0">
      <selection activeCell="Q13" sqref="Q13"/>
    </sheetView>
  </sheetViews>
  <sheetFormatPr defaultColWidth="8.88671875" defaultRowHeight="13.8"/>
  <cols>
    <col min="1" max="1" width="10.21875" style="49" customWidth="1"/>
    <col min="2" max="2" width="9.6640625" style="49" customWidth="1"/>
    <col min="3" max="3" width="8" style="49" customWidth="1"/>
    <col min="4" max="4" width="9.6640625" style="49" customWidth="1"/>
    <col min="5" max="5" width="7.77734375" style="49" customWidth="1"/>
    <col min="6" max="6" width="10.21875" style="49" customWidth="1"/>
    <col min="7" max="7" width="8.88671875" style="49" bestFit="1" customWidth="1"/>
    <col min="8" max="8" width="9.5546875" style="49" customWidth="1"/>
    <col min="9" max="9" width="7.44140625" style="49" customWidth="1"/>
    <col min="10" max="10" width="9.77734375" style="49" customWidth="1"/>
    <col min="11" max="11" width="8.6640625" style="49" customWidth="1"/>
    <col min="12" max="12" width="8.88671875" style="49" customWidth="1"/>
    <col min="13" max="13" width="8.109375" style="49" customWidth="1"/>
    <col min="14" max="14" width="9.21875" style="49" customWidth="1"/>
    <col min="15" max="15" width="9.77734375" style="49" customWidth="1"/>
    <col min="16" max="16" width="14.44140625" style="49" customWidth="1"/>
    <col min="17" max="17" width="11" style="49" bestFit="1" customWidth="1"/>
    <col min="18" max="19" width="19.33203125" style="49" customWidth="1"/>
    <col min="20" max="20" width="12.88671875" style="49" customWidth="1"/>
    <col min="21" max="21" width="13.44140625" style="49" customWidth="1"/>
    <col min="22" max="23" width="11.6640625" style="49" customWidth="1"/>
    <col min="24" max="24" width="11.5546875" style="49" customWidth="1"/>
    <col min="25" max="25" width="13.109375" style="49" customWidth="1"/>
    <col min="26" max="26" width="12.44140625" style="49" customWidth="1"/>
    <col min="27" max="27" width="10.6640625" style="49" customWidth="1"/>
    <col min="28" max="28" width="16.109375" style="49" customWidth="1"/>
    <col min="29" max="31" width="15.6640625" style="49" customWidth="1"/>
    <col min="32" max="78" width="8.88671875" style="49"/>
    <col min="79" max="104" width="8.88671875" style="109"/>
    <col min="105" max="16384" width="8.88671875" style="49"/>
  </cols>
  <sheetData>
    <row r="1" spans="1:104" ht="18" customHeight="1">
      <c r="A1" s="431" t="s">
        <v>101</v>
      </c>
      <c r="B1" s="431"/>
      <c r="C1" s="431"/>
      <c r="D1" s="431"/>
      <c r="E1" s="431"/>
      <c r="F1" s="431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</row>
    <row r="2" spans="1:104" ht="18" customHeight="1">
      <c r="A2" s="366" t="s">
        <v>102</v>
      </c>
      <c r="B2" s="366"/>
      <c r="C2" s="366" t="s">
        <v>25</v>
      </c>
      <c r="D2" s="366"/>
      <c r="E2" s="431" t="s">
        <v>26</v>
      </c>
      <c r="F2" s="431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</row>
    <row r="3" spans="1:104" ht="18" customHeight="1">
      <c r="A3" s="367" t="s">
        <v>103</v>
      </c>
      <c r="B3" s="367"/>
      <c r="C3" s="368">
        <f>N33</f>
        <v>323865.87327419186</v>
      </c>
      <c r="D3" s="368"/>
      <c r="E3" s="432">
        <f>L61</f>
        <v>0</v>
      </c>
      <c r="F3" s="432"/>
      <c r="G3" s="109"/>
      <c r="H3" s="191"/>
      <c r="I3" s="191"/>
      <c r="J3" s="191"/>
      <c r="K3" s="191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</row>
    <row r="4" spans="1:104" ht="15.6">
      <c r="A4" s="367" t="s">
        <v>104</v>
      </c>
      <c r="B4" s="367"/>
      <c r="C4" s="368">
        <f>O33</f>
        <v>104136.66602366992</v>
      </c>
      <c r="D4" s="368"/>
      <c r="E4" s="432">
        <f>M61</f>
        <v>0</v>
      </c>
      <c r="F4" s="432"/>
      <c r="G4" s="109"/>
      <c r="H4" s="191"/>
      <c r="I4" s="191"/>
      <c r="J4" s="191"/>
      <c r="K4" s="191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</row>
    <row r="5" spans="1:104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</row>
    <row r="6" spans="1:104" ht="18">
      <c r="A6" s="156" t="s">
        <v>25</v>
      </c>
      <c r="B6" s="109"/>
      <c r="C6" s="114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</row>
    <row r="7" spans="1:104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</row>
    <row r="8" spans="1:104" ht="13.2" customHeight="1">
      <c r="A8" s="433" t="s">
        <v>39</v>
      </c>
      <c r="B8" s="417" t="s">
        <v>105</v>
      </c>
      <c r="C8" s="417"/>
      <c r="D8" s="417"/>
      <c r="E8" s="417"/>
      <c r="F8" s="417"/>
      <c r="G8" s="417"/>
      <c r="H8" s="417" t="s">
        <v>54</v>
      </c>
      <c r="I8" s="417"/>
      <c r="J8" s="417"/>
      <c r="K8" s="417"/>
      <c r="L8" s="437" t="s">
        <v>106</v>
      </c>
      <c r="M8" s="437"/>
      <c r="N8" s="437" t="s">
        <v>107</v>
      </c>
      <c r="O8" s="437" t="s">
        <v>108</v>
      </c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</row>
    <row r="9" spans="1:104" ht="26.4" customHeight="1">
      <c r="A9" s="433"/>
      <c r="B9" s="421" t="s">
        <v>109</v>
      </c>
      <c r="C9" s="421"/>
      <c r="D9" s="421" t="s">
        <v>110</v>
      </c>
      <c r="E9" s="421"/>
      <c r="F9" s="427" t="s">
        <v>111</v>
      </c>
      <c r="G9" s="427"/>
      <c r="H9" s="421" t="s">
        <v>109</v>
      </c>
      <c r="I9" s="421"/>
      <c r="J9" s="421" t="s">
        <v>110</v>
      </c>
      <c r="K9" s="421"/>
      <c r="L9" s="437" t="s">
        <v>94</v>
      </c>
      <c r="M9" s="437" t="s">
        <v>95</v>
      </c>
      <c r="N9" s="437"/>
      <c r="O9" s="437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W9" s="49"/>
      <c r="CX9" s="49"/>
      <c r="CY9" s="49"/>
      <c r="CZ9" s="49"/>
    </row>
    <row r="10" spans="1:104" ht="40.5" customHeight="1" thickBot="1">
      <c r="A10" s="433"/>
      <c r="B10" s="50" t="s">
        <v>94</v>
      </c>
      <c r="C10" s="50" t="s">
        <v>95</v>
      </c>
      <c r="D10" s="50" t="s">
        <v>94</v>
      </c>
      <c r="E10" s="50" t="s">
        <v>95</v>
      </c>
      <c r="F10" s="50" t="s">
        <v>94</v>
      </c>
      <c r="G10" s="50" t="s">
        <v>95</v>
      </c>
      <c r="H10" s="50" t="s">
        <v>94</v>
      </c>
      <c r="I10" s="157" t="s">
        <v>95</v>
      </c>
      <c r="J10" s="50" t="s">
        <v>94</v>
      </c>
      <c r="K10" s="50" t="s">
        <v>95</v>
      </c>
      <c r="L10" s="437"/>
      <c r="M10" s="437"/>
      <c r="N10" s="437"/>
      <c r="O10" s="437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W10" s="49"/>
      <c r="CX10" s="49"/>
      <c r="CY10" s="49"/>
      <c r="CZ10" s="49"/>
    </row>
    <row r="11" spans="1:104" ht="14.4" thickTop="1">
      <c r="A11" s="53">
        <v>2027</v>
      </c>
      <c r="B11" s="158">
        <f>D71</f>
        <v>18527</v>
      </c>
      <c r="C11" s="52">
        <f>C71</f>
        <v>2599</v>
      </c>
      <c r="D11" s="158">
        <f t="shared" ref="D11:D32" si="0">K71</f>
        <v>7410.8850410958903</v>
      </c>
      <c r="E11" s="52">
        <f t="shared" ref="E11:E32" si="1">J71</f>
        <v>1039.5149589041096</v>
      </c>
      <c r="F11" s="158">
        <f>D11</f>
        <v>7410.8850410958903</v>
      </c>
      <c r="G11" s="52">
        <f>E11</f>
        <v>1039.5149589041096</v>
      </c>
      <c r="H11" s="158">
        <f t="shared" ref="H11:H32" si="2">G71</f>
        <v>18527</v>
      </c>
      <c r="I11" s="52">
        <f t="shared" ref="I11:I32" si="3">F71</f>
        <v>2599</v>
      </c>
      <c r="J11" s="158">
        <f t="shared" ref="J11:J32" si="4">M71</f>
        <v>6857.7154076712341</v>
      </c>
      <c r="K11" s="52">
        <f t="shared" ref="K11:K32" si="5">L71</f>
        <v>961.92259232876722</v>
      </c>
      <c r="L11" s="158">
        <f>F11-J11</f>
        <v>553.16963342465624</v>
      </c>
      <c r="M11" s="54">
        <f>G11-K11</f>
        <v>77.592366575342339</v>
      </c>
      <c r="N11" s="218">
        <f t="shared" ref="N11:N32" si="6">(L11*$B$130)+(M11*$B$129)</f>
        <v>12453.522991890386</v>
      </c>
      <c r="O11" s="268">
        <f>N11*INDEX(NPV!$C$3:$C$42,MATCH('Travel Time'!$A11,NPV!$B$3:$B$42,0))</f>
        <v>7755.4282287535589</v>
      </c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W11" s="49"/>
      <c r="CX11" s="49"/>
      <c r="CY11" s="49"/>
      <c r="CZ11" s="49"/>
    </row>
    <row r="12" spans="1:104">
      <c r="A12" s="53">
        <f>A11+1</f>
        <v>2028</v>
      </c>
      <c r="B12" s="158">
        <f t="shared" ref="B12:B14" si="7">D72</f>
        <v>18816</v>
      </c>
      <c r="C12" s="52">
        <f t="shared" ref="C12:C14" si="8">C72</f>
        <v>2639</v>
      </c>
      <c r="D12" s="158">
        <f t="shared" si="0"/>
        <v>7526.2964383561648</v>
      </c>
      <c r="E12" s="52">
        <f t="shared" si="1"/>
        <v>1055.7035616438357</v>
      </c>
      <c r="F12" s="158">
        <f t="shared" ref="F12:F32" si="9">D12</f>
        <v>7526.2964383561648</v>
      </c>
      <c r="G12" s="52">
        <f t="shared" ref="G12:G32" si="10">E12</f>
        <v>1055.7035616438357</v>
      </c>
      <c r="H12" s="158">
        <f t="shared" si="2"/>
        <v>18816</v>
      </c>
      <c r="I12" s="52">
        <f t="shared" si="3"/>
        <v>2639</v>
      </c>
      <c r="J12" s="158">
        <f t="shared" si="4"/>
        <v>6964.512168493151</v>
      </c>
      <c r="K12" s="52">
        <f t="shared" si="5"/>
        <v>976.90283150684934</v>
      </c>
      <c r="L12" s="158">
        <f t="shared" ref="L12:L14" si="11">F12-J12</f>
        <v>561.78426986301383</v>
      </c>
      <c r="M12" s="54">
        <f t="shared" ref="M12:M32" si="12">G12-K12</f>
        <v>78.800730136986317</v>
      </c>
      <c r="N12" s="218">
        <f t="shared" si="6"/>
        <v>12647.464536164387</v>
      </c>
      <c r="O12" s="219">
        <f>N12*INDEX(NPV!$C$3:$C$42,MATCH('Travel Time'!$A12,NPV!$B$3:$B$42,0))</f>
        <v>7360.9395097111137</v>
      </c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W12" s="49"/>
      <c r="CX12" s="49"/>
      <c r="CY12" s="49"/>
      <c r="CZ12" s="49"/>
    </row>
    <row r="13" spans="1:104">
      <c r="A13" s="53">
        <v>2029</v>
      </c>
      <c r="B13" s="158">
        <f t="shared" si="7"/>
        <v>19110</v>
      </c>
      <c r="C13" s="52">
        <f t="shared" si="8"/>
        <v>2680</v>
      </c>
      <c r="D13" s="158">
        <f t="shared" si="0"/>
        <v>7643.8126027397266</v>
      </c>
      <c r="E13" s="52">
        <f t="shared" si="1"/>
        <v>1072.1873972602739</v>
      </c>
      <c r="F13" s="158">
        <f t="shared" si="9"/>
        <v>7643.8126027397266</v>
      </c>
      <c r="G13" s="52">
        <f t="shared" si="10"/>
        <v>1072.1873972602739</v>
      </c>
      <c r="H13" s="158">
        <f t="shared" si="2"/>
        <v>19110</v>
      </c>
      <c r="I13" s="52">
        <f t="shared" si="3"/>
        <v>2680</v>
      </c>
      <c r="J13" s="158">
        <f t="shared" si="4"/>
        <v>7073.2565906066538</v>
      </c>
      <c r="K13" s="52">
        <f t="shared" si="5"/>
        <v>992.15626653620359</v>
      </c>
      <c r="L13" s="158">
        <f t="shared" si="11"/>
        <v>570.55601213307273</v>
      </c>
      <c r="M13" s="54">
        <f t="shared" si="12"/>
        <v>80.031130724070294</v>
      </c>
      <c r="N13" s="218">
        <f t="shared" si="6"/>
        <v>12844.943008297456</v>
      </c>
      <c r="O13" s="219">
        <f>N13*INDEX(NPV!$C$3:$C$42,MATCH('Travel Time'!$A13,NPV!$B$3:$B$42,0))</f>
        <v>6986.7979237833206</v>
      </c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W13" s="49"/>
      <c r="CX13" s="49"/>
      <c r="CY13" s="49"/>
      <c r="CZ13" s="49"/>
    </row>
    <row r="14" spans="1:104">
      <c r="A14" s="53">
        <f t="shared" ref="A14:A32" si="13">A13+1</f>
        <v>2030</v>
      </c>
      <c r="B14" s="158">
        <f t="shared" si="7"/>
        <v>19408</v>
      </c>
      <c r="C14" s="52">
        <f t="shared" si="8"/>
        <v>2722</v>
      </c>
      <c r="D14" s="158">
        <f t="shared" si="0"/>
        <v>7763.0827397260273</v>
      </c>
      <c r="E14" s="52">
        <f t="shared" si="1"/>
        <v>1088.9172602739727</v>
      </c>
      <c r="F14" s="158">
        <f t="shared" si="9"/>
        <v>7763.0827397260273</v>
      </c>
      <c r="G14" s="52">
        <f t="shared" si="10"/>
        <v>1088.9172602739727</v>
      </c>
      <c r="H14" s="158">
        <f t="shared" si="2"/>
        <v>19408</v>
      </c>
      <c r="I14" s="52">
        <f t="shared" si="3"/>
        <v>2722</v>
      </c>
      <c r="J14" s="158">
        <f t="shared" si="4"/>
        <v>7183.6240637964775</v>
      </c>
      <c r="K14" s="52">
        <f t="shared" si="5"/>
        <v>1007.6373647749512</v>
      </c>
      <c r="L14" s="158">
        <f t="shared" si="11"/>
        <v>579.45867592954983</v>
      </c>
      <c r="M14" s="54">
        <f t="shared" si="12"/>
        <v>81.279895499021563</v>
      </c>
      <c r="N14" s="218">
        <f t="shared" si="6"/>
        <v>13045.368920313113</v>
      </c>
      <c r="O14" s="219">
        <f>N14*INDEX(NPV!$C$3:$C$42,MATCH('Travel Time'!$A14,NPV!$B$3:$B$42,0))</f>
        <v>6631.6040562774187</v>
      </c>
      <c r="P14" s="113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W14" s="49"/>
      <c r="CX14" s="49"/>
      <c r="CY14" s="49"/>
      <c r="CZ14" s="49"/>
    </row>
    <row r="15" spans="1:104">
      <c r="A15" s="53">
        <f t="shared" si="13"/>
        <v>2031</v>
      </c>
      <c r="B15" s="158">
        <f t="shared" ref="B15:B32" si="14">D75</f>
        <v>19710</v>
      </c>
      <c r="C15" s="52">
        <f t="shared" ref="C15:C32" si="15">C75</f>
        <v>2765</v>
      </c>
      <c r="D15" s="158">
        <f t="shared" si="0"/>
        <v>7884.1068493150688</v>
      </c>
      <c r="E15" s="52">
        <f t="shared" si="1"/>
        <v>1105.8931506849315</v>
      </c>
      <c r="F15" s="158">
        <f t="shared" si="9"/>
        <v>7884.1068493150688</v>
      </c>
      <c r="G15" s="52">
        <f t="shared" si="10"/>
        <v>1105.8931506849315</v>
      </c>
      <c r="H15" s="158">
        <f t="shared" si="2"/>
        <v>19710</v>
      </c>
      <c r="I15" s="52">
        <f t="shared" si="3"/>
        <v>2765</v>
      </c>
      <c r="J15" s="158">
        <f t="shared" si="4"/>
        <v>7295.6145880626227</v>
      </c>
      <c r="K15" s="52">
        <f t="shared" si="5"/>
        <v>1023.346126223092</v>
      </c>
      <c r="L15" s="158">
        <f>F15-J15</f>
        <v>588.49226125244604</v>
      </c>
      <c r="M15" s="54">
        <f>G15-K15</f>
        <v>82.547024461839442</v>
      </c>
      <c r="N15" s="218">
        <f t="shared" si="6"/>
        <v>13248.742272211346</v>
      </c>
      <c r="O15" s="219">
        <f>N15*INDEX(NPV!$C$3:$C$42,MATCH('Travel Time'!$A15,NPV!$B$3:$B$42,0))</f>
        <v>6294.3820147233173</v>
      </c>
      <c r="P15" s="113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W15" s="49"/>
      <c r="CX15" s="49"/>
      <c r="CY15" s="49"/>
      <c r="CZ15" s="49"/>
    </row>
    <row r="16" spans="1:104">
      <c r="A16" s="53">
        <f t="shared" si="13"/>
        <v>2032</v>
      </c>
      <c r="B16" s="158">
        <f t="shared" si="14"/>
        <v>20017</v>
      </c>
      <c r="C16" s="52">
        <f t="shared" si="15"/>
        <v>2808</v>
      </c>
      <c r="D16" s="158">
        <f t="shared" si="0"/>
        <v>8006.8849315068492</v>
      </c>
      <c r="E16" s="52">
        <f t="shared" si="1"/>
        <v>1123.1150684931506</v>
      </c>
      <c r="F16" s="158">
        <f t="shared" si="9"/>
        <v>8006.8849315068492</v>
      </c>
      <c r="G16" s="52">
        <f t="shared" si="10"/>
        <v>1123.1150684931506</v>
      </c>
      <c r="H16" s="158">
        <f t="shared" si="2"/>
        <v>20017</v>
      </c>
      <c r="I16" s="52">
        <f t="shared" si="3"/>
        <v>2808</v>
      </c>
      <c r="J16" s="158">
        <f t="shared" si="4"/>
        <v>7409.2281634050878</v>
      </c>
      <c r="K16" s="52">
        <f t="shared" si="5"/>
        <v>1039.2825508806263</v>
      </c>
      <c r="L16" s="158">
        <f t="shared" ref="L16:L32" si="16">F16-J16</f>
        <v>597.65676810176137</v>
      </c>
      <c r="M16" s="54">
        <f t="shared" si="12"/>
        <v>83.832517612524271</v>
      </c>
      <c r="N16" s="218">
        <f t="shared" si="6"/>
        <v>13455.063063992169</v>
      </c>
      <c r="O16" s="219">
        <f>N16*INDEX(NPV!$C$3:$C$42,MATCH('Travel Time'!$A16,NPV!$B$3:$B$42,0))</f>
        <v>5974.2089127508134</v>
      </c>
      <c r="P16" s="113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W16" s="49"/>
      <c r="CX16" s="49"/>
      <c r="CY16" s="49"/>
      <c r="CZ16" s="49"/>
    </row>
    <row r="17" spans="1:104">
      <c r="A17" s="53">
        <f t="shared" si="13"/>
        <v>2033</v>
      </c>
      <c r="B17" s="158">
        <f t="shared" si="14"/>
        <v>20329</v>
      </c>
      <c r="C17" s="52">
        <f t="shared" si="15"/>
        <v>2852</v>
      </c>
      <c r="D17" s="158">
        <f t="shared" si="0"/>
        <v>8131.7677808219178</v>
      </c>
      <c r="E17" s="52">
        <f t="shared" si="1"/>
        <v>1140.6322191780821</v>
      </c>
      <c r="F17" s="158">
        <f t="shared" si="9"/>
        <v>8131.7677808219178</v>
      </c>
      <c r="G17" s="52">
        <f t="shared" si="10"/>
        <v>1140.6322191780821</v>
      </c>
      <c r="H17" s="158">
        <f t="shared" si="2"/>
        <v>20329</v>
      </c>
      <c r="I17" s="52">
        <f t="shared" si="3"/>
        <v>2852</v>
      </c>
      <c r="J17" s="158">
        <f t="shared" si="4"/>
        <v>7524.7894000391389</v>
      </c>
      <c r="K17" s="52">
        <f t="shared" si="5"/>
        <v>1055.4921713894325</v>
      </c>
      <c r="L17" s="158">
        <f t="shared" si="16"/>
        <v>606.97838078277891</v>
      </c>
      <c r="M17" s="54">
        <f t="shared" si="12"/>
        <v>85.140047788649554</v>
      </c>
      <c r="N17" s="218">
        <f t="shared" si="6"/>
        <v>13664.920783632091</v>
      </c>
      <c r="O17" s="219">
        <f>N17*INDEX(NPV!$C$3:$C$42,MATCH('Travel Time'!$A17,NPV!$B$3:$B$42,0))</f>
        <v>5670.4563084204929</v>
      </c>
      <c r="P17" s="113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W17" s="49"/>
      <c r="CX17" s="49"/>
      <c r="CY17" s="49"/>
      <c r="CZ17" s="49"/>
    </row>
    <row r="18" spans="1:104">
      <c r="A18" s="53">
        <f t="shared" si="13"/>
        <v>2034</v>
      </c>
      <c r="B18" s="158">
        <f t="shared" si="14"/>
        <v>20647</v>
      </c>
      <c r="C18" s="52">
        <f t="shared" si="15"/>
        <v>2896</v>
      </c>
      <c r="D18" s="158">
        <f t="shared" si="0"/>
        <v>8258.7553972602745</v>
      </c>
      <c r="E18" s="52">
        <f t="shared" si="1"/>
        <v>1158.4446027397262</v>
      </c>
      <c r="F18" s="158">
        <f t="shared" si="9"/>
        <v>8258.7553972602745</v>
      </c>
      <c r="G18" s="52">
        <f t="shared" si="10"/>
        <v>1158.4446027397262</v>
      </c>
      <c r="H18" s="158">
        <f t="shared" si="2"/>
        <v>20647</v>
      </c>
      <c r="I18" s="52">
        <f t="shared" si="3"/>
        <v>2896</v>
      </c>
      <c r="J18" s="158">
        <f t="shared" si="4"/>
        <v>7642.298297964775</v>
      </c>
      <c r="K18" s="52">
        <f t="shared" si="5"/>
        <v>1071.9749877495108</v>
      </c>
      <c r="L18" s="158">
        <f t="shared" si="16"/>
        <v>616.45709929549957</v>
      </c>
      <c r="M18" s="54">
        <f t="shared" si="12"/>
        <v>86.469614990215405</v>
      </c>
      <c r="N18" s="218">
        <f t="shared" si="6"/>
        <v>13878.315431131132</v>
      </c>
      <c r="O18" s="219">
        <f>N18*INDEX(NPV!$C$3:$C$42,MATCH('Travel Time'!$A18,NPV!$B$3:$B$42,0))</f>
        <v>5382.2500004694411</v>
      </c>
      <c r="P18" s="113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W18" s="49"/>
      <c r="CX18" s="49"/>
      <c r="CY18" s="49"/>
      <c r="CZ18" s="49"/>
    </row>
    <row r="19" spans="1:104">
      <c r="A19" s="53">
        <f t="shared" si="13"/>
        <v>2035</v>
      </c>
      <c r="B19" s="158">
        <f t="shared" si="14"/>
        <v>20969</v>
      </c>
      <c r="C19" s="52">
        <f t="shared" si="15"/>
        <v>2941</v>
      </c>
      <c r="D19" s="158">
        <f t="shared" si="0"/>
        <v>8387.4969863013703</v>
      </c>
      <c r="E19" s="52">
        <f t="shared" si="1"/>
        <v>1176.5030136986302</v>
      </c>
      <c r="F19" s="158">
        <f t="shared" si="9"/>
        <v>8387.4969863013703</v>
      </c>
      <c r="G19" s="52">
        <f t="shared" si="10"/>
        <v>1176.5030136986302</v>
      </c>
      <c r="H19" s="158">
        <f t="shared" si="2"/>
        <v>20969</v>
      </c>
      <c r="I19" s="52">
        <f t="shared" si="3"/>
        <v>2941</v>
      </c>
      <c r="J19" s="158">
        <f t="shared" si="4"/>
        <v>7761.4302469667327</v>
      </c>
      <c r="K19" s="52">
        <f t="shared" si="5"/>
        <v>1088.6854673189825</v>
      </c>
      <c r="L19" s="158">
        <f t="shared" si="16"/>
        <v>626.06673933463753</v>
      </c>
      <c r="M19" s="54">
        <f t="shared" si="12"/>
        <v>87.817546379647638</v>
      </c>
      <c r="N19" s="218">
        <f t="shared" si="6"/>
        <v>14094.657518512709</v>
      </c>
      <c r="O19" s="219">
        <f>N19*INDEX(NPV!$C$3:$C$42,MATCH('Travel Time'!$A19,NPV!$B$3:$B$42,0))</f>
        <v>5108.5525158071896</v>
      </c>
      <c r="P19" s="113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W19" s="49"/>
      <c r="CX19" s="49"/>
      <c r="CY19" s="49"/>
      <c r="CZ19" s="49"/>
    </row>
    <row r="20" spans="1:104">
      <c r="A20" s="53">
        <f t="shared" si="13"/>
        <v>2036</v>
      </c>
      <c r="B20" s="158">
        <f t="shared" si="14"/>
        <v>21296</v>
      </c>
      <c r="C20" s="52">
        <f t="shared" si="15"/>
        <v>2987</v>
      </c>
      <c r="D20" s="158">
        <f t="shared" si="0"/>
        <v>8518.3433424657542</v>
      </c>
      <c r="E20" s="52">
        <f t="shared" si="1"/>
        <v>1194.8566575342468</v>
      </c>
      <c r="F20" s="158">
        <f t="shared" si="9"/>
        <v>8518.3433424657542</v>
      </c>
      <c r="G20" s="52">
        <f t="shared" si="10"/>
        <v>1194.8566575342468</v>
      </c>
      <c r="H20" s="158">
        <f t="shared" si="2"/>
        <v>21296</v>
      </c>
      <c r="I20" s="52">
        <f t="shared" si="3"/>
        <v>2987</v>
      </c>
      <c r="J20" s="158">
        <f t="shared" si="4"/>
        <v>7882.5098572602737</v>
      </c>
      <c r="K20" s="52">
        <f t="shared" si="5"/>
        <v>1105.6691427397261</v>
      </c>
      <c r="L20" s="158">
        <f t="shared" si="16"/>
        <v>635.83348520548043</v>
      </c>
      <c r="M20" s="54">
        <f t="shared" si="12"/>
        <v>89.187514794520666</v>
      </c>
      <c r="N20" s="218">
        <f t="shared" si="6"/>
        <v>14314.536533753448</v>
      </c>
      <c r="O20" s="219">
        <f>N20*INDEX(NPV!$C$3:$C$42,MATCH('Travel Time'!$A20,NPV!$B$3:$B$42,0))</f>
        <v>4848.8287754056801</v>
      </c>
      <c r="P20" s="113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W20" s="49"/>
      <c r="CX20" s="49"/>
      <c r="CY20" s="49"/>
      <c r="CZ20" s="49"/>
    </row>
    <row r="21" spans="1:104">
      <c r="A21" s="53">
        <f t="shared" si="13"/>
        <v>2037</v>
      </c>
      <c r="B21" s="158">
        <f t="shared" si="14"/>
        <v>21627</v>
      </c>
      <c r="C21" s="52">
        <f t="shared" si="15"/>
        <v>3034</v>
      </c>
      <c r="D21" s="158">
        <f t="shared" si="0"/>
        <v>8650.9436712328788</v>
      </c>
      <c r="E21" s="52">
        <f t="shared" si="1"/>
        <v>1213.4563287671235</v>
      </c>
      <c r="F21" s="158">
        <f t="shared" si="9"/>
        <v>8650.9436712328788</v>
      </c>
      <c r="G21" s="52">
        <f t="shared" si="10"/>
        <v>1213.4563287671235</v>
      </c>
      <c r="H21" s="158">
        <f t="shared" si="2"/>
        <v>21627</v>
      </c>
      <c r="I21" s="52">
        <f t="shared" si="3"/>
        <v>3034</v>
      </c>
      <c r="J21" s="158">
        <f t="shared" si="4"/>
        <v>8005.2125186301373</v>
      </c>
      <c r="K21" s="52">
        <f t="shared" si="5"/>
        <v>1122.8804813698632</v>
      </c>
      <c r="L21" s="158">
        <f t="shared" si="16"/>
        <v>645.73115260274153</v>
      </c>
      <c r="M21" s="54">
        <f t="shared" si="12"/>
        <v>90.575847397260304</v>
      </c>
      <c r="N21" s="218">
        <f t="shared" si="6"/>
        <v>14537.362988876746</v>
      </c>
      <c r="O21" s="219">
        <f>N21*INDEX(NPV!$C$3:$C$42,MATCH('Travel Time'!$A21,NPV!$B$3:$B$42,0))</f>
        <v>4602.1568271591705</v>
      </c>
      <c r="P21" s="113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W21" s="49"/>
      <c r="CX21" s="49"/>
      <c r="CY21" s="49"/>
      <c r="CZ21" s="49"/>
    </row>
    <row r="22" spans="1:104">
      <c r="A22" s="53">
        <f t="shared" si="13"/>
        <v>2038</v>
      </c>
      <c r="B22" s="158">
        <f t="shared" si="14"/>
        <v>21965</v>
      </c>
      <c r="C22" s="52">
        <f t="shared" si="15"/>
        <v>3081</v>
      </c>
      <c r="D22" s="158">
        <f t="shared" si="0"/>
        <v>8785.9995616438373</v>
      </c>
      <c r="E22" s="52">
        <f t="shared" si="1"/>
        <v>1232.4004383561646</v>
      </c>
      <c r="F22" s="158">
        <f t="shared" si="9"/>
        <v>8785.9995616438373</v>
      </c>
      <c r="G22" s="52">
        <f t="shared" si="10"/>
        <v>1232.4004383561646</v>
      </c>
      <c r="H22" s="158">
        <f t="shared" si="2"/>
        <v>21965</v>
      </c>
      <c r="I22" s="52">
        <f t="shared" si="3"/>
        <v>3081</v>
      </c>
      <c r="J22" s="158">
        <f t="shared" si="4"/>
        <v>8130.1874515068494</v>
      </c>
      <c r="K22" s="52">
        <f t="shared" si="5"/>
        <v>1140.4105484931506</v>
      </c>
      <c r="L22" s="158">
        <f t="shared" si="16"/>
        <v>655.81211013698794</v>
      </c>
      <c r="M22" s="54">
        <f t="shared" si="12"/>
        <v>91.989889863014014</v>
      </c>
      <c r="N22" s="218">
        <f t="shared" si="6"/>
        <v>14764.315859835657</v>
      </c>
      <c r="O22" s="219">
        <f>N22*INDEX(NPV!$C$3:$C$42,MATCH('Travel Time'!$A22,NPV!$B$3:$B$42,0))</f>
        <v>4368.2283121000628</v>
      </c>
      <c r="P22" s="113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W22" s="49"/>
      <c r="CX22" s="49"/>
      <c r="CY22" s="49"/>
      <c r="CZ22" s="49"/>
    </row>
    <row r="23" spans="1:104">
      <c r="A23" s="53">
        <f t="shared" si="13"/>
        <v>2039</v>
      </c>
      <c r="B23" s="158">
        <f t="shared" si="14"/>
        <v>22307</v>
      </c>
      <c r="C23" s="52">
        <f t="shared" si="15"/>
        <v>3129</v>
      </c>
      <c r="D23" s="158">
        <f t="shared" si="0"/>
        <v>8922.8094246575347</v>
      </c>
      <c r="E23" s="52">
        <f t="shared" si="1"/>
        <v>1251.5905753424659</v>
      </c>
      <c r="F23" s="158">
        <f t="shared" si="9"/>
        <v>8922.8094246575347</v>
      </c>
      <c r="G23" s="52">
        <f t="shared" si="10"/>
        <v>1251.5905753424659</v>
      </c>
      <c r="H23" s="158">
        <f t="shared" si="2"/>
        <v>22307</v>
      </c>
      <c r="I23" s="52">
        <f t="shared" si="3"/>
        <v>3129</v>
      </c>
      <c r="J23" s="158">
        <f t="shared" si="4"/>
        <v>8256.785435459884</v>
      </c>
      <c r="K23" s="52">
        <f t="shared" si="5"/>
        <v>1158.1682788258317</v>
      </c>
      <c r="L23" s="158">
        <f t="shared" si="16"/>
        <v>666.02398919765074</v>
      </c>
      <c r="M23" s="54">
        <f t="shared" si="12"/>
        <v>93.422296516634106</v>
      </c>
      <c r="N23" s="218">
        <f t="shared" si="6"/>
        <v>14994.216170677089</v>
      </c>
      <c r="O23" s="219">
        <f>N23*INDEX(NPV!$C$3:$C$42,MATCH('Travel Time'!$A23,NPV!$B$3:$B$42,0))</f>
        <v>4146.0257181580955</v>
      </c>
      <c r="P23" s="113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W23" s="49"/>
      <c r="CX23" s="49"/>
      <c r="CY23" s="49"/>
      <c r="CZ23" s="49"/>
    </row>
    <row r="24" spans="1:104">
      <c r="A24" s="53">
        <f t="shared" si="13"/>
        <v>2040</v>
      </c>
      <c r="B24" s="158">
        <f t="shared" si="14"/>
        <v>22655</v>
      </c>
      <c r="C24" s="52">
        <f t="shared" si="15"/>
        <v>3178</v>
      </c>
      <c r="D24" s="158">
        <f t="shared" si="0"/>
        <v>9062.0748493150695</v>
      </c>
      <c r="E24" s="52">
        <f t="shared" si="1"/>
        <v>1271.1251506849317</v>
      </c>
      <c r="F24" s="158">
        <f t="shared" si="9"/>
        <v>9062.0748493150695</v>
      </c>
      <c r="G24" s="52">
        <f t="shared" si="10"/>
        <v>1271.1251506849317</v>
      </c>
      <c r="H24" s="158">
        <f t="shared" si="2"/>
        <v>22655</v>
      </c>
      <c r="I24" s="52">
        <f t="shared" si="3"/>
        <v>3178</v>
      </c>
      <c r="J24" s="158">
        <f t="shared" si="4"/>
        <v>8385.6556909197661</v>
      </c>
      <c r="K24" s="52">
        <f t="shared" si="5"/>
        <v>1176.2447376516634</v>
      </c>
      <c r="L24" s="158">
        <f t="shared" si="16"/>
        <v>676.41915839530338</v>
      </c>
      <c r="M24" s="54">
        <f t="shared" si="12"/>
        <v>94.880413033268269</v>
      </c>
      <c r="N24" s="218">
        <f t="shared" si="6"/>
        <v>15228.242897354216</v>
      </c>
      <c r="O24" s="219">
        <f>N24*INDEX(NPV!$C$3:$C$42,MATCH('Travel Time'!$A24,NPV!$B$3:$B$42,0))</f>
        <v>3935.267344141655</v>
      </c>
      <c r="P24" s="113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W24" s="49"/>
      <c r="CX24" s="49"/>
      <c r="CY24" s="49"/>
      <c r="CZ24" s="49"/>
    </row>
    <row r="25" spans="1:104">
      <c r="A25" s="53">
        <f t="shared" si="13"/>
        <v>2041</v>
      </c>
      <c r="B25" s="158">
        <f t="shared" si="14"/>
        <v>23009</v>
      </c>
      <c r="C25" s="52">
        <f t="shared" si="15"/>
        <v>3227</v>
      </c>
      <c r="D25" s="158">
        <f t="shared" si="0"/>
        <v>9203.4450410958925</v>
      </c>
      <c r="E25" s="52">
        <f t="shared" si="1"/>
        <v>1290.9549589041098</v>
      </c>
      <c r="F25" s="158">
        <f t="shared" si="9"/>
        <v>9203.4450410958925</v>
      </c>
      <c r="G25" s="52">
        <f t="shared" si="10"/>
        <v>1290.9549589041098</v>
      </c>
      <c r="H25" s="158">
        <f t="shared" si="2"/>
        <v>23009</v>
      </c>
      <c r="I25" s="52">
        <f t="shared" si="3"/>
        <v>3227</v>
      </c>
      <c r="J25" s="158">
        <f t="shared" si="4"/>
        <v>8516.4736076712343</v>
      </c>
      <c r="K25" s="52">
        <f t="shared" si="5"/>
        <v>1194.5943923287673</v>
      </c>
      <c r="L25" s="158">
        <f t="shared" si="16"/>
        <v>686.97143342465824</v>
      </c>
      <c r="M25" s="54">
        <f t="shared" si="12"/>
        <v>96.360566575342546</v>
      </c>
      <c r="N25" s="218">
        <f t="shared" si="6"/>
        <v>15465.806551890426</v>
      </c>
      <c r="O25" s="219">
        <f>N25*INDEX(NPV!$C$3:$C$42,MATCH('Travel Time'!$A25,NPV!$B$3:$B$42,0))</f>
        <v>3735.1946793006737</v>
      </c>
      <c r="P25" s="113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W25" s="49"/>
      <c r="CX25" s="49"/>
      <c r="CY25" s="49"/>
      <c r="CZ25" s="49"/>
    </row>
    <row r="26" spans="1:104">
      <c r="A26" s="53">
        <f t="shared" si="13"/>
        <v>2042</v>
      </c>
      <c r="B26" s="158">
        <f t="shared" si="14"/>
        <v>23367</v>
      </c>
      <c r="C26" s="52">
        <f t="shared" si="15"/>
        <v>3278</v>
      </c>
      <c r="D26" s="158">
        <f t="shared" si="0"/>
        <v>9346.92</v>
      </c>
      <c r="E26" s="52">
        <f t="shared" si="1"/>
        <v>1311.08</v>
      </c>
      <c r="F26" s="158">
        <f t="shared" si="9"/>
        <v>9346.92</v>
      </c>
      <c r="G26" s="52">
        <f t="shared" si="10"/>
        <v>1311.08</v>
      </c>
      <c r="H26" s="158">
        <f t="shared" si="2"/>
        <v>23367</v>
      </c>
      <c r="I26" s="52">
        <f t="shared" si="3"/>
        <v>3278</v>
      </c>
      <c r="J26" s="158">
        <f t="shared" si="4"/>
        <v>8649.2391857142866</v>
      </c>
      <c r="K26" s="52">
        <f t="shared" si="5"/>
        <v>1213.217242857143</v>
      </c>
      <c r="L26" s="158">
        <f t="shared" si="16"/>
        <v>697.6808142857135</v>
      </c>
      <c r="M26" s="54">
        <f t="shared" si="12"/>
        <v>97.862757142856935</v>
      </c>
      <c r="N26" s="218">
        <f t="shared" si="6"/>
        <v>15706.907134285693</v>
      </c>
      <c r="O26" s="219">
        <f>N26*INDEX(NPV!$C$3:$C$42,MATCH('Travel Time'!$A26,NPV!$B$3:$B$42,0))</f>
        <v>3545.2557244581612</v>
      </c>
      <c r="P26" s="113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W26" s="49"/>
      <c r="CX26" s="49"/>
      <c r="CY26" s="49"/>
      <c r="CZ26" s="49"/>
    </row>
    <row r="27" spans="1:104">
      <c r="A27" s="53">
        <f t="shared" si="13"/>
        <v>2043</v>
      </c>
      <c r="B27" s="158">
        <f t="shared" si="14"/>
        <v>23732</v>
      </c>
      <c r="C27" s="52">
        <f t="shared" si="15"/>
        <v>3329</v>
      </c>
      <c r="D27" s="158">
        <f t="shared" si="0"/>
        <v>9492.8505205479469</v>
      </c>
      <c r="E27" s="52">
        <f t="shared" si="1"/>
        <v>1331.549479452055</v>
      </c>
      <c r="F27" s="158">
        <f t="shared" si="9"/>
        <v>9492.8505205479469</v>
      </c>
      <c r="G27" s="52">
        <f t="shared" si="10"/>
        <v>1331.549479452055</v>
      </c>
      <c r="H27" s="158">
        <f t="shared" si="2"/>
        <v>23732</v>
      </c>
      <c r="I27" s="52">
        <f t="shared" si="3"/>
        <v>3329</v>
      </c>
      <c r="J27" s="158">
        <f t="shared" si="4"/>
        <v>8784.2770352641892</v>
      </c>
      <c r="K27" s="52">
        <f t="shared" si="5"/>
        <v>1232.1588218786694</v>
      </c>
      <c r="L27" s="158">
        <f t="shared" si="16"/>
        <v>708.57348528375769</v>
      </c>
      <c r="M27" s="54">
        <f t="shared" si="12"/>
        <v>99.390657573385624</v>
      </c>
      <c r="N27" s="218">
        <f t="shared" si="6"/>
        <v>15952.134132516643</v>
      </c>
      <c r="O27" s="219">
        <f>N27*INDEX(NPV!$C$3:$C$42,MATCH('Travel Time'!$A27,NPV!$B$3:$B$42,0))</f>
        <v>3365.0529779591648</v>
      </c>
      <c r="P27" s="113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W27" s="49"/>
      <c r="CX27" s="49"/>
      <c r="CY27" s="49"/>
      <c r="CZ27" s="49"/>
    </row>
    <row r="28" spans="1:104">
      <c r="A28" s="53">
        <f t="shared" si="13"/>
        <v>2044</v>
      </c>
      <c r="B28" s="158">
        <f t="shared" si="14"/>
        <v>24102</v>
      </c>
      <c r="C28" s="52">
        <f t="shared" si="15"/>
        <v>3381</v>
      </c>
      <c r="D28" s="158">
        <f t="shared" si="0"/>
        <v>9640.8858082191782</v>
      </c>
      <c r="E28" s="52">
        <f t="shared" si="1"/>
        <v>1352.3141917808221</v>
      </c>
      <c r="F28" s="158">
        <f t="shared" si="9"/>
        <v>9640.8858082191782</v>
      </c>
      <c r="G28" s="52">
        <f t="shared" si="10"/>
        <v>1352.3141917808221</v>
      </c>
      <c r="H28" s="158">
        <f t="shared" si="2"/>
        <v>24102</v>
      </c>
      <c r="I28" s="52">
        <f t="shared" si="3"/>
        <v>3381</v>
      </c>
      <c r="J28" s="158">
        <f t="shared" si="4"/>
        <v>8921.2625461056759</v>
      </c>
      <c r="K28" s="52">
        <f t="shared" si="5"/>
        <v>1251.3735967514679</v>
      </c>
      <c r="L28" s="158">
        <f t="shared" si="16"/>
        <v>719.62326211350228</v>
      </c>
      <c r="M28" s="54">
        <f t="shared" si="12"/>
        <v>100.9405950293542</v>
      </c>
      <c r="N28" s="218">
        <f t="shared" si="6"/>
        <v>16200.898058606643</v>
      </c>
      <c r="O28" s="219">
        <f>N28*INDEX(NPV!$C$3:$C$42,MATCH('Travel Time'!$A28,NPV!$B$3:$B$42,0))</f>
        <v>3193.9522923893169</v>
      </c>
      <c r="P28" s="113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W28" s="49"/>
      <c r="CX28" s="49"/>
      <c r="CY28" s="49"/>
      <c r="CZ28" s="49"/>
    </row>
    <row r="29" spans="1:104">
      <c r="A29" s="53">
        <f t="shared" si="13"/>
        <v>2045</v>
      </c>
      <c r="B29" s="158">
        <f t="shared" si="14"/>
        <v>24478</v>
      </c>
      <c r="C29" s="52">
        <f t="shared" si="15"/>
        <v>3433</v>
      </c>
      <c r="D29" s="158">
        <f t="shared" si="0"/>
        <v>9791.0258630136996</v>
      </c>
      <c r="E29" s="52">
        <f t="shared" si="1"/>
        <v>1373.3741369863017</v>
      </c>
      <c r="F29" s="158">
        <f t="shared" si="9"/>
        <v>9791.0258630136996</v>
      </c>
      <c r="G29" s="52">
        <f t="shared" si="10"/>
        <v>1373.3741369863017</v>
      </c>
      <c r="H29" s="158">
        <f t="shared" si="2"/>
        <v>24478</v>
      </c>
      <c r="I29" s="52">
        <f t="shared" si="3"/>
        <v>3433</v>
      </c>
      <c r="J29" s="158">
        <f t="shared" si="4"/>
        <v>9060.1957182387487</v>
      </c>
      <c r="K29" s="52">
        <f t="shared" si="5"/>
        <v>1270.8615674755383</v>
      </c>
      <c r="L29" s="158">
        <f t="shared" si="16"/>
        <v>730.8301447749509</v>
      </c>
      <c r="M29" s="54">
        <f t="shared" si="12"/>
        <v>102.51256951076334</v>
      </c>
      <c r="N29" s="218">
        <f t="shared" si="6"/>
        <v>16453.198912555774</v>
      </c>
      <c r="O29" s="219">
        <f>N29*INDEX(NPV!$C$3:$C$42,MATCH('Travel Time'!$A29,NPV!$B$3:$B$42,0))</f>
        <v>3031.4883672482079</v>
      </c>
      <c r="P29" s="113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W29" s="49"/>
      <c r="CX29" s="49"/>
      <c r="CY29" s="49"/>
      <c r="CZ29" s="49"/>
    </row>
    <row r="30" spans="1:104">
      <c r="A30" s="53">
        <f t="shared" si="13"/>
        <v>2046</v>
      </c>
      <c r="B30" s="158">
        <f t="shared" si="14"/>
        <v>24859</v>
      </c>
      <c r="C30" s="52">
        <f t="shared" si="15"/>
        <v>3487</v>
      </c>
      <c r="D30" s="158">
        <f t="shared" si="0"/>
        <v>9943.6214794520565</v>
      </c>
      <c r="E30" s="52">
        <f t="shared" si="1"/>
        <v>1394.7785205479454</v>
      </c>
      <c r="F30" s="158">
        <f t="shared" si="9"/>
        <v>9943.6214794520565</v>
      </c>
      <c r="G30" s="52">
        <f t="shared" si="10"/>
        <v>1394.7785205479454</v>
      </c>
      <c r="H30" s="158">
        <f t="shared" si="2"/>
        <v>24859</v>
      </c>
      <c r="I30" s="52">
        <f t="shared" si="3"/>
        <v>3487</v>
      </c>
      <c r="J30" s="158">
        <f t="shared" si="4"/>
        <v>9201.4011618786699</v>
      </c>
      <c r="K30" s="52">
        <f t="shared" si="5"/>
        <v>1290.6682666927593</v>
      </c>
      <c r="L30" s="158">
        <f t="shared" si="16"/>
        <v>742.22031757338664</v>
      </c>
      <c r="M30" s="54">
        <f t="shared" si="12"/>
        <v>104.1102538551861</v>
      </c>
      <c r="N30" s="218">
        <f t="shared" si="6"/>
        <v>16709.626182340537</v>
      </c>
      <c r="O30" s="219">
        <f>N30*INDEX(NPV!$C$3:$C$42,MATCH('Travel Time'!$A30,NPV!$B$3:$B$42,0))</f>
        <v>2877.322318504976</v>
      </c>
      <c r="P30" s="113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W30" s="49"/>
      <c r="CX30" s="49"/>
      <c r="CY30" s="49"/>
      <c r="CZ30" s="49"/>
    </row>
    <row r="31" spans="1:104">
      <c r="A31" s="53">
        <f t="shared" si="13"/>
        <v>2047</v>
      </c>
      <c r="B31" s="158">
        <f t="shared" si="14"/>
        <v>25248</v>
      </c>
      <c r="C31" s="52">
        <f t="shared" si="15"/>
        <v>3541</v>
      </c>
      <c r="D31" s="158">
        <f t="shared" si="0"/>
        <v>10099.023452054795</v>
      </c>
      <c r="E31" s="52">
        <f t="shared" si="1"/>
        <v>1416.5765479452054</v>
      </c>
      <c r="F31" s="158">
        <f t="shared" si="9"/>
        <v>10099.023452054795</v>
      </c>
      <c r="G31" s="52">
        <f t="shared" si="10"/>
        <v>1416.5765479452054</v>
      </c>
      <c r="H31" s="158">
        <f t="shared" si="2"/>
        <v>25248</v>
      </c>
      <c r="I31" s="52">
        <f t="shared" si="3"/>
        <v>3541</v>
      </c>
      <c r="J31" s="158">
        <f t="shared" si="4"/>
        <v>9345.2034872407057</v>
      </c>
      <c r="K31" s="52">
        <f t="shared" si="5"/>
        <v>1310.8392270450099</v>
      </c>
      <c r="L31" s="158">
        <f t="shared" si="16"/>
        <v>753.81996481408896</v>
      </c>
      <c r="M31" s="54">
        <f t="shared" si="12"/>
        <v>105.73732090019553</v>
      </c>
      <c r="N31" s="296">
        <f t="shared" si="6"/>
        <v>16970.769355937355</v>
      </c>
      <c r="O31" s="297">
        <f>N31*INDEX(NPV!$C$3:$C$42,MATCH('Travel Time'!$A31,NPV!$B$3:$B$42,0))</f>
        <v>2731.112145821543</v>
      </c>
      <c r="P31" s="113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W31" s="49"/>
      <c r="CX31" s="49"/>
      <c r="CY31" s="49"/>
      <c r="CZ31" s="49"/>
    </row>
    <row r="32" spans="1:104" ht="14.4" thickBot="1">
      <c r="A32" s="53">
        <f t="shared" si="13"/>
        <v>2048</v>
      </c>
      <c r="B32" s="158">
        <f t="shared" si="14"/>
        <v>25640</v>
      </c>
      <c r="C32" s="52">
        <f t="shared" si="15"/>
        <v>3597</v>
      </c>
      <c r="D32" s="158">
        <f t="shared" si="0"/>
        <v>10256.179397260275</v>
      </c>
      <c r="E32" s="52">
        <f t="shared" si="1"/>
        <v>1438.6206027397261</v>
      </c>
      <c r="F32" s="158">
        <f t="shared" si="9"/>
        <v>10256.179397260275</v>
      </c>
      <c r="G32" s="52">
        <f t="shared" si="10"/>
        <v>1438.6206027397261</v>
      </c>
      <c r="H32" s="158">
        <f t="shared" si="2"/>
        <v>25640</v>
      </c>
      <c r="I32" s="52">
        <f t="shared" si="3"/>
        <v>3597</v>
      </c>
      <c r="J32" s="158">
        <f t="shared" si="4"/>
        <v>9490.6288636790614</v>
      </c>
      <c r="K32" s="52">
        <f t="shared" si="5"/>
        <v>1331.2378506066539</v>
      </c>
      <c r="L32" s="158">
        <f t="shared" si="16"/>
        <v>765.55053358121404</v>
      </c>
      <c r="M32" s="54">
        <f t="shared" si="12"/>
        <v>107.38275213307224</v>
      </c>
      <c r="N32" s="220">
        <f t="shared" si="6"/>
        <v>17234.859969416837</v>
      </c>
      <c r="O32" s="221">
        <f>N32*INDEX(NPV!$C$3:$C$42,MATCH('Travel Time'!$A32,NPV!$B$3:$B$42,0))</f>
        <v>2592.1610703265301</v>
      </c>
      <c r="P32" s="113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W32" s="49"/>
      <c r="CX32" s="49"/>
      <c r="CY32" s="49"/>
      <c r="CZ32" s="49"/>
    </row>
    <row r="33" spans="1:78" ht="14.4" thickTop="1">
      <c r="A33" s="416" t="s">
        <v>16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222">
        <f>SUM(N11:N32)</f>
        <v>323865.87327419186</v>
      </c>
      <c r="O33" s="223">
        <f>SUM(O11:O32)</f>
        <v>104136.66602366992</v>
      </c>
      <c r="P33" s="113"/>
      <c r="Q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</row>
    <row r="34" spans="1:78" ht="29.4" customHeight="1">
      <c r="A34" s="156" t="s">
        <v>26</v>
      </c>
      <c r="B34" s="109"/>
      <c r="C34" s="109"/>
      <c r="D34" s="109"/>
      <c r="E34" s="109"/>
      <c r="F34" s="110"/>
      <c r="G34" s="110"/>
      <c r="H34" s="109"/>
      <c r="I34" s="109"/>
      <c r="J34" s="109"/>
      <c r="K34" s="109"/>
      <c r="L34" s="109"/>
      <c r="M34" s="109"/>
      <c r="N34" s="113"/>
      <c r="O34" s="109"/>
      <c r="P34" s="113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</row>
    <row r="35" spans="1:78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</row>
    <row r="36" spans="1:78" ht="13.2" customHeight="1">
      <c r="A36" s="434" t="s">
        <v>39</v>
      </c>
      <c r="B36" s="417" t="s">
        <v>105</v>
      </c>
      <c r="C36" s="417"/>
      <c r="D36" s="417"/>
      <c r="E36" s="417"/>
      <c r="F36" s="417" t="s">
        <v>54</v>
      </c>
      <c r="G36" s="417"/>
      <c r="H36" s="417"/>
      <c r="I36" s="417"/>
      <c r="J36" s="427" t="s">
        <v>112</v>
      </c>
      <c r="K36" s="427"/>
      <c r="L36" s="438" t="s">
        <v>113</v>
      </c>
      <c r="M36" s="438" t="s">
        <v>114</v>
      </c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</row>
    <row r="37" spans="1:78" ht="26.4" customHeight="1">
      <c r="A37" s="434"/>
      <c r="B37" s="421" t="s">
        <v>109</v>
      </c>
      <c r="C37" s="421"/>
      <c r="D37" s="421" t="s">
        <v>115</v>
      </c>
      <c r="E37" s="421"/>
      <c r="F37" s="421" t="s">
        <v>109</v>
      </c>
      <c r="G37" s="421"/>
      <c r="H37" s="421" t="s">
        <v>115</v>
      </c>
      <c r="I37" s="421"/>
      <c r="J37" s="427"/>
      <c r="K37" s="427"/>
      <c r="L37" s="438"/>
      <c r="M37" s="438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</row>
    <row r="38" spans="1:78" ht="27.6">
      <c r="A38" s="434"/>
      <c r="B38" s="64" t="s">
        <v>94</v>
      </c>
      <c r="C38" s="64" t="s">
        <v>95</v>
      </c>
      <c r="D38" s="64" t="s">
        <v>94</v>
      </c>
      <c r="E38" s="64" t="s">
        <v>95</v>
      </c>
      <c r="F38" s="64" t="s">
        <v>94</v>
      </c>
      <c r="G38" s="153" t="s">
        <v>95</v>
      </c>
      <c r="H38" s="64" t="s">
        <v>94</v>
      </c>
      <c r="I38" s="64" t="s">
        <v>95</v>
      </c>
      <c r="J38" s="64" t="s">
        <v>94</v>
      </c>
      <c r="K38" s="64" t="s">
        <v>95</v>
      </c>
      <c r="L38" s="438"/>
      <c r="M38" s="438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</row>
    <row r="39" spans="1:78">
      <c r="A39" s="53">
        <v>2027</v>
      </c>
      <c r="B39" s="158">
        <f t="shared" ref="B39:C60" si="17">B11</f>
        <v>18527</v>
      </c>
      <c r="C39" s="52">
        <f t="shared" si="17"/>
        <v>2599</v>
      </c>
      <c r="D39" s="158">
        <f t="shared" ref="D39:D60" si="18">Q71</f>
        <v>175214628.66600001</v>
      </c>
      <c r="E39" s="52">
        <f t="shared" ref="E39:E60" si="19">P71</f>
        <v>24577122.234000001</v>
      </c>
      <c r="F39" s="158">
        <f t="shared" ref="F39:F60" si="20">G71</f>
        <v>18527</v>
      </c>
      <c r="G39" s="52">
        <f t="shared" ref="G39:G60" si="21">F71</f>
        <v>2599</v>
      </c>
      <c r="H39" s="158">
        <f>S71</f>
        <v>175214628.66600001</v>
      </c>
      <c r="I39" s="52">
        <f t="shared" ref="I39:I60" si="22">R71</f>
        <v>24577122.234000001</v>
      </c>
      <c r="J39" s="158">
        <f>D39-H39</f>
        <v>0</v>
      </c>
      <c r="K39" s="54">
        <f>E39-I39</f>
        <v>0</v>
      </c>
      <c r="L39" s="218">
        <f t="shared" ref="L39:L60" si="23">(J39*$B$133)+(K39*$B$132)</f>
        <v>0</v>
      </c>
      <c r="M39" s="219">
        <f>L39*INDEX(NPV!$C$3:$C$42,MATCH('Travel Time'!$A39,NPV!$B$3:$B$42,0))</f>
        <v>0</v>
      </c>
      <c r="N39" s="113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</row>
    <row r="40" spans="1:78">
      <c r="A40" s="53">
        <f>A39+1</f>
        <v>2028</v>
      </c>
      <c r="B40" s="158">
        <f t="shared" si="17"/>
        <v>18816</v>
      </c>
      <c r="C40" s="52">
        <f t="shared" si="17"/>
        <v>2639</v>
      </c>
      <c r="D40" s="158">
        <f t="shared" si="18"/>
        <v>177943285.905</v>
      </c>
      <c r="E40" s="52">
        <f t="shared" si="19"/>
        <v>24959867.344999999</v>
      </c>
      <c r="F40" s="158">
        <f t="shared" si="20"/>
        <v>18816</v>
      </c>
      <c r="G40" s="52">
        <f t="shared" si="21"/>
        <v>2639</v>
      </c>
      <c r="H40" s="158">
        <f t="shared" ref="H40:H60" si="24">S72</f>
        <v>177943285.90500003</v>
      </c>
      <c r="I40" s="52">
        <f t="shared" si="22"/>
        <v>24959867.345000003</v>
      </c>
      <c r="J40" s="158">
        <f t="shared" ref="J40:K55" si="25">D40-H40</f>
        <v>0</v>
      </c>
      <c r="K40" s="54">
        <f t="shared" si="25"/>
        <v>0</v>
      </c>
      <c r="L40" s="218">
        <f t="shared" si="23"/>
        <v>0</v>
      </c>
      <c r="M40" s="219">
        <f>L40*INDEX(NPV!$C$3:$C$42,MATCH('Travel Time'!$A40,NPV!$B$3:$B$42,0))</f>
        <v>0</v>
      </c>
      <c r="N40" s="113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</row>
    <row r="41" spans="1:78">
      <c r="A41" s="53">
        <v>2029</v>
      </c>
      <c r="B41" s="158">
        <f t="shared" si="17"/>
        <v>19110</v>
      </c>
      <c r="C41" s="52">
        <f t="shared" si="17"/>
        <v>2680</v>
      </c>
      <c r="D41" s="158">
        <f t="shared" si="18"/>
        <v>180721705.88999999</v>
      </c>
      <c r="E41" s="52">
        <f t="shared" si="19"/>
        <v>25349592.609999999</v>
      </c>
      <c r="F41" s="158">
        <f t="shared" si="20"/>
        <v>19110</v>
      </c>
      <c r="G41" s="52">
        <f t="shared" si="21"/>
        <v>2680</v>
      </c>
      <c r="H41" s="158">
        <f t="shared" si="24"/>
        <v>180721705.88999999</v>
      </c>
      <c r="I41" s="52">
        <f t="shared" si="22"/>
        <v>25349592.609999999</v>
      </c>
      <c r="J41" s="158">
        <f t="shared" si="25"/>
        <v>0</v>
      </c>
      <c r="K41" s="54">
        <f t="shared" si="25"/>
        <v>0</v>
      </c>
      <c r="L41" s="218">
        <f t="shared" si="23"/>
        <v>0</v>
      </c>
      <c r="M41" s="219">
        <f>L41*INDEX(NPV!$C$3:$C$42,MATCH('Travel Time'!$A41,NPV!$B$3:$B$42,0))</f>
        <v>0</v>
      </c>
      <c r="N41" s="113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</row>
    <row r="42" spans="1:78">
      <c r="A42" s="53">
        <f t="shared" ref="A42:A43" si="26">A41+1</f>
        <v>2030</v>
      </c>
      <c r="B42" s="158">
        <f t="shared" si="17"/>
        <v>19408</v>
      </c>
      <c r="C42" s="52">
        <f t="shared" si="17"/>
        <v>2722</v>
      </c>
      <c r="D42" s="158">
        <f t="shared" si="18"/>
        <v>183541594.82999998</v>
      </c>
      <c r="E42" s="52">
        <f t="shared" si="19"/>
        <v>25745134.670000002</v>
      </c>
      <c r="F42" s="158">
        <f t="shared" si="20"/>
        <v>19408</v>
      </c>
      <c r="G42" s="52">
        <f t="shared" si="21"/>
        <v>2722</v>
      </c>
      <c r="H42" s="158">
        <f t="shared" si="24"/>
        <v>183541594.83000001</v>
      </c>
      <c r="I42" s="52">
        <f t="shared" si="22"/>
        <v>25745134.670000006</v>
      </c>
      <c r="J42" s="158">
        <f t="shared" si="25"/>
        <v>0</v>
      </c>
      <c r="K42" s="54">
        <f t="shared" si="25"/>
        <v>0</v>
      </c>
      <c r="L42" s="218">
        <f t="shared" si="23"/>
        <v>0</v>
      </c>
      <c r="M42" s="219">
        <f>L42*INDEX(NPV!$C$3:$C$42,MATCH('Travel Time'!$A42,NPV!$B$3:$B$42,0))</f>
        <v>0</v>
      </c>
      <c r="N42" s="113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</row>
    <row r="43" spans="1:78">
      <c r="A43" s="53">
        <f t="shared" si="26"/>
        <v>2031</v>
      </c>
      <c r="B43" s="158">
        <f t="shared" si="17"/>
        <v>19710</v>
      </c>
      <c r="C43" s="52">
        <f t="shared" si="17"/>
        <v>2765</v>
      </c>
      <c r="D43" s="158">
        <f t="shared" si="18"/>
        <v>186402952.72499999</v>
      </c>
      <c r="E43" s="52">
        <f t="shared" si="19"/>
        <v>26146493.525000002</v>
      </c>
      <c r="F43" s="158">
        <f t="shared" si="20"/>
        <v>19710</v>
      </c>
      <c r="G43" s="52">
        <f t="shared" si="21"/>
        <v>2765</v>
      </c>
      <c r="H43" s="158">
        <f t="shared" si="24"/>
        <v>186402952.72499999</v>
      </c>
      <c r="I43" s="52">
        <f t="shared" si="22"/>
        <v>26146493.525000002</v>
      </c>
      <c r="J43" s="158">
        <f t="shared" si="25"/>
        <v>0</v>
      </c>
      <c r="K43" s="54">
        <f t="shared" si="25"/>
        <v>0</v>
      </c>
      <c r="L43" s="218">
        <f t="shared" si="23"/>
        <v>0</v>
      </c>
      <c r="M43" s="219">
        <f>L43*INDEX(NPV!$C$3:$C$42,MATCH('Travel Time'!$A43,NPV!$B$3:$B$42,0))</f>
        <v>0</v>
      </c>
      <c r="N43" s="113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</row>
    <row r="44" spans="1:78">
      <c r="A44" s="53">
        <f t="shared" ref="A44:A60" si="27">A43+1</f>
        <v>2032</v>
      </c>
      <c r="B44" s="158">
        <f t="shared" si="17"/>
        <v>20017</v>
      </c>
      <c r="C44" s="52">
        <f t="shared" si="17"/>
        <v>2808</v>
      </c>
      <c r="D44" s="158">
        <f t="shared" si="18"/>
        <v>189305779.57499999</v>
      </c>
      <c r="E44" s="52">
        <f t="shared" si="19"/>
        <v>26553669.175000001</v>
      </c>
      <c r="F44" s="158">
        <f t="shared" si="20"/>
        <v>20017</v>
      </c>
      <c r="G44" s="52">
        <f t="shared" si="21"/>
        <v>2808</v>
      </c>
      <c r="H44" s="158">
        <f t="shared" si="24"/>
        <v>189305779.57499999</v>
      </c>
      <c r="I44" s="52">
        <f t="shared" si="22"/>
        <v>26553669.175000001</v>
      </c>
      <c r="J44" s="158">
        <f t="shared" si="25"/>
        <v>0</v>
      </c>
      <c r="K44" s="54">
        <f t="shared" si="25"/>
        <v>0</v>
      </c>
      <c r="L44" s="218">
        <f t="shared" si="23"/>
        <v>0</v>
      </c>
      <c r="M44" s="219">
        <f>L44*INDEX(NPV!$C$3:$C$42,MATCH('Travel Time'!$A44,NPV!$B$3:$B$42,0))</f>
        <v>0</v>
      </c>
      <c r="N44" s="113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</row>
    <row r="45" spans="1:78">
      <c r="A45" s="53">
        <f t="shared" si="27"/>
        <v>2033</v>
      </c>
      <c r="B45" s="158">
        <f t="shared" si="17"/>
        <v>20329</v>
      </c>
      <c r="C45" s="52">
        <f t="shared" si="17"/>
        <v>2852</v>
      </c>
      <c r="D45" s="158">
        <f t="shared" si="18"/>
        <v>192258369.171</v>
      </c>
      <c r="E45" s="52">
        <f t="shared" si="19"/>
        <v>26967824.979000002</v>
      </c>
      <c r="F45" s="158">
        <f t="shared" si="20"/>
        <v>20329</v>
      </c>
      <c r="G45" s="52">
        <f t="shared" si="21"/>
        <v>2852</v>
      </c>
      <c r="H45" s="158">
        <f t="shared" si="24"/>
        <v>192258369.17099997</v>
      </c>
      <c r="I45" s="52">
        <f t="shared" si="22"/>
        <v>26967824.978999998</v>
      </c>
      <c r="J45" s="158">
        <f t="shared" si="25"/>
        <v>0</v>
      </c>
      <c r="K45" s="54">
        <f t="shared" si="25"/>
        <v>0</v>
      </c>
      <c r="L45" s="218">
        <f t="shared" si="23"/>
        <v>0</v>
      </c>
      <c r="M45" s="219">
        <f>L45*INDEX(NPV!$C$3:$C$42,MATCH('Travel Time'!$A45,NPV!$B$3:$B$42,0))</f>
        <v>0</v>
      </c>
      <c r="N45" s="113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</row>
    <row r="46" spans="1:78">
      <c r="A46" s="53">
        <f t="shared" si="27"/>
        <v>2034</v>
      </c>
      <c r="B46" s="158">
        <f t="shared" si="17"/>
        <v>20647</v>
      </c>
      <c r="C46" s="52">
        <f t="shared" si="17"/>
        <v>2896</v>
      </c>
      <c r="D46" s="158">
        <f t="shared" si="18"/>
        <v>195260721.51299998</v>
      </c>
      <c r="E46" s="52">
        <f t="shared" si="19"/>
        <v>27388960.936999999</v>
      </c>
      <c r="F46" s="158">
        <f t="shared" si="20"/>
        <v>20647</v>
      </c>
      <c r="G46" s="52">
        <f t="shared" si="21"/>
        <v>2896</v>
      </c>
      <c r="H46" s="158">
        <f t="shared" si="24"/>
        <v>195260721.51299998</v>
      </c>
      <c r="I46" s="52">
        <f t="shared" si="22"/>
        <v>27388960.936999999</v>
      </c>
      <c r="J46" s="158">
        <f t="shared" si="25"/>
        <v>0</v>
      </c>
      <c r="K46" s="54">
        <f t="shared" si="25"/>
        <v>0</v>
      </c>
      <c r="L46" s="218">
        <f t="shared" si="23"/>
        <v>0</v>
      </c>
      <c r="M46" s="219">
        <f>L46*INDEX(NPV!$C$3:$C$42,MATCH('Travel Time'!$A46,NPV!$B$3:$B$42,0))</f>
        <v>0</v>
      </c>
      <c r="N46" s="113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</row>
    <row r="47" spans="1:78">
      <c r="A47" s="53">
        <f t="shared" si="27"/>
        <v>2035</v>
      </c>
      <c r="B47" s="158">
        <f t="shared" si="17"/>
        <v>20969</v>
      </c>
      <c r="C47" s="52">
        <f t="shared" si="17"/>
        <v>2941</v>
      </c>
      <c r="D47" s="158">
        <f t="shared" si="18"/>
        <v>198304542.81</v>
      </c>
      <c r="E47" s="52">
        <f t="shared" si="19"/>
        <v>27815913.690000001</v>
      </c>
      <c r="F47" s="158">
        <f t="shared" si="20"/>
        <v>20969</v>
      </c>
      <c r="G47" s="52">
        <f t="shared" si="21"/>
        <v>2941</v>
      </c>
      <c r="H47" s="158">
        <f t="shared" si="24"/>
        <v>198304542.81</v>
      </c>
      <c r="I47" s="52">
        <f t="shared" si="22"/>
        <v>27815913.690000001</v>
      </c>
      <c r="J47" s="158">
        <f t="shared" si="25"/>
        <v>0</v>
      </c>
      <c r="K47" s="54">
        <f t="shared" si="25"/>
        <v>0</v>
      </c>
      <c r="L47" s="218">
        <f t="shared" si="23"/>
        <v>0</v>
      </c>
      <c r="M47" s="219">
        <f>L47*INDEX(NPV!$C$3:$C$42,MATCH('Travel Time'!$A47,NPV!$B$3:$B$42,0))</f>
        <v>0</v>
      </c>
      <c r="N47" s="113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</row>
    <row r="48" spans="1:78">
      <c r="A48" s="53">
        <f t="shared" si="27"/>
        <v>2036</v>
      </c>
      <c r="B48" s="158">
        <f t="shared" si="17"/>
        <v>21296</v>
      </c>
      <c r="C48" s="52">
        <f t="shared" si="17"/>
        <v>2987</v>
      </c>
      <c r="D48" s="158">
        <f t="shared" si="18"/>
        <v>201398126.85299999</v>
      </c>
      <c r="E48" s="52">
        <f t="shared" si="19"/>
        <v>28249846.596999999</v>
      </c>
      <c r="F48" s="158">
        <f t="shared" si="20"/>
        <v>21296</v>
      </c>
      <c r="G48" s="52">
        <f t="shared" si="21"/>
        <v>2987</v>
      </c>
      <c r="H48" s="158">
        <f t="shared" si="24"/>
        <v>201398126.85300002</v>
      </c>
      <c r="I48" s="52">
        <f t="shared" si="22"/>
        <v>28249846.597000003</v>
      </c>
      <c r="J48" s="158">
        <f t="shared" si="25"/>
        <v>0</v>
      </c>
      <c r="K48" s="54">
        <f t="shared" si="25"/>
        <v>0</v>
      </c>
      <c r="L48" s="218">
        <f t="shared" si="23"/>
        <v>0</v>
      </c>
      <c r="M48" s="219">
        <f>L48*INDEX(NPV!$C$3:$C$42,MATCH('Travel Time'!$A48,NPV!$B$3:$B$42,0))</f>
        <v>0</v>
      </c>
      <c r="N48" s="113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</row>
    <row r="49" spans="1:104">
      <c r="A49" s="53">
        <f t="shared" si="27"/>
        <v>2037</v>
      </c>
      <c r="B49" s="158">
        <f t="shared" si="17"/>
        <v>21627</v>
      </c>
      <c r="C49" s="52">
        <f t="shared" si="17"/>
        <v>3034</v>
      </c>
      <c r="D49" s="158">
        <f t="shared" si="18"/>
        <v>204533179.85100001</v>
      </c>
      <c r="E49" s="52">
        <f t="shared" si="19"/>
        <v>28689596.299000002</v>
      </c>
      <c r="F49" s="158">
        <f t="shared" si="20"/>
        <v>21627</v>
      </c>
      <c r="G49" s="52">
        <f t="shared" si="21"/>
        <v>3034</v>
      </c>
      <c r="H49" s="158">
        <f t="shared" si="24"/>
        <v>204533179.85100001</v>
      </c>
      <c r="I49" s="52">
        <f t="shared" si="22"/>
        <v>28689596.299000002</v>
      </c>
      <c r="J49" s="158">
        <f t="shared" si="25"/>
        <v>0</v>
      </c>
      <c r="K49" s="54">
        <f t="shared" si="25"/>
        <v>0</v>
      </c>
      <c r="L49" s="218">
        <f t="shared" si="23"/>
        <v>0</v>
      </c>
      <c r="M49" s="219">
        <f>L49*INDEX(NPV!$C$3:$C$42,MATCH('Travel Time'!$A49,NPV!$B$3:$B$42,0))</f>
        <v>0</v>
      </c>
      <c r="N49" s="113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</row>
    <row r="50" spans="1:104">
      <c r="A50" s="53">
        <f t="shared" si="27"/>
        <v>2038</v>
      </c>
      <c r="B50" s="158">
        <f t="shared" si="17"/>
        <v>21965</v>
      </c>
      <c r="C50" s="52">
        <f t="shared" si="17"/>
        <v>3081</v>
      </c>
      <c r="D50" s="158">
        <f t="shared" si="18"/>
        <v>207726289.38600001</v>
      </c>
      <c r="E50" s="52">
        <f t="shared" si="19"/>
        <v>29137489.514000002</v>
      </c>
      <c r="F50" s="158">
        <f t="shared" si="20"/>
        <v>21965</v>
      </c>
      <c r="G50" s="52">
        <f t="shared" si="21"/>
        <v>3081</v>
      </c>
      <c r="H50" s="158">
        <f t="shared" si="24"/>
        <v>207726289.38600001</v>
      </c>
      <c r="I50" s="52">
        <f t="shared" si="22"/>
        <v>29137489.514000002</v>
      </c>
      <c r="J50" s="158">
        <f t="shared" si="25"/>
        <v>0</v>
      </c>
      <c r="K50" s="54">
        <f t="shared" si="25"/>
        <v>0</v>
      </c>
      <c r="L50" s="218">
        <f t="shared" si="23"/>
        <v>0</v>
      </c>
      <c r="M50" s="219">
        <f>L50*INDEX(NPV!$C$3:$C$42,MATCH('Travel Time'!$A50,NPV!$B$3:$B$42,0))</f>
        <v>0</v>
      </c>
      <c r="N50" s="113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</row>
    <row r="51" spans="1:104">
      <c r="A51" s="53">
        <f t="shared" si="27"/>
        <v>2039</v>
      </c>
      <c r="B51" s="158">
        <f t="shared" si="17"/>
        <v>22307</v>
      </c>
      <c r="C51" s="52">
        <f t="shared" si="17"/>
        <v>3129</v>
      </c>
      <c r="D51" s="158">
        <f t="shared" si="18"/>
        <v>210960867.87600002</v>
      </c>
      <c r="E51" s="52">
        <f t="shared" si="19"/>
        <v>29591199.524</v>
      </c>
      <c r="F51" s="158">
        <f t="shared" si="20"/>
        <v>22307</v>
      </c>
      <c r="G51" s="52">
        <f t="shared" si="21"/>
        <v>3129</v>
      </c>
      <c r="H51" s="158">
        <f t="shared" si="24"/>
        <v>210960867.87600002</v>
      </c>
      <c r="I51" s="52">
        <f t="shared" si="22"/>
        <v>29591199.524</v>
      </c>
      <c r="J51" s="158">
        <f t="shared" si="25"/>
        <v>0</v>
      </c>
      <c r="K51" s="54">
        <f t="shared" si="25"/>
        <v>0</v>
      </c>
      <c r="L51" s="218">
        <f t="shared" si="23"/>
        <v>0</v>
      </c>
      <c r="M51" s="219">
        <f>L51*INDEX(NPV!$C$3:$C$42,MATCH('Travel Time'!$A51,NPV!$B$3:$B$42,0))</f>
        <v>0</v>
      </c>
      <c r="N51" s="113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</row>
    <row r="52" spans="1:104">
      <c r="A52" s="53">
        <f t="shared" si="27"/>
        <v>2040</v>
      </c>
      <c r="B52" s="158">
        <f t="shared" si="17"/>
        <v>22655</v>
      </c>
      <c r="C52" s="52">
        <f t="shared" si="17"/>
        <v>3178</v>
      </c>
      <c r="D52" s="158">
        <f t="shared" si="18"/>
        <v>214253502.903</v>
      </c>
      <c r="E52" s="52">
        <f t="shared" si="19"/>
        <v>30053053.046999998</v>
      </c>
      <c r="F52" s="158">
        <f t="shared" si="20"/>
        <v>22655</v>
      </c>
      <c r="G52" s="52">
        <f t="shared" si="21"/>
        <v>3178</v>
      </c>
      <c r="H52" s="158">
        <f t="shared" si="24"/>
        <v>214253502.90300003</v>
      </c>
      <c r="I52" s="52">
        <f t="shared" si="22"/>
        <v>30053053.047000002</v>
      </c>
      <c r="J52" s="158">
        <f t="shared" si="25"/>
        <v>0</v>
      </c>
      <c r="K52" s="54">
        <f t="shared" si="25"/>
        <v>0</v>
      </c>
      <c r="L52" s="218">
        <f t="shared" si="23"/>
        <v>0</v>
      </c>
      <c r="M52" s="219">
        <f>L52*INDEX(NPV!$C$3:$C$42,MATCH('Travel Time'!$A52,NPV!$B$3:$B$42,0))</f>
        <v>0</v>
      </c>
      <c r="N52" s="113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</row>
    <row r="53" spans="1:104">
      <c r="A53" s="53">
        <f t="shared" si="27"/>
        <v>2041</v>
      </c>
      <c r="B53" s="158">
        <f t="shared" si="17"/>
        <v>23009</v>
      </c>
      <c r="C53" s="52">
        <f t="shared" si="17"/>
        <v>3227</v>
      </c>
      <c r="D53" s="158">
        <f t="shared" si="18"/>
        <v>217595900.676</v>
      </c>
      <c r="E53" s="52">
        <f t="shared" si="19"/>
        <v>30521886.724000003</v>
      </c>
      <c r="F53" s="158">
        <f t="shared" si="20"/>
        <v>23009</v>
      </c>
      <c r="G53" s="52">
        <f t="shared" si="21"/>
        <v>3227</v>
      </c>
      <c r="H53" s="158">
        <f t="shared" si="24"/>
        <v>217595900.676</v>
      </c>
      <c r="I53" s="52">
        <f t="shared" si="22"/>
        <v>30521886.724000003</v>
      </c>
      <c r="J53" s="158">
        <f t="shared" si="25"/>
        <v>0</v>
      </c>
      <c r="K53" s="54">
        <f t="shared" si="25"/>
        <v>0</v>
      </c>
      <c r="L53" s="218">
        <f t="shared" si="23"/>
        <v>0</v>
      </c>
      <c r="M53" s="219">
        <f>L53*INDEX(NPV!$C$3:$C$42,MATCH('Travel Time'!$A53,NPV!$B$3:$B$42,0))</f>
        <v>0</v>
      </c>
      <c r="N53" s="113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</row>
    <row r="54" spans="1:104">
      <c r="A54" s="53">
        <f t="shared" si="27"/>
        <v>2042</v>
      </c>
      <c r="B54" s="158">
        <f t="shared" si="17"/>
        <v>23367</v>
      </c>
      <c r="C54" s="52">
        <f t="shared" si="17"/>
        <v>3278</v>
      </c>
      <c r="D54" s="158">
        <f t="shared" si="18"/>
        <v>220988061.19499999</v>
      </c>
      <c r="E54" s="52">
        <f t="shared" si="19"/>
        <v>30997700.555</v>
      </c>
      <c r="F54" s="158">
        <f t="shared" si="20"/>
        <v>23367</v>
      </c>
      <c r="G54" s="52">
        <f t="shared" si="21"/>
        <v>3278</v>
      </c>
      <c r="H54" s="158">
        <f t="shared" si="24"/>
        <v>220988061.19499996</v>
      </c>
      <c r="I54" s="52">
        <f t="shared" si="22"/>
        <v>30997700.554999996</v>
      </c>
      <c r="J54" s="158">
        <f t="shared" si="25"/>
        <v>0</v>
      </c>
      <c r="K54" s="54">
        <f t="shared" si="25"/>
        <v>0</v>
      </c>
      <c r="L54" s="218">
        <f t="shared" si="23"/>
        <v>0</v>
      </c>
      <c r="M54" s="219">
        <f>L54*INDEX(NPV!$C$3:$C$42,MATCH('Travel Time'!$A54,NPV!$B$3:$B$42,0))</f>
        <v>0</v>
      </c>
      <c r="N54" s="113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</row>
    <row r="55" spans="1:104">
      <c r="A55" s="53">
        <f t="shared" si="27"/>
        <v>2043</v>
      </c>
      <c r="B55" s="158">
        <f t="shared" si="17"/>
        <v>23732</v>
      </c>
      <c r="C55" s="52">
        <f t="shared" si="17"/>
        <v>3329</v>
      </c>
      <c r="D55" s="158">
        <f t="shared" si="18"/>
        <v>224438278.25100002</v>
      </c>
      <c r="E55" s="52">
        <f t="shared" si="19"/>
        <v>31481657.899</v>
      </c>
      <c r="F55" s="158">
        <f t="shared" si="20"/>
        <v>23732</v>
      </c>
      <c r="G55" s="52">
        <f t="shared" si="21"/>
        <v>3329</v>
      </c>
      <c r="H55" s="158">
        <f t="shared" si="24"/>
        <v>224438278.25100002</v>
      </c>
      <c r="I55" s="52">
        <f t="shared" si="22"/>
        <v>31481657.899</v>
      </c>
      <c r="J55" s="158">
        <f t="shared" si="25"/>
        <v>0</v>
      </c>
      <c r="K55" s="54">
        <f t="shared" si="25"/>
        <v>0</v>
      </c>
      <c r="L55" s="218">
        <f t="shared" si="23"/>
        <v>0</v>
      </c>
      <c r="M55" s="219">
        <f>L55*INDEX(NPV!$C$3:$C$42,MATCH('Travel Time'!$A55,NPV!$B$3:$B$42,0))</f>
        <v>0</v>
      </c>
      <c r="N55" s="113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</row>
    <row r="56" spans="1:104">
      <c r="A56" s="53">
        <f t="shared" si="27"/>
        <v>2044</v>
      </c>
      <c r="B56" s="158">
        <f t="shared" si="17"/>
        <v>24102</v>
      </c>
      <c r="C56" s="52">
        <f t="shared" si="17"/>
        <v>3381</v>
      </c>
      <c r="D56" s="158">
        <f t="shared" si="18"/>
        <v>227938258.05299997</v>
      </c>
      <c r="E56" s="52">
        <f t="shared" si="19"/>
        <v>31972595.397</v>
      </c>
      <c r="F56" s="158">
        <f t="shared" si="20"/>
        <v>24102</v>
      </c>
      <c r="G56" s="52">
        <f t="shared" si="21"/>
        <v>3381</v>
      </c>
      <c r="H56" s="158">
        <f t="shared" si="24"/>
        <v>227938258.053</v>
      </c>
      <c r="I56" s="52">
        <f t="shared" si="22"/>
        <v>31972595.397000004</v>
      </c>
      <c r="J56" s="158">
        <f t="shared" ref="J56:K60" si="28">D56-H56</f>
        <v>0</v>
      </c>
      <c r="K56" s="54">
        <f t="shared" si="28"/>
        <v>0</v>
      </c>
      <c r="L56" s="218">
        <f t="shared" si="23"/>
        <v>0</v>
      </c>
      <c r="M56" s="219">
        <f>L56*INDEX(NPV!$C$3:$C$42,MATCH('Travel Time'!$A56,NPV!$B$3:$B$42,0))</f>
        <v>0</v>
      </c>
      <c r="N56" s="113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</row>
    <row r="57" spans="1:104">
      <c r="A57" s="53">
        <f t="shared" si="27"/>
        <v>2045</v>
      </c>
      <c r="B57" s="158">
        <f t="shared" si="17"/>
        <v>24478</v>
      </c>
      <c r="C57" s="52">
        <f t="shared" si="17"/>
        <v>3433</v>
      </c>
      <c r="D57" s="158">
        <f t="shared" si="18"/>
        <v>231488000.60100001</v>
      </c>
      <c r="E57" s="52">
        <f t="shared" si="19"/>
        <v>32470513.049000002</v>
      </c>
      <c r="F57" s="158">
        <f t="shared" si="20"/>
        <v>24478</v>
      </c>
      <c r="G57" s="52">
        <f t="shared" si="21"/>
        <v>3433</v>
      </c>
      <c r="H57" s="158">
        <f t="shared" si="24"/>
        <v>231488000.60100001</v>
      </c>
      <c r="I57" s="52">
        <f t="shared" si="22"/>
        <v>32470513.049000002</v>
      </c>
      <c r="J57" s="158">
        <f t="shared" si="28"/>
        <v>0</v>
      </c>
      <c r="K57" s="54">
        <f t="shared" si="28"/>
        <v>0</v>
      </c>
      <c r="L57" s="218">
        <f t="shared" si="23"/>
        <v>0</v>
      </c>
      <c r="M57" s="219">
        <f>L57*INDEX(NPV!$C$3:$C$42,MATCH('Travel Time'!$A57,NPV!$B$3:$B$42,0))</f>
        <v>0</v>
      </c>
      <c r="N57" s="113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</row>
    <row r="58" spans="1:104">
      <c r="A58" s="53">
        <f t="shared" si="27"/>
        <v>2046</v>
      </c>
      <c r="B58" s="158">
        <f t="shared" si="17"/>
        <v>24859</v>
      </c>
      <c r="C58" s="52">
        <f t="shared" si="17"/>
        <v>3487</v>
      </c>
      <c r="D58" s="158">
        <f t="shared" si="18"/>
        <v>235095799.68599999</v>
      </c>
      <c r="E58" s="52">
        <f t="shared" si="19"/>
        <v>32976574.214000002</v>
      </c>
      <c r="F58" s="158">
        <f t="shared" si="20"/>
        <v>24859</v>
      </c>
      <c r="G58" s="52">
        <f t="shared" si="21"/>
        <v>3487</v>
      </c>
      <c r="H58" s="158">
        <f t="shared" si="24"/>
        <v>235095799.68599999</v>
      </c>
      <c r="I58" s="52">
        <f t="shared" si="22"/>
        <v>32976574.214000002</v>
      </c>
      <c r="J58" s="158">
        <f t="shared" si="28"/>
        <v>0</v>
      </c>
      <c r="K58" s="54">
        <f t="shared" si="28"/>
        <v>0</v>
      </c>
      <c r="L58" s="218">
        <f t="shared" si="23"/>
        <v>0</v>
      </c>
      <c r="M58" s="219">
        <f>L58*INDEX(NPV!$C$3:$C$42,MATCH('Travel Time'!$A58,NPV!$B$3:$B$42,0))</f>
        <v>0</v>
      </c>
      <c r="N58" s="113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</row>
    <row r="59" spans="1:104">
      <c r="A59" s="292">
        <f t="shared" si="27"/>
        <v>2047</v>
      </c>
      <c r="B59" s="293">
        <f t="shared" si="17"/>
        <v>25248</v>
      </c>
      <c r="C59" s="294">
        <f t="shared" si="17"/>
        <v>3541</v>
      </c>
      <c r="D59" s="293">
        <f t="shared" si="18"/>
        <v>238769949.09900004</v>
      </c>
      <c r="E59" s="294">
        <f t="shared" si="19"/>
        <v>33491942.251000002</v>
      </c>
      <c r="F59" s="293">
        <f t="shared" si="20"/>
        <v>25248</v>
      </c>
      <c r="G59" s="294">
        <f t="shared" si="21"/>
        <v>3541</v>
      </c>
      <c r="H59" s="293">
        <f t="shared" si="24"/>
        <v>238769949.09900004</v>
      </c>
      <c r="I59" s="294">
        <f t="shared" si="22"/>
        <v>33491942.251000002</v>
      </c>
      <c r="J59" s="293">
        <f t="shared" si="28"/>
        <v>0</v>
      </c>
      <c r="K59" s="295">
        <f t="shared" si="28"/>
        <v>0</v>
      </c>
      <c r="L59" s="296">
        <f t="shared" si="23"/>
        <v>0</v>
      </c>
      <c r="M59" s="297">
        <f>L59*INDEX(NPV!$C$3:$C$42,MATCH('Travel Time'!$A59,NPV!$B$3:$B$42,0))</f>
        <v>0</v>
      </c>
      <c r="N59" s="113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</row>
    <row r="60" spans="1:104" ht="14.4" thickBot="1">
      <c r="A60" s="55">
        <f t="shared" si="27"/>
        <v>2048</v>
      </c>
      <c r="B60" s="159">
        <f t="shared" si="17"/>
        <v>25640</v>
      </c>
      <c r="C60" s="56">
        <f t="shared" si="17"/>
        <v>3597</v>
      </c>
      <c r="D60" s="159">
        <f t="shared" si="18"/>
        <v>242485567.46700001</v>
      </c>
      <c r="E60" s="56">
        <f t="shared" si="19"/>
        <v>34013127.083000004</v>
      </c>
      <c r="F60" s="159">
        <f t="shared" si="20"/>
        <v>25640</v>
      </c>
      <c r="G60" s="56">
        <f t="shared" si="21"/>
        <v>3597</v>
      </c>
      <c r="H60" s="159">
        <f t="shared" si="24"/>
        <v>242485567.46700001</v>
      </c>
      <c r="I60" s="56">
        <f t="shared" si="22"/>
        <v>34013127.083000004</v>
      </c>
      <c r="J60" s="159">
        <f t="shared" si="28"/>
        <v>0</v>
      </c>
      <c r="K60" s="298">
        <f>E60-I60</f>
        <v>0</v>
      </c>
      <c r="L60" s="220">
        <f t="shared" si="23"/>
        <v>0</v>
      </c>
      <c r="M60" s="221">
        <f>L60*INDEX(NPV!$C$3:$C$42,MATCH('Travel Time'!$A60,NPV!$B$3:$B$42,0))</f>
        <v>0</v>
      </c>
      <c r="N60" s="113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</row>
    <row r="61" spans="1:104" ht="14.4" thickTop="1">
      <c r="A61" s="436" t="s">
        <v>16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222">
        <f>SUM(L39:L60)</f>
        <v>0</v>
      </c>
      <c r="M61" s="223">
        <f>SUM(M39:M60)</f>
        <v>0</v>
      </c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</row>
    <row r="62" spans="1:104">
      <c r="A62" s="109"/>
      <c r="B62" s="109"/>
      <c r="C62" s="109"/>
      <c r="D62" s="109"/>
      <c r="E62" s="109"/>
      <c r="F62" s="109"/>
      <c r="G62" s="109"/>
      <c r="H62" s="109"/>
      <c r="I62" s="162"/>
      <c r="J62" s="163"/>
      <c r="K62" s="163"/>
      <c r="L62" s="161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</row>
    <row r="63" spans="1:104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</row>
    <row r="64" spans="1:104">
      <c r="A64" s="433" t="s">
        <v>39</v>
      </c>
      <c r="B64" s="418" t="s">
        <v>118</v>
      </c>
      <c r="C64" s="418"/>
      <c r="D64" s="418"/>
      <c r="E64" s="418" t="s">
        <v>119</v>
      </c>
      <c r="F64" s="419"/>
      <c r="G64" s="420"/>
      <c r="H64" s="418" t="s">
        <v>120</v>
      </c>
      <c r="I64" s="420"/>
      <c r="J64" s="418" t="s">
        <v>53</v>
      </c>
      <c r="K64" s="420"/>
      <c r="L64" s="418" t="s">
        <v>54</v>
      </c>
      <c r="M64" s="420"/>
      <c r="N64" s="418" t="s">
        <v>121</v>
      </c>
      <c r="O64" s="420"/>
      <c r="P64" s="418" t="s">
        <v>53</v>
      </c>
      <c r="Q64" s="420"/>
      <c r="R64" s="418" t="s">
        <v>54</v>
      </c>
      <c r="S64" s="420"/>
      <c r="T64" s="165"/>
      <c r="U64" s="121"/>
      <c r="V64" s="121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Y64" s="49"/>
      <c r="CZ64" s="49"/>
    </row>
    <row r="65" spans="1:104" ht="27.6">
      <c r="A65" s="433"/>
      <c r="B65" s="153" t="s">
        <v>55</v>
      </c>
      <c r="C65" s="153" t="s">
        <v>117</v>
      </c>
      <c r="D65" s="64" t="s">
        <v>94</v>
      </c>
      <c r="E65" s="64" t="s">
        <v>55</v>
      </c>
      <c r="F65" s="153" t="s">
        <v>117</v>
      </c>
      <c r="G65" s="64" t="s">
        <v>94</v>
      </c>
      <c r="H65" s="153" t="s">
        <v>53</v>
      </c>
      <c r="I65" s="153" t="s">
        <v>54</v>
      </c>
      <c r="J65" s="153" t="s">
        <v>122</v>
      </c>
      <c r="K65" s="64" t="s">
        <v>123</v>
      </c>
      <c r="L65" s="153" t="s">
        <v>122</v>
      </c>
      <c r="M65" s="64" t="s">
        <v>123</v>
      </c>
      <c r="N65" s="153" t="s">
        <v>53</v>
      </c>
      <c r="O65" s="64" t="s">
        <v>54</v>
      </c>
      <c r="P65" s="153" t="s">
        <v>124</v>
      </c>
      <c r="Q65" s="64" t="s">
        <v>125</v>
      </c>
      <c r="R65" s="64" t="s">
        <v>124</v>
      </c>
      <c r="S65" s="64" t="s">
        <v>125</v>
      </c>
      <c r="T65" s="165"/>
      <c r="U65" s="121"/>
      <c r="V65" s="121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Y65" s="49"/>
      <c r="CZ65" s="49"/>
    </row>
    <row r="66" spans="1:104">
      <c r="A66" s="51">
        <v>2022</v>
      </c>
      <c r="B66" s="193">
        <f>F98</f>
        <v>19552.862419205907</v>
      </c>
      <c r="C66" s="52">
        <f t="shared" ref="C66:C92" si="29">ROUND(B66*$B$116,0)</f>
        <v>2405</v>
      </c>
      <c r="D66" s="158">
        <f t="shared" ref="D66:D92" si="30">B66-C66</f>
        <v>17147.862419205907</v>
      </c>
      <c r="E66" s="52"/>
      <c r="F66" s="158"/>
      <c r="G66" s="52"/>
      <c r="H66" s="158"/>
      <c r="I66" s="52"/>
      <c r="J66" s="158"/>
      <c r="K66" s="52"/>
      <c r="L66" s="158"/>
      <c r="M66" s="52"/>
      <c r="N66" s="158"/>
      <c r="O66" s="52"/>
      <c r="P66" s="158"/>
      <c r="Q66" s="52"/>
      <c r="R66" s="158"/>
      <c r="S66" s="52"/>
      <c r="T66" s="166"/>
      <c r="U66" s="111"/>
      <c r="V66" s="111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Y66" s="49"/>
      <c r="CZ66" s="49"/>
    </row>
    <row r="67" spans="1:104">
      <c r="A67" s="53">
        <f>A66+1</f>
        <v>2023</v>
      </c>
      <c r="B67" s="164">
        <f t="shared" ref="B67:B72" si="31">ROUND($B$66*(1+$B$115)^(A67-$A$66),0)</f>
        <v>19858</v>
      </c>
      <c r="C67" s="63">
        <f t="shared" si="29"/>
        <v>2443</v>
      </c>
      <c r="D67" s="164">
        <f t="shared" si="30"/>
        <v>17415</v>
      </c>
      <c r="E67" s="63"/>
      <c r="F67" s="164"/>
      <c r="G67" s="63"/>
      <c r="H67" s="164"/>
      <c r="I67" s="63"/>
      <c r="J67" s="164"/>
      <c r="K67" s="63"/>
      <c r="L67" s="164"/>
      <c r="M67" s="63"/>
      <c r="N67" s="164"/>
      <c r="O67" s="63"/>
      <c r="P67" s="164"/>
      <c r="Q67" s="63"/>
      <c r="R67" s="164"/>
      <c r="S67" s="63"/>
      <c r="T67" s="167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Y67" s="49"/>
      <c r="CZ67" s="49"/>
    </row>
    <row r="68" spans="1:104">
      <c r="A68" s="53">
        <f t="shared" ref="A68:A92" si="32">A67+1</f>
        <v>2024</v>
      </c>
      <c r="B68" s="164">
        <f t="shared" si="31"/>
        <v>20167</v>
      </c>
      <c r="C68" s="63">
        <f t="shared" si="29"/>
        <v>2481</v>
      </c>
      <c r="D68" s="164">
        <f t="shared" si="30"/>
        <v>17686</v>
      </c>
      <c r="E68" s="63"/>
      <c r="F68" s="164"/>
      <c r="G68" s="63"/>
      <c r="H68" s="164"/>
      <c r="I68" s="63"/>
      <c r="J68" s="164"/>
      <c r="K68" s="63"/>
      <c r="L68" s="164"/>
      <c r="M68" s="63"/>
      <c r="N68" s="164"/>
      <c r="O68" s="63"/>
      <c r="P68" s="164"/>
      <c r="Q68" s="63"/>
      <c r="R68" s="164"/>
      <c r="S68" s="63"/>
      <c r="T68" s="168"/>
      <c r="U68" s="111"/>
      <c r="V68" s="111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Y68" s="49"/>
      <c r="CZ68" s="49"/>
    </row>
    <row r="69" spans="1:104">
      <c r="A69" s="53">
        <f t="shared" si="32"/>
        <v>2025</v>
      </c>
      <c r="B69" s="164">
        <f t="shared" si="31"/>
        <v>20482</v>
      </c>
      <c r="C69" s="63">
        <f t="shared" si="29"/>
        <v>2520</v>
      </c>
      <c r="D69" s="164">
        <f t="shared" si="30"/>
        <v>17962</v>
      </c>
      <c r="E69" s="63"/>
      <c r="F69" s="164"/>
      <c r="G69" s="63"/>
      <c r="H69" s="164"/>
      <c r="I69" s="63"/>
      <c r="J69" s="164"/>
      <c r="K69" s="63"/>
      <c r="L69" s="164"/>
      <c r="M69" s="63"/>
      <c r="N69" s="164"/>
      <c r="O69" s="63"/>
      <c r="P69" s="164"/>
      <c r="Q69" s="63"/>
      <c r="R69" s="164"/>
      <c r="S69" s="63"/>
      <c r="T69" s="160"/>
      <c r="U69" s="160"/>
      <c r="V69" s="160"/>
      <c r="W69" s="160"/>
      <c r="X69" s="160"/>
      <c r="Y69" s="160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Y69" s="49"/>
      <c r="CZ69" s="49"/>
    </row>
    <row r="70" spans="1:104">
      <c r="A70" s="53">
        <f t="shared" si="32"/>
        <v>2026</v>
      </c>
      <c r="B70" s="164">
        <f t="shared" si="31"/>
        <v>20801</v>
      </c>
      <c r="C70" s="63">
        <f t="shared" si="29"/>
        <v>2559</v>
      </c>
      <c r="D70" s="164">
        <f t="shared" si="30"/>
        <v>18242</v>
      </c>
      <c r="E70" s="63"/>
      <c r="F70" s="164"/>
      <c r="G70" s="63"/>
      <c r="H70" s="164"/>
      <c r="I70" s="63"/>
      <c r="J70" s="164"/>
      <c r="K70" s="63"/>
      <c r="L70" s="164"/>
      <c r="M70" s="63"/>
      <c r="N70" s="164"/>
      <c r="O70" s="63"/>
      <c r="P70" s="164"/>
      <c r="Q70" s="63"/>
      <c r="R70" s="164"/>
      <c r="S70" s="63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Y70" s="49"/>
      <c r="CZ70" s="49"/>
    </row>
    <row r="71" spans="1:104">
      <c r="A71" s="53">
        <f t="shared" si="32"/>
        <v>2027</v>
      </c>
      <c r="B71" s="164">
        <f t="shared" si="31"/>
        <v>21126</v>
      </c>
      <c r="C71" s="63">
        <f t="shared" si="29"/>
        <v>2599</v>
      </c>
      <c r="D71" s="164">
        <f t="shared" si="30"/>
        <v>18527</v>
      </c>
      <c r="E71" s="63">
        <f t="shared" ref="E71:E92" si="33">ROUND($B$66*(1+$B$115)^(A71-$A$66),0)</f>
        <v>21126</v>
      </c>
      <c r="F71" s="164">
        <f t="shared" ref="F71:F92" si="34">ROUND((E71*$B$117),0)</f>
        <v>2599</v>
      </c>
      <c r="G71" s="63">
        <f t="shared" ref="G71:G92" si="35">(E71)-F71</f>
        <v>18527</v>
      </c>
      <c r="H71" s="164">
        <f t="shared" ref="H71:H92" si="36">B71*$B$125</f>
        <v>8450.4</v>
      </c>
      <c r="I71" s="63">
        <f t="shared" ref="I71:I92" si="37">(E71*$C$125)</f>
        <v>7819.6380000000008</v>
      </c>
      <c r="J71" s="164">
        <f t="shared" ref="J71:J92" si="38">$H71*$B$116</f>
        <v>1039.5149589041096</v>
      </c>
      <c r="K71" s="63">
        <f t="shared" ref="K71:K92" si="39">$H71-J71</f>
        <v>7410.8850410958903</v>
      </c>
      <c r="L71" s="164">
        <f t="shared" ref="L71:L92" si="40">$I71*$B$117</f>
        <v>961.92259232876722</v>
      </c>
      <c r="M71" s="63">
        <f t="shared" ref="M71:M92" si="41">$I71-L71</f>
        <v>6857.7154076712341</v>
      </c>
      <c r="N71" s="164">
        <f t="shared" ref="N71:N92" si="42">B71*365*$B$123</f>
        <v>199791750.90000001</v>
      </c>
      <c r="O71" s="63">
        <f>365*((E71*$C$123))</f>
        <v>199791750.90000001</v>
      </c>
      <c r="P71" s="164">
        <f t="shared" ref="P71:P92" si="43">$N71*$B$116</f>
        <v>24577122.234000001</v>
      </c>
      <c r="Q71" s="63">
        <f t="shared" ref="Q71:Q92" si="44">$N71-P71</f>
        <v>175214628.66600001</v>
      </c>
      <c r="R71" s="164">
        <f t="shared" ref="R71:R92" si="45">($O71)*$B$117</f>
        <v>24577122.234000001</v>
      </c>
      <c r="S71" s="63">
        <f>($O71)-R71</f>
        <v>175214628.66600001</v>
      </c>
      <c r="T71" s="109"/>
      <c r="U71" s="112"/>
      <c r="V71" s="112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Y71" s="49"/>
      <c r="CZ71" s="49"/>
    </row>
    <row r="72" spans="1:104">
      <c r="A72" s="53">
        <f t="shared" si="32"/>
        <v>2028</v>
      </c>
      <c r="B72" s="164">
        <f t="shared" si="31"/>
        <v>21455</v>
      </c>
      <c r="C72" s="63">
        <f t="shared" si="29"/>
        <v>2639</v>
      </c>
      <c r="D72" s="164">
        <f t="shared" si="30"/>
        <v>18816</v>
      </c>
      <c r="E72" s="63">
        <f t="shared" si="33"/>
        <v>21455</v>
      </c>
      <c r="F72" s="164">
        <f t="shared" si="34"/>
        <v>2639</v>
      </c>
      <c r="G72" s="63">
        <f t="shared" si="35"/>
        <v>18816</v>
      </c>
      <c r="H72" s="164">
        <f t="shared" si="36"/>
        <v>8582</v>
      </c>
      <c r="I72" s="63">
        <f t="shared" si="37"/>
        <v>7941.415</v>
      </c>
      <c r="J72" s="164">
        <f t="shared" si="38"/>
        <v>1055.7035616438357</v>
      </c>
      <c r="K72" s="63">
        <f t="shared" si="39"/>
        <v>7526.2964383561648</v>
      </c>
      <c r="L72" s="164">
        <f t="shared" si="40"/>
        <v>976.90283150684934</v>
      </c>
      <c r="M72" s="63">
        <f t="shared" si="41"/>
        <v>6964.512168493151</v>
      </c>
      <c r="N72" s="164">
        <f t="shared" si="42"/>
        <v>202903153.25</v>
      </c>
      <c r="O72" s="63">
        <f t="shared" ref="O72:O92" si="46">365*((E72*$C$123))</f>
        <v>202903153.25000003</v>
      </c>
      <c r="P72" s="164">
        <f t="shared" si="43"/>
        <v>24959867.344999999</v>
      </c>
      <c r="Q72" s="63">
        <f t="shared" si="44"/>
        <v>177943285.905</v>
      </c>
      <c r="R72" s="164">
        <f t="shared" si="45"/>
        <v>24959867.345000003</v>
      </c>
      <c r="S72" s="63">
        <f t="shared" ref="S72:S92" si="47">($O72)-R72</f>
        <v>177943285.90500003</v>
      </c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Y72" s="49"/>
      <c r="CZ72" s="49"/>
    </row>
    <row r="73" spans="1:104">
      <c r="A73" s="53">
        <f t="shared" si="32"/>
        <v>2029</v>
      </c>
      <c r="B73" s="164">
        <f>ROUND($F$98*(1+$B$115)^(A73-$A$66),0)</f>
        <v>21790</v>
      </c>
      <c r="C73" s="63">
        <f t="shared" si="29"/>
        <v>2680</v>
      </c>
      <c r="D73" s="164">
        <f>B73-C73</f>
        <v>19110</v>
      </c>
      <c r="E73" s="63">
        <f t="shared" si="33"/>
        <v>21790</v>
      </c>
      <c r="F73" s="164">
        <f t="shared" si="34"/>
        <v>2680</v>
      </c>
      <c r="G73" s="63">
        <f t="shared" si="35"/>
        <v>19110</v>
      </c>
      <c r="H73" s="164">
        <f t="shared" si="36"/>
        <v>8716</v>
      </c>
      <c r="I73" s="63">
        <f t="shared" si="37"/>
        <v>8065.4128571428573</v>
      </c>
      <c r="J73" s="164">
        <f t="shared" si="38"/>
        <v>1072.1873972602739</v>
      </c>
      <c r="K73" s="63">
        <f t="shared" si="39"/>
        <v>7643.8126027397266</v>
      </c>
      <c r="L73" s="164">
        <f t="shared" si="40"/>
        <v>992.15626653620359</v>
      </c>
      <c r="M73" s="63">
        <f t="shared" si="41"/>
        <v>7073.2565906066538</v>
      </c>
      <c r="N73" s="164">
        <f t="shared" si="42"/>
        <v>206071298.5</v>
      </c>
      <c r="O73" s="63">
        <f t="shared" si="46"/>
        <v>206071298.5</v>
      </c>
      <c r="P73" s="164">
        <f t="shared" si="43"/>
        <v>25349592.609999999</v>
      </c>
      <c r="Q73" s="63">
        <f t="shared" si="44"/>
        <v>180721705.88999999</v>
      </c>
      <c r="R73" s="164">
        <f t="shared" si="45"/>
        <v>25349592.609999999</v>
      </c>
      <c r="S73" s="63">
        <f t="shared" si="47"/>
        <v>180721705.88999999</v>
      </c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Y73" s="49"/>
      <c r="CZ73" s="49"/>
    </row>
    <row r="74" spans="1:104">
      <c r="A74" s="53">
        <f t="shared" si="32"/>
        <v>2030</v>
      </c>
      <c r="B74" s="164">
        <f t="shared" ref="B74:B92" si="48">ROUND($F$98*(1+$B$115)^(A74-2022),0)</f>
        <v>22130</v>
      </c>
      <c r="C74" s="63">
        <f t="shared" si="29"/>
        <v>2722</v>
      </c>
      <c r="D74" s="164">
        <f>B74-C74</f>
        <v>19408</v>
      </c>
      <c r="E74" s="63">
        <f t="shared" si="33"/>
        <v>22130</v>
      </c>
      <c r="F74" s="164">
        <f t="shared" si="34"/>
        <v>2722</v>
      </c>
      <c r="G74" s="63">
        <f t="shared" si="35"/>
        <v>19408</v>
      </c>
      <c r="H74" s="164">
        <f t="shared" si="36"/>
        <v>8852</v>
      </c>
      <c r="I74" s="63">
        <f t="shared" si="37"/>
        <v>8191.261428571429</v>
      </c>
      <c r="J74" s="164">
        <f t="shared" si="38"/>
        <v>1088.9172602739727</v>
      </c>
      <c r="K74" s="63">
        <f t="shared" si="39"/>
        <v>7763.0827397260273</v>
      </c>
      <c r="L74" s="164">
        <f t="shared" si="40"/>
        <v>1007.6373647749512</v>
      </c>
      <c r="M74" s="63">
        <f t="shared" si="41"/>
        <v>7183.6240637964775</v>
      </c>
      <c r="N74" s="164">
        <f t="shared" si="42"/>
        <v>209286729.5</v>
      </c>
      <c r="O74" s="63">
        <f t="shared" si="46"/>
        <v>209286729.50000003</v>
      </c>
      <c r="P74" s="164">
        <f t="shared" si="43"/>
        <v>25745134.670000002</v>
      </c>
      <c r="Q74" s="63">
        <f t="shared" si="44"/>
        <v>183541594.82999998</v>
      </c>
      <c r="R74" s="164">
        <f t="shared" si="45"/>
        <v>25745134.670000006</v>
      </c>
      <c r="S74" s="63">
        <f t="shared" si="47"/>
        <v>183541594.83000001</v>
      </c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Y74" s="49"/>
      <c r="CZ74" s="49"/>
    </row>
    <row r="75" spans="1:104">
      <c r="A75" s="53">
        <f t="shared" si="32"/>
        <v>2031</v>
      </c>
      <c r="B75" s="164">
        <f t="shared" si="48"/>
        <v>22475</v>
      </c>
      <c r="C75" s="63">
        <f t="shared" si="29"/>
        <v>2765</v>
      </c>
      <c r="D75" s="164">
        <f>B75-C75</f>
        <v>19710</v>
      </c>
      <c r="E75" s="63">
        <f t="shared" si="33"/>
        <v>22475</v>
      </c>
      <c r="F75" s="164">
        <f t="shared" si="34"/>
        <v>2765</v>
      </c>
      <c r="G75" s="63">
        <f t="shared" si="35"/>
        <v>19710</v>
      </c>
      <c r="H75" s="164">
        <f t="shared" si="36"/>
        <v>8990</v>
      </c>
      <c r="I75" s="63">
        <f t="shared" si="37"/>
        <v>8318.9607142857149</v>
      </c>
      <c r="J75" s="164">
        <f t="shared" si="38"/>
        <v>1105.8931506849315</v>
      </c>
      <c r="K75" s="63">
        <f t="shared" si="39"/>
        <v>7884.1068493150688</v>
      </c>
      <c r="L75" s="164">
        <f t="shared" si="40"/>
        <v>1023.346126223092</v>
      </c>
      <c r="M75" s="63">
        <f t="shared" si="41"/>
        <v>7295.6145880626227</v>
      </c>
      <c r="N75" s="164">
        <f t="shared" si="42"/>
        <v>212549446.25</v>
      </c>
      <c r="O75" s="63">
        <f t="shared" si="46"/>
        <v>212549446.25</v>
      </c>
      <c r="P75" s="164">
        <f t="shared" si="43"/>
        <v>26146493.525000002</v>
      </c>
      <c r="Q75" s="63">
        <f t="shared" si="44"/>
        <v>186402952.72499999</v>
      </c>
      <c r="R75" s="164">
        <f t="shared" si="45"/>
        <v>26146493.525000002</v>
      </c>
      <c r="S75" s="63">
        <f t="shared" si="47"/>
        <v>186402952.72499999</v>
      </c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Y75" s="49"/>
      <c r="CZ75" s="49"/>
    </row>
    <row r="76" spans="1:104">
      <c r="A76" s="53">
        <f t="shared" si="32"/>
        <v>2032</v>
      </c>
      <c r="B76" s="164">
        <f t="shared" si="48"/>
        <v>22825</v>
      </c>
      <c r="C76" s="63">
        <f t="shared" si="29"/>
        <v>2808</v>
      </c>
      <c r="D76" s="164">
        <f t="shared" si="30"/>
        <v>20017</v>
      </c>
      <c r="E76" s="63">
        <f t="shared" si="33"/>
        <v>22825</v>
      </c>
      <c r="F76" s="164">
        <f t="shared" si="34"/>
        <v>2808</v>
      </c>
      <c r="G76" s="63">
        <f t="shared" si="35"/>
        <v>20017</v>
      </c>
      <c r="H76" s="164">
        <f t="shared" si="36"/>
        <v>9130</v>
      </c>
      <c r="I76" s="63">
        <f t="shared" si="37"/>
        <v>8448.5107142857141</v>
      </c>
      <c r="J76" s="164">
        <f t="shared" si="38"/>
        <v>1123.1150684931506</v>
      </c>
      <c r="K76" s="63">
        <f t="shared" si="39"/>
        <v>8006.8849315068492</v>
      </c>
      <c r="L76" s="164">
        <f t="shared" si="40"/>
        <v>1039.2825508806263</v>
      </c>
      <c r="M76" s="63">
        <f t="shared" si="41"/>
        <v>7409.2281634050878</v>
      </c>
      <c r="N76" s="164">
        <f t="shared" si="42"/>
        <v>215859448.75</v>
      </c>
      <c r="O76" s="63">
        <f t="shared" si="46"/>
        <v>215859448.75</v>
      </c>
      <c r="P76" s="164">
        <f t="shared" si="43"/>
        <v>26553669.175000001</v>
      </c>
      <c r="Q76" s="63">
        <f t="shared" si="44"/>
        <v>189305779.57499999</v>
      </c>
      <c r="R76" s="164">
        <f t="shared" si="45"/>
        <v>26553669.175000001</v>
      </c>
      <c r="S76" s="63">
        <f t="shared" si="47"/>
        <v>189305779.57499999</v>
      </c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Y76" s="49"/>
      <c r="CZ76" s="49"/>
    </row>
    <row r="77" spans="1:104">
      <c r="A77" s="53">
        <f t="shared" si="32"/>
        <v>2033</v>
      </c>
      <c r="B77" s="164">
        <f t="shared" si="48"/>
        <v>23181</v>
      </c>
      <c r="C77" s="63">
        <f t="shared" si="29"/>
        <v>2852</v>
      </c>
      <c r="D77" s="164">
        <f t="shared" si="30"/>
        <v>20329</v>
      </c>
      <c r="E77" s="63">
        <f t="shared" si="33"/>
        <v>23181</v>
      </c>
      <c r="F77" s="164">
        <f t="shared" si="34"/>
        <v>2852</v>
      </c>
      <c r="G77" s="63">
        <f t="shared" si="35"/>
        <v>20329</v>
      </c>
      <c r="H77" s="164">
        <f t="shared" si="36"/>
        <v>9272.4</v>
      </c>
      <c r="I77" s="63">
        <f t="shared" si="37"/>
        <v>8580.2815714285716</v>
      </c>
      <c r="J77" s="164">
        <f t="shared" si="38"/>
        <v>1140.6322191780821</v>
      </c>
      <c r="K77" s="63">
        <f t="shared" si="39"/>
        <v>8131.7677808219178</v>
      </c>
      <c r="L77" s="164">
        <f t="shared" si="40"/>
        <v>1055.4921713894325</v>
      </c>
      <c r="M77" s="63">
        <f t="shared" si="41"/>
        <v>7524.7894000391389</v>
      </c>
      <c r="N77" s="164">
        <f t="shared" si="42"/>
        <v>219226194.15000001</v>
      </c>
      <c r="O77" s="63">
        <f t="shared" si="46"/>
        <v>219226194.14999998</v>
      </c>
      <c r="P77" s="164">
        <f t="shared" si="43"/>
        <v>26967824.979000002</v>
      </c>
      <c r="Q77" s="63">
        <f t="shared" si="44"/>
        <v>192258369.171</v>
      </c>
      <c r="R77" s="164">
        <f t="shared" si="45"/>
        <v>26967824.978999998</v>
      </c>
      <c r="S77" s="63">
        <f t="shared" si="47"/>
        <v>192258369.17099997</v>
      </c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Y77" s="49"/>
      <c r="CZ77" s="49"/>
    </row>
    <row r="78" spans="1:104">
      <c r="A78" s="53">
        <f t="shared" si="32"/>
        <v>2034</v>
      </c>
      <c r="B78" s="164">
        <f t="shared" si="48"/>
        <v>23543</v>
      </c>
      <c r="C78" s="63">
        <f t="shared" si="29"/>
        <v>2896</v>
      </c>
      <c r="D78" s="164">
        <f t="shared" si="30"/>
        <v>20647</v>
      </c>
      <c r="E78" s="63">
        <f t="shared" si="33"/>
        <v>23543</v>
      </c>
      <c r="F78" s="164">
        <f t="shared" si="34"/>
        <v>2896</v>
      </c>
      <c r="G78" s="63">
        <f t="shared" si="35"/>
        <v>20647</v>
      </c>
      <c r="H78" s="164">
        <f t="shared" si="36"/>
        <v>9417.2000000000007</v>
      </c>
      <c r="I78" s="63">
        <f t="shared" si="37"/>
        <v>8714.2732857142855</v>
      </c>
      <c r="J78" s="164">
        <f t="shared" si="38"/>
        <v>1158.4446027397262</v>
      </c>
      <c r="K78" s="63">
        <f t="shared" si="39"/>
        <v>8258.7553972602745</v>
      </c>
      <c r="L78" s="164">
        <f t="shared" si="40"/>
        <v>1071.9749877495108</v>
      </c>
      <c r="M78" s="63">
        <f t="shared" si="41"/>
        <v>7642.298297964775</v>
      </c>
      <c r="N78" s="164">
        <f t="shared" si="42"/>
        <v>222649682.44999999</v>
      </c>
      <c r="O78" s="63">
        <f t="shared" si="46"/>
        <v>222649682.44999999</v>
      </c>
      <c r="P78" s="164">
        <f t="shared" si="43"/>
        <v>27388960.936999999</v>
      </c>
      <c r="Q78" s="63">
        <f t="shared" si="44"/>
        <v>195260721.51299998</v>
      </c>
      <c r="R78" s="164">
        <f t="shared" si="45"/>
        <v>27388960.936999999</v>
      </c>
      <c r="S78" s="63">
        <f t="shared" si="47"/>
        <v>195260721.51299998</v>
      </c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Y78" s="49"/>
      <c r="CZ78" s="49"/>
    </row>
    <row r="79" spans="1:104">
      <c r="A79" s="53">
        <f t="shared" si="32"/>
        <v>2035</v>
      </c>
      <c r="B79" s="164">
        <f t="shared" si="48"/>
        <v>23910</v>
      </c>
      <c r="C79" s="63">
        <f t="shared" si="29"/>
        <v>2941</v>
      </c>
      <c r="D79" s="164">
        <f t="shared" si="30"/>
        <v>20969</v>
      </c>
      <c r="E79" s="63">
        <f t="shared" si="33"/>
        <v>23910</v>
      </c>
      <c r="F79" s="164">
        <f t="shared" si="34"/>
        <v>2941</v>
      </c>
      <c r="G79" s="63">
        <f t="shared" si="35"/>
        <v>20969</v>
      </c>
      <c r="H79" s="164">
        <f t="shared" si="36"/>
        <v>9564</v>
      </c>
      <c r="I79" s="63">
        <f t="shared" si="37"/>
        <v>8850.1157142857155</v>
      </c>
      <c r="J79" s="164">
        <f t="shared" si="38"/>
        <v>1176.5030136986302</v>
      </c>
      <c r="K79" s="63">
        <f t="shared" si="39"/>
        <v>8387.4969863013703</v>
      </c>
      <c r="L79" s="164">
        <f t="shared" si="40"/>
        <v>1088.6854673189825</v>
      </c>
      <c r="M79" s="63">
        <f t="shared" si="41"/>
        <v>7761.4302469667327</v>
      </c>
      <c r="N79" s="164">
        <f t="shared" si="42"/>
        <v>226120456.5</v>
      </c>
      <c r="O79" s="63">
        <f t="shared" si="46"/>
        <v>226120456.5</v>
      </c>
      <c r="P79" s="164">
        <f t="shared" si="43"/>
        <v>27815913.690000001</v>
      </c>
      <c r="Q79" s="63">
        <f t="shared" si="44"/>
        <v>198304542.81</v>
      </c>
      <c r="R79" s="164">
        <f t="shared" si="45"/>
        <v>27815913.690000001</v>
      </c>
      <c r="S79" s="63">
        <f t="shared" si="47"/>
        <v>198304542.81</v>
      </c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Y79" s="49"/>
      <c r="CZ79" s="49"/>
    </row>
    <row r="80" spans="1:104">
      <c r="A80" s="53">
        <f t="shared" si="32"/>
        <v>2036</v>
      </c>
      <c r="B80" s="164">
        <f t="shared" si="48"/>
        <v>24283</v>
      </c>
      <c r="C80" s="63">
        <f t="shared" si="29"/>
        <v>2987</v>
      </c>
      <c r="D80" s="164">
        <f t="shared" si="30"/>
        <v>21296</v>
      </c>
      <c r="E80" s="63">
        <f t="shared" si="33"/>
        <v>24283</v>
      </c>
      <c r="F80" s="164">
        <f t="shared" si="34"/>
        <v>2987</v>
      </c>
      <c r="G80" s="63">
        <f t="shared" si="35"/>
        <v>21296</v>
      </c>
      <c r="H80" s="164">
        <f t="shared" si="36"/>
        <v>9713.2000000000007</v>
      </c>
      <c r="I80" s="63">
        <f t="shared" si="37"/>
        <v>8988.1790000000001</v>
      </c>
      <c r="J80" s="164">
        <f t="shared" si="38"/>
        <v>1194.8566575342468</v>
      </c>
      <c r="K80" s="63">
        <f t="shared" si="39"/>
        <v>8518.3433424657542</v>
      </c>
      <c r="L80" s="164">
        <f t="shared" si="40"/>
        <v>1105.6691427397261</v>
      </c>
      <c r="M80" s="63">
        <f t="shared" si="41"/>
        <v>7882.5098572602737</v>
      </c>
      <c r="N80" s="164">
        <f t="shared" si="42"/>
        <v>229647973.44999999</v>
      </c>
      <c r="O80" s="63">
        <f t="shared" si="46"/>
        <v>229647973.45000002</v>
      </c>
      <c r="P80" s="164">
        <f t="shared" si="43"/>
        <v>28249846.596999999</v>
      </c>
      <c r="Q80" s="63">
        <f t="shared" si="44"/>
        <v>201398126.85299999</v>
      </c>
      <c r="R80" s="164">
        <f t="shared" si="45"/>
        <v>28249846.597000003</v>
      </c>
      <c r="S80" s="63">
        <f t="shared" si="47"/>
        <v>201398126.85300002</v>
      </c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Y80" s="49"/>
      <c r="CZ80" s="49"/>
    </row>
    <row r="81" spans="1:104">
      <c r="A81" s="53">
        <f t="shared" si="32"/>
        <v>2037</v>
      </c>
      <c r="B81" s="164">
        <f t="shared" si="48"/>
        <v>24661</v>
      </c>
      <c r="C81" s="63">
        <f t="shared" si="29"/>
        <v>3034</v>
      </c>
      <c r="D81" s="164">
        <f t="shared" si="30"/>
        <v>21627</v>
      </c>
      <c r="E81" s="63">
        <f t="shared" si="33"/>
        <v>24661</v>
      </c>
      <c r="F81" s="164">
        <f t="shared" si="34"/>
        <v>3034</v>
      </c>
      <c r="G81" s="63">
        <f t="shared" si="35"/>
        <v>21627</v>
      </c>
      <c r="H81" s="164">
        <f t="shared" si="36"/>
        <v>9864.4000000000015</v>
      </c>
      <c r="I81" s="63">
        <f t="shared" si="37"/>
        <v>9128.0930000000008</v>
      </c>
      <c r="J81" s="164">
        <f t="shared" si="38"/>
        <v>1213.4563287671235</v>
      </c>
      <c r="K81" s="63">
        <f t="shared" si="39"/>
        <v>8650.9436712328788</v>
      </c>
      <c r="L81" s="164">
        <f t="shared" si="40"/>
        <v>1122.8804813698632</v>
      </c>
      <c r="M81" s="63">
        <f t="shared" si="41"/>
        <v>8005.2125186301373</v>
      </c>
      <c r="N81" s="164">
        <f t="shared" si="42"/>
        <v>233222776.15000001</v>
      </c>
      <c r="O81" s="63">
        <f t="shared" si="46"/>
        <v>233222776.15000001</v>
      </c>
      <c r="P81" s="164">
        <f t="shared" si="43"/>
        <v>28689596.299000002</v>
      </c>
      <c r="Q81" s="63">
        <f t="shared" si="44"/>
        <v>204533179.85100001</v>
      </c>
      <c r="R81" s="164">
        <f t="shared" si="45"/>
        <v>28689596.299000002</v>
      </c>
      <c r="S81" s="63">
        <f t="shared" si="47"/>
        <v>204533179.85100001</v>
      </c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Y81" s="49"/>
      <c r="CZ81" s="49"/>
    </row>
    <row r="82" spans="1:104">
      <c r="A82" s="53">
        <f t="shared" si="32"/>
        <v>2038</v>
      </c>
      <c r="B82" s="164">
        <f t="shared" si="48"/>
        <v>25046</v>
      </c>
      <c r="C82" s="63">
        <f t="shared" si="29"/>
        <v>3081</v>
      </c>
      <c r="D82" s="164">
        <f t="shared" si="30"/>
        <v>21965</v>
      </c>
      <c r="E82" s="63">
        <f t="shared" si="33"/>
        <v>25046</v>
      </c>
      <c r="F82" s="164">
        <f t="shared" si="34"/>
        <v>3081</v>
      </c>
      <c r="G82" s="63">
        <f t="shared" si="35"/>
        <v>21965</v>
      </c>
      <c r="H82" s="164">
        <f t="shared" si="36"/>
        <v>10018.400000000001</v>
      </c>
      <c r="I82" s="63">
        <f t="shared" si="37"/>
        <v>9270.598</v>
      </c>
      <c r="J82" s="164">
        <f t="shared" si="38"/>
        <v>1232.4004383561646</v>
      </c>
      <c r="K82" s="63">
        <f t="shared" si="39"/>
        <v>8785.9995616438373</v>
      </c>
      <c r="L82" s="164">
        <f t="shared" si="40"/>
        <v>1140.4105484931506</v>
      </c>
      <c r="M82" s="63">
        <f t="shared" si="41"/>
        <v>8130.1874515068494</v>
      </c>
      <c r="N82" s="164">
        <f t="shared" si="42"/>
        <v>236863778.90000001</v>
      </c>
      <c r="O82" s="63">
        <f t="shared" si="46"/>
        <v>236863778.90000001</v>
      </c>
      <c r="P82" s="164">
        <f t="shared" si="43"/>
        <v>29137489.514000002</v>
      </c>
      <c r="Q82" s="63">
        <f t="shared" si="44"/>
        <v>207726289.38600001</v>
      </c>
      <c r="R82" s="164">
        <f t="shared" si="45"/>
        <v>29137489.514000002</v>
      </c>
      <c r="S82" s="63">
        <f t="shared" si="47"/>
        <v>207726289.38600001</v>
      </c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Y82" s="49"/>
      <c r="CZ82" s="49"/>
    </row>
    <row r="83" spans="1:104">
      <c r="A83" s="53">
        <f t="shared" si="32"/>
        <v>2039</v>
      </c>
      <c r="B83" s="164">
        <f t="shared" si="48"/>
        <v>25436</v>
      </c>
      <c r="C83" s="63">
        <f t="shared" si="29"/>
        <v>3129</v>
      </c>
      <c r="D83" s="164">
        <f t="shared" si="30"/>
        <v>22307</v>
      </c>
      <c r="E83" s="63">
        <f t="shared" si="33"/>
        <v>25436</v>
      </c>
      <c r="F83" s="164">
        <f t="shared" si="34"/>
        <v>3129</v>
      </c>
      <c r="G83" s="63">
        <f t="shared" si="35"/>
        <v>22307</v>
      </c>
      <c r="H83" s="164">
        <f t="shared" si="36"/>
        <v>10174.400000000001</v>
      </c>
      <c r="I83" s="63">
        <f t="shared" si="37"/>
        <v>9414.9537142857153</v>
      </c>
      <c r="J83" s="164">
        <f t="shared" si="38"/>
        <v>1251.5905753424659</v>
      </c>
      <c r="K83" s="63">
        <f t="shared" si="39"/>
        <v>8922.8094246575347</v>
      </c>
      <c r="L83" s="164">
        <f t="shared" si="40"/>
        <v>1158.1682788258317</v>
      </c>
      <c r="M83" s="63">
        <f t="shared" si="41"/>
        <v>8256.785435459884</v>
      </c>
      <c r="N83" s="164">
        <f t="shared" si="42"/>
        <v>240552067.40000001</v>
      </c>
      <c r="O83" s="63">
        <f t="shared" si="46"/>
        <v>240552067.40000001</v>
      </c>
      <c r="P83" s="164">
        <f t="shared" si="43"/>
        <v>29591199.524</v>
      </c>
      <c r="Q83" s="63">
        <f t="shared" si="44"/>
        <v>210960867.87600002</v>
      </c>
      <c r="R83" s="164">
        <f t="shared" si="45"/>
        <v>29591199.524</v>
      </c>
      <c r="S83" s="63">
        <f t="shared" si="47"/>
        <v>210960867.87600002</v>
      </c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Y83" s="49"/>
      <c r="CZ83" s="49"/>
    </row>
    <row r="84" spans="1:104">
      <c r="A84" s="53">
        <f t="shared" si="32"/>
        <v>2040</v>
      </c>
      <c r="B84" s="164">
        <f t="shared" si="48"/>
        <v>25833</v>
      </c>
      <c r="C84" s="63">
        <f t="shared" si="29"/>
        <v>3178</v>
      </c>
      <c r="D84" s="164">
        <f t="shared" si="30"/>
        <v>22655</v>
      </c>
      <c r="E84" s="63">
        <f t="shared" si="33"/>
        <v>25833</v>
      </c>
      <c r="F84" s="164">
        <f t="shared" si="34"/>
        <v>3178</v>
      </c>
      <c r="G84" s="63">
        <f t="shared" si="35"/>
        <v>22655</v>
      </c>
      <c r="H84" s="164">
        <f t="shared" si="36"/>
        <v>10333.200000000001</v>
      </c>
      <c r="I84" s="63">
        <f t="shared" si="37"/>
        <v>9561.9004285714291</v>
      </c>
      <c r="J84" s="164">
        <f t="shared" si="38"/>
        <v>1271.1251506849317</v>
      </c>
      <c r="K84" s="63">
        <f t="shared" si="39"/>
        <v>9062.0748493150695</v>
      </c>
      <c r="L84" s="164">
        <f t="shared" si="40"/>
        <v>1176.2447376516634</v>
      </c>
      <c r="M84" s="63">
        <f t="shared" si="41"/>
        <v>8385.6556909197661</v>
      </c>
      <c r="N84" s="164">
        <f t="shared" si="42"/>
        <v>244306555.94999999</v>
      </c>
      <c r="O84" s="63">
        <f t="shared" si="46"/>
        <v>244306555.95000002</v>
      </c>
      <c r="P84" s="164">
        <f t="shared" si="43"/>
        <v>30053053.046999998</v>
      </c>
      <c r="Q84" s="63">
        <f t="shared" si="44"/>
        <v>214253502.903</v>
      </c>
      <c r="R84" s="164">
        <f t="shared" si="45"/>
        <v>30053053.047000002</v>
      </c>
      <c r="S84" s="63">
        <f t="shared" si="47"/>
        <v>214253502.90300003</v>
      </c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Y84" s="49"/>
      <c r="CZ84" s="49"/>
    </row>
    <row r="85" spans="1:104">
      <c r="A85" s="53">
        <f t="shared" si="32"/>
        <v>2041</v>
      </c>
      <c r="B85" s="164">
        <f t="shared" si="48"/>
        <v>26236</v>
      </c>
      <c r="C85" s="63">
        <f t="shared" si="29"/>
        <v>3227</v>
      </c>
      <c r="D85" s="164">
        <f t="shared" si="30"/>
        <v>23009</v>
      </c>
      <c r="E85" s="63">
        <f t="shared" si="33"/>
        <v>26236</v>
      </c>
      <c r="F85" s="164">
        <f t="shared" si="34"/>
        <v>3227</v>
      </c>
      <c r="G85" s="63">
        <f t="shared" si="35"/>
        <v>23009</v>
      </c>
      <c r="H85" s="164">
        <f t="shared" si="36"/>
        <v>10494.400000000001</v>
      </c>
      <c r="I85" s="63">
        <f t="shared" si="37"/>
        <v>9711.0680000000011</v>
      </c>
      <c r="J85" s="164">
        <f t="shared" si="38"/>
        <v>1290.9549589041098</v>
      </c>
      <c r="K85" s="63">
        <f t="shared" si="39"/>
        <v>9203.4450410958925</v>
      </c>
      <c r="L85" s="164">
        <f t="shared" si="40"/>
        <v>1194.5943923287673</v>
      </c>
      <c r="M85" s="63">
        <f t="shared" si="41"/>
        <v>8516.4736076712343</v>
      </c>
      <c r="N85" s="164">
        <f t="shared" si="42"/>
        <v>248117787.40000001</v>
      </c>
      <c r="O85" s="63">
        <f t="shared" si="46"/>
        <v>248117787.40000001</v>
      </c>
      <c r="P85" s="164">
        <f t="shared" si="43"/>
        <v>30521886.724000003</v>
      </c>
      <c r="Q85" s="63">
        <f t="shared" si="44"/>
        <v>217595900.676</v>
      </c>
      <c r="R85" s="164">
        <f t="shared" si="45"/>
        <v>30521886.724000003</v>
      </c>
      <c r="S85" s="63">
        <f t="shared" si="47"/>
        <v>217595900.676</v>
      </c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Y85" s="49"/>
      <c r="CZ85" s="49"/>
    </row>
    <row r="86" spans="1:104">
      <c r="A86" s="53">
        <f t="shared" si="32"/>
        <v>2042</v>
      </c>
      <c r="B86" s="164">
        <f t="shared" si="48"/>
        <v>26645</v>
      </c>
      <c r="C86" s="63">
        <f t="shared" si="29"/>
        <v>3278</v>
      </c>
      <c r="D86" s="164">
        <f t="shared" si="30"/>
        <v>23367</v>
      </c>
      <c r="E86" s="63">
        <f t="shared" si="33"/>
        <v>26645</v>
      </c>
      <c r="F86" s="164">
        <f t="shared" si="34"/>
        <v>3278</v>
      </c>
      <c r="G86" s="63">
        <f t="shared" si="35"/>
        <v>23367</v>
      </c>
      <c r="H86" s="164">
        <f t="shared" si="36"/>
        <v>10658</v>
      </c>
      <c r="I86" s="63">
        <f t="shared" si="37"/>
        <v>9862.4564285714296</v>
      </c>
      <c r="J86" s="164">
        <f t="shared" si="38"/>
        <v>1311.08</v>
      </c>
      <c r="K86" s="63">
        <f t="shared" si="39"/>
        <v>9346.92</v>
      </c>
      <c r="L86" s="164">
        <f t="shared" si="40"/>
        <v>1213.217242857143</v>
      </c>
      <c r="M86" s="63">
        <f t="shared" si="41"/>
        <v>8649.2391857142866</v>
      </c>
      <c r="N86" s="164">
        <f t="shared" si="42"/>
        <v>251985761.75</v>
      </c>
      <c r="O86" s="63">
        <f t="shared" si="46"/>
        <v>251985761.74999997</v>
      </c>
      <c r="P86" s="164">
        <f t="shared" si="43"/>
        <v>30997700.555</v>
      </c>
      <c r="Q86" s="63">
        <f t="shared" si="44"/>
        <v>220988061.19499999</v>
      </c>
      <c r="R86" s="164">
        <f t="shared" si="45"/>
        <v>30997700.554999996</v>
      </c>
      <c r="S86" s="63">
        <f t="shared" si="47"/>
        <v>220988061.19499996</v>
      </c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Y86" s="49"/>
      <c r="CZ86" s="49"/>
    </row>
    <row r="87" spans="1:104">
      <c r="A87" s="53">
        <f t="shared" si="32"/>
        <v>2043</v>
      </c>
      <c r="B87" s="164">
        <f t="shared" si="48"/>
        <v>27061</v>
      </c>
      <c r="C87" s="63">
        <f t="shared" si="29"/>
        <v>3329</v>
      </c>
      <c r="D87" s="164">
        <f t="shared" si="30"/>
        <v>23732</v>
      </c>
      <c r="E87" s="63">
        <f t="shared" si="33"/>
        <v>27061</v>
      </c>
      <c r="F87" s="164">
        <f t="shared" si="34"/>
        <v>3329</v>
      </c>
      <c r="G87" s="63">
        <f t="shared" si="35"/>
        <v>23732</v>
      </c>
      <c r="H87" s="164">
        <f t="shared" si="36"/>
        <v>10824.400000000001</v>
      </c>
      <c r="I87" s="63">
        <f t="shared" si="37"/>
        <v>10016.435857142858</v>
      </c>
      <c r="J87" s="164">
        <f t="shared" si="38"/>
        <v>1331.549479452055</v>
      </c>
      <c r="K87" s="63">
        <f t="shared" si="39"/>
        <v>9492.8505205479469</v>
      </c>
      <c r="L87" s="164">
        <f t="shared" si="40"/>
        <v>1232.1588218786694</v>
      </c>
      <c r="M87" s="63">
        <f t="shared" si="41"/>
        <v>8784.2770352641892</v>
      </c>
      <c r="N87" s="164">
        <f t="shared" si="42"/>
        <v>255919936.15000001</v>
      </c>
      <c r="O87" s="63">
        <f t="shared" si="46"/>
        <v>255919936.15000001</v>
      </c>
      <c r="P87" s="164">
        <f t="shared" si="43"/>
        <v>31481657.899</v>
      </c>
      <c r="Q87" s="63">
        <f t="shared" si="44"/>
        <v>224438278.25100002</v>
      </c>
      <c r="R87" s="164">
        <f t="shared" si="45"/>
        <v>31481657.899</v>
      </c>
      <c r="S87" s="63">
        <f t="shared" si="47"/>
        <v>224438278.25100002</v>
      </c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Y87" s="49"/>
      <c r="CZ87" s="49"/>
    </row>
    <row r="88" spans="1:104">
      <c r="A88" s="53">
        <f t="shared" si="32"/>
        <v>2044</v>
      </c>
      <c r="B88" s="164">
        <f t="shared" si="48"/>
        <v>27483</v>
      </c>
      <c r="C88" s="63">
        <f t="shared" si="29"/>
        <v>3381</v>
      </c>
      <c r="D88" s="164">
        <f t="shared" si="30"/>
        <v>24102</v>
      </c>
      <c r="E88" s="63">
        <f t="shared" si="33"/>
        <v>27483</v>
      </c>
      <c r="F88" s="164">
        <f t="shared" si="34"/>
        <v>3381</v>
      </c>
      <c r="G88" s="63">
        <f t="shared" si="35"/>
        <v>24102</v>
      </c>
      <c r="H88" s="164">
        <f t="shared" si="36"/>
        <v>10993.2</v>
      </c>
      <c r="I88" s="63">
        <f t="shared" si="37"/>
        <v>10172.636142857144</v>
      </c>
      <c r="J88" s="164">
        <f t="shared" si="38"/>
        <v>1352.3141917808221</v>
      </c>
      <c r="K88" s="63">
        <f t="shared" si="39"/>
        <v>9640.8858082191782</v>
      </c>
      <c r="L88" s="164">
        <f t="shared" si="40"/>
        <v>1251.3735967514679</v>
      </c>
      <c r="M88" s="63">
        <f t="shared" si="41"/>
        <v>8921.2625461056759</v>
      </c>
      <c r="N88" s="164">
        <f t="shared" si="42"/>
        <v>259910853.44999999</v>
      </c>
      <c r="O88" s="63">
        <f t="shared" si="46"/>
        <v>259910853.45000002</v>
      </c>
      <c r="P88" s="164">
        <f t="shared" si="43"/>
        <v>31972595.397</v>
      </c>
      <c r="Q88" s="63">
        <f t="shared" si="44"/>
        <v>227938258.05299997</v>
      </c>
      <c r="R88" s="164">
        <f t="shared" si="45"/>
        <v>31972595.397000004</v>
      </c>
      <c r="S88" s="63">
        <f t="shared" si="47"/>
        <v>227938258.053</v>
      </c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Y88" s="49"/>
      <c r="CZ88" s="49"/>
    </row>
    <row r="89" spans="1:104">
      <c r="A89" s="53">
        <f t="shared" si="32"/>
        <v>2045</v>
      </c>
      <c r="B89" s="164">
        <f t="shared" si="48"/>
        <v>27911</v>
      </c>
      <c r="C89" s="63">
        <f t="shared" si="29"/>
        <v>3433</v>
      </c>
      <c r="D89" s="164">
        <f t="shared" si="30"/>
        <v>24478</v>
      </c>
      <c r="E89" s="63">
        <f t="shared" si="33"/>
        <v>27911</v>
      </c>
      <c r="F89" s="164">
        <f t="shared" si="34"/>
        <v>3433</v>
      </c>
      <c r="G89" s="63">
        <f t="shared" si="35"/>
        <v>24478</v>
      </c>
      <c r="H89" s="164">
        <f t="shared" si="36"/>
        <v>11164.400000000001</v>
      </c>
      <c r="I89" s="63">
        <f t="shared" si="37"/>
        <v>10331.057285714287</v>
      </c>
      <c r="J89" s="164">
        <f t="shared" si="38"/>
        <v>1373.3741369863017</v>
      </c>
      <c r="K89" s="63">
        <f t="shared" si="39"/>
        <v>9791.0258630136996</v>
      </c>
      <c r="L89" s="164">
        <f t="shared" si="40"/>
        <v>1270.8615674755383</v>
      </c>
      <c r="M89" s="63">
        <f t="shared" si="41"/>
        <v>9060.1957182387487</v>
      </c>
      <c r="N89" s="164">
        <f t="shared" si="42"/>
        <v>263958513.65000001</v>
      </c>
      <c r="O89" s="63">
        <f t="shared" si="46"/>
        <v>263958513.65000001</v>
      </c>
      <c r="P89" s="164">
        <f t="shared" si="43"/>
        <v>32470513.049000002</v>
      </c>
      <c r="Q89" s="63">
        <f t="shared" si="44"/>
        <v>231488000.60100001</v>
      </c>
      <c r="R89" s="164">
        <f t="shared" si="45"/>
        <v>32470513.049000002</v>
      </c>
      <c r="S89" s="63">
        <f t="shared" si="47"/>
        <v>231488000.60100001</v>
      </c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Y89" s="49"/>
      <c r="CZ89" s="49"/>
    </row>
    <row r="90" spans="1:104">
      <c r="A90" s="53">
        <f t="shared" si="32"/>
        <v>2046</v>
      </c>
      <c r="B90" s="164">
        <f t="shared" si="48"/>
        <v>28346</v>
      </c>
      <c r="C90" s="63">
        <f t="shared" si="29"/>
        <v>3487</v>
      </c>
      <c r="D90" s="164">
        <f>B90-C90</f>
        <v>24859</v>
      </c>
      <c r="E90" s="63">
        <f t="shared" si="33"/>
        <v>28346</v>
      </c>
      <c r="F90" s="164">
        <f t="shared" si="34"/>
        <v>3487</v>
      </c>
      <c r="G90" s="63">
        <f t="shared" si="35"/>
        <v>24859</v>
      </c>
      <c r="H90" s="164">
        <f t="shared" si="36"/>
        <v>11338.400000000001</v>
      </c>
      <c r="I90" s="63">
        <f t="shared" si="37"/>
        <v>10492.069428571429</v>
      </c>
      <c r="J90" s="164">
        <f t="shared" si="38"/>
        <v>1394.7785205479454</v>
      </c>
      <c r="K90" s="63">
        <f t="shared" si="39"/>
        <v>9943.6214794520565</v>
      </c>
      <c r="L90" s="164">
        <f t="shared" si="40"/>
        <v>1290.6682666927593</v>
      </c>
      <c r="M90" s="63">
        <f t="shared" si="41"/>
        <v>9201.4011618786699</v>
      </c>
      <c r="N90" s="164">
        <f t="shared" si="42"/>
        <v>268072373.90000001</v>
      </c>
      <c r="O90" s="63">
        <f t="shared" si="46"/>
        <v>268072373.90000001</v>
      </c>
      <c r="P90" s="164">
        <f t="shared" si="43"/>
        <v>32976574.214000002</v>
      </c>
      <c r="Q90" s="63">
        <f t="shared" si="44"/>
        <v>235095799.68599999</v>
      </c>
      <c r="R90" s="164">
        <f t="shared" si="45"/>
        <v>32976574.214000002</v>
      </c>
      <c r="S90" s="63">
        <f t="shared" si="47"/>
        <v>235095799.68599999</v>
      </c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Y90" s="49"/>
      <c r="CZ90" s="49"/>
    </row>
    <row r="91" spans="1:104">
      <c r="A91" s="53">
        <f t="shared" si="32"/>
        <v>2047</v>
      </c>
      <c r="B91" s="164">
        <f t="shared" si="48"/>
        <v>28789</v>
      </c>
      <c r="C91" s="63">
        <f t="shared" si="29"/>
        <v>3541</v>
      </c>
      <c r="D91" s="164">
        <f t="shared" si="30"/>
        <v>25248</v>
      </c>
      <c r="E91" s="63">
        <f t="shared" si="33"/>
        <v>28789</v>
      </c>
      <c r="F91" s="164">
        <f t="shared" si="34"/>
        <v>3541</v>
      </c>
      <c r="G91" s="63">
        <f t="shared" si="35"/>
        <v>25248</v>
      </c>
      <c r="H91" s="164">
        <f t="shared" si="36"/>
        <v>11515.6</v>
      </c>
      <c r="I91" s="63">
        <f t="shared" si="37"/>
        <v>10656.042714285715</v>
      </c>
      <c r="J91" s="164">
        <f t="shared" si="38"/>
        <v>1416.5765479452054</v>
      </c>
      <c r="K91" s="63">
        <f t="shared" si="39"/>
        <v>10099.023452054795</v>
      </c>
      <c r="L91" s="164">
        <f t="shared" si="40"/>
        <v>1310.8392270450099</v>
      </c>
      <c r="M91" s="63">
        <f t="shared" si="41"/>
        <v>9345.2034872407057</v>
      </c>
      <c r="N91" s="164">
        <f t="shared" si="42"/>
        <v>272261891.35000002</v>
      </c>
      <c r="O91" s="63">
        <f t="shared" si="46"/>
        <v>272261891.35000002</v>
      </c>
      <c r="P91" s="164">
        <f t="shared" si="43"/>
        <v>33491942.251000002</v>
      </c>
      <c r="Q91" s="63">
        <f t="shared" si="44"/>
        <v>238769949.09900004</v>
      </c>
      <c r="R91" s="164">
        <f t="shared" si="45"/>
        <v>33491942.251000002</v>
      </c>
      <c r="S91" s="63">
        <f t="shared" si="47"/>
        <v>238769949.09900004</v>
      </c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Y91" s="49"/>
      <c r="CZ91" s="49"/>
    </row>
    <row r="92" spans="1:104">
      <c r="A92" s="331">
        <f t="shared" si="32"/>
        <v>2048</v>
      </c>
      <c r="B92" s="332">
        <f t="shared" si="48"/>
        <v>29237</v>
      </c>
      <c r="C92" s="333">
        <f t="shared" si="29"/>
        <v>3597</v>
      </c>
      <c r="D92" s="332">
        <f t="shared" si="30"/>
        <v>25640</v>
      </c>
      <c r="E92" s="333">
        <f t="shared" si="33"/>
        <v>29237</v>
      </c>
      <c r="F92" s="332">
        <f t="shared" si="34"/>
        <v>3597</v>
      </c>
      <c r="G92" s="333">
        <f t="shared" si="35"/>
        <v>25640</v>
      </c>
      <c r="H92" s="332">
        <f t="shared" si="36"/>
        <v>11694.800000000001</v>
      </c>
      <c r="I92" s="333">
        <f t="shared" si="37"/>
        <v>10821.866714285716</v>
      </c>
      <c r="J92" s="332">
        <f t="shared" si="38"/>
        <v>1438.6206027397261</v>
      </c>
      <c r="K92" s="333">
        <f t="shared" si="39"/>
        <v>10256.179397260275</v>
      </c>
      <c r="L92" s="332">
        <f t="shared" si="40"/>
        <v>1331.2378506066539</v>
      </c>
      <c r="M92" s="333">
        <f t="shared" si="41"/>
        <v>9490.6288636790614</v>
      </c>
      <c r="N92" s="332">
        <f t="shared" si="42"/>
        <v>276498694.55000001</v>
      </c>
      <c r="O92" s="333">
        <f t="shared" si="46"/>
        <v>276498694.55000001</v>
      </c>
      <c r="P92" s="332">
        <f t="shared" si="43"/>
        <v>34013127.083000004</v>
      </c>
      <c r="Q92" s="333">
        <f t="shared" si="44"/>
        <v>242485567.46700001</v>
      </c>
      <c r="R92" s="332">
        <f t="shared" si="45"/>
        <v>34013127.083000004</v>
      </c>
      <c r="S92" s="333">
        <f t="shared" si="47"/>
        <v>242485567.46700001</v>
      </c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Y92" s="49"/>
      <c r="CZ92" s="49"/>
    </row>
    <row r="93" spans="1:104">
      <c r="A93" s="111"/>
      <c r="B93" s="121"/>
      <c r="C93" s="169"/>
      <c r="D93" s="165"/>
      <c r="E93" s="165"/>
      <c r="F93" s="121"/>
      <c r="G93" s="169"/>
      <c r="H93" s="165"/>
      <c r="I93" s="165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</row>
    <row r="94" spans="1:104">
      <c r="A94" s="170"/>
      <c r="B94" s="170"/>
      <c r="C94" s="171"/>
      <c r="D94" s="165"/>
      <c r="E94" s="165"/>
      <c r="F94" s="121"/>
      <c r="G94" s="172"/>
      <c r="H94" s="120"/>
      <c r="I94" s="65"/>
      <c r="J94" s="65"/>
      <c r="K94" s="65"/>
      <c r="L94" s="172"/>
      <c r="M94" s="172"/>
      <c r="N94" s="172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</row>
    <row r="95" spans="1:104" ht="13.95" customHeight="1">
      <c r="A95" s="421" t="s">
        <v>126</v>
      </c>
      <c r="B95" s="422"/>
      <c r="C95" s="422"/>
      <c r="D95" s="422"/>
      <c r="E95" s="422"/>
      <c r="F95" s="422"/>
      <c r="G95" s="172"/>
      <c r="H95" s="120"/>
      <c r="I95" s="65"/>
      <c r="J95" s="65"/>
      <c r="K95" s="65"/>
      <c r="L95" s="172"/>
      <c r="M95" s="172"/>
      <c r="N95" s="172"/>
      <c r="O95" s="65"/>
      <c r="P95" s="120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</row>
    <row r="96" spans="1:104" ht="13.95" customHeight="1">
      <c r="A96" s="428"/>
      <c r="B96" s="423" t="s">
        <v>128</v>
      </c>
      <c r="C96" s="424"/>
      <c r="D96" s="424"/>
      <c r="E96" s="424"/>
      <c r="F96" s="424"/>
      <c r="G96" s="172"/>
      <c r="H96" s="120"/>
      <c r="I96" s="120"/>
      <c r="J96" s="65"/>
      <c r="K96" s="65"/>
      <c r="L96" s="172"/>
      <c r="M96" s="172"/>
      <c r="N96" s="172"/>
      <c r="O96" s="65"/>
      <c r="P96" s="65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</row>
    <row r="97" spans="1:104" ht="27" customHeight="1">
      <c r="A97" s="428"/>
      <c r="B97" s="152">
        <v>1</v>
      </c>
      <c r="C97" s="152">
        <v>2</v>
      </c>
      <c r="D97" s="152">
        <v>3</v>
      </c>
      <c r="E97" s="152">
        <v>4</v>
      </c>
      <c r="F97" s="115" t="s">
        <v>116</v>
      </c>
      <c r="G97" s="172"/>
      <c r="H97" s="120" t="s">
        <v>127</v>
      </c>
      <c r="I97" s="120"/>
      <c r="J97" s="65"/>
      <c r="K97" s="65"/>
      <c r="L97" s="109"/>
      <c r="M97" s="172"/>
      <c r="N97" s="172"/>
      <c r="O97" s="65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V97" s="49"/>
      <c r="CW97" s="49"/>
      <c r="CX97" s="49"/>
      <c r="CY97" s="49"/>
      <c r="CZ97" s="49"/>
    </row>
    <row r="98" spans="1:104" ht="13.95" customHeight="1">
      <c r="A98" s="173" t="s">
        <v>129</v>
      </c>
      <c r="B98" s="174">
        <f>B100-B99</f>
        <v>21047.671232876713</v>
      </c>
      <c r="C98" s="175">
        <f t="shared" ref="C98:E98" si="49">C100-C99</f>
        <v>19732.191780821919</v>
      </c>
      <c r="D98" s="174">
        <f t="shared" si="49"/>
        <v>15785.753424657534</v>
      </c>
      <c r="E98" s="175">
        <f t="shared" si="49"/>
        <v>12277.808219178081</v>
      </c>
      <c r="F98" s="429">
        <f>SUM(B103:E103)</f>
        <v>19552.862419205907</v>
      </c>
      <c r="G98" s="172"/>
      <c r="H98" s="120">
        <v>1</v>
      </c>
      <c r="I98" s="65" t="s">
        <v>181</v>
      </c>
      <c r="J98" s="65"/>
      <c r="K98" s="65"/>
      <c r="L98" s="109"/>
      <c r="M98" s="172"/>
      <c r="N98" s="172"/>
      <c r="O98" s="65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V98" s="49"/>
      <c r="CW98" s="49"/>
      <c r="CX98" s="49"/>
      <c r="CY98" s="49"/>
      <c r="CZ98" s="49"/>
    </row>
    <row r="99" spans="1:104" ht="13.95" customHeight="1">
      <c r="A99" s="173" t="s">
        <v>130</v>
      </c>
      <c r="B99" s="174">
        <f t="shared" ref="B99:E99" si="50">B100*$B$116</f>
        <v>2952.3287671232879</v>
      </c>
      <c r="C99" s="175">
        <f t="shared" si="50"/>
        <v>2767.8082191780823</v>
      </c>
      <c r="D99" s="174">
        <f t="shared" si="50"/>
        <v>2214.2465753424658</v>
      </c>
      <c r="E99" s="175">
        <f t="shared" si="50"/>
        <v>1722.1917808219177</v>
      </c>
      <c r="F99" s="429"/>
      <c r="G99" s="172"/>
      <c r="H99" s="120">
        <v>2</v>
      </c>
      <c r="I99" s="65" t="s">
        <v>182</v>
      </c>
      <c r="J99" s="65"/>
      <c r="K99" s="65"/>
      <c r="L99" s="109"/>
      <c r="M99" s="172"/>
      <c r="N99" s="172"/>
      <c r="O99" s="65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V99" s="49"/>
      <c r="CW99" s="49"/>
      <c r="CX99" s="49"/>
      <c r="CY99" s="49"/>
      <c r="CZ99" s="49"/>
    </row>
    <row r="100" spans="1:104" ht="13.95" customHeight="1">
      <c r="A100" s="173" t="s">
        <v>131</v>
      </c>
      <c r="B100" s="255">
        <v>24000</v>
      </c>
      <c r="C100" s="255">
        <v>22500</v>
      </c>
      <c r="D100" s="255">
        <v>18000</v>
      </c>
      <c r="E100" s="255">
        <v>14000</v>
      </c>
      <c r="F100" s="429"/>
      <c r="G100" s="172"/>
      <c r="H100" s="120">
        <v>3</v>
      </c>
      <c r="I100" s="65" t="s">
        <v>189</v>
      </c>
      <c r="J100" s="65"/>
      <c r="K100" s="65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V100" s="49"/>
      <c r="CW100" s="49"/>
      <c r="CX100" s="49"/>
      <c r="CY100" s="49"/>
      <c r="CZ100" s="49"/>
    </row>
    <row r="101" spans="1:104" ht="13.95" customHeight="1">
      <c r="A101" s="173" t="s">
        <v>132</v>
      </c>
      <c r="B101" s="192">
        <v>5.01</v>
      </c>
      <c r="C101" s="155">
        <v>6.59</v>
      </c>
      <c r="D101" s="192">
        <v>3.54</v>
      </c>
      <c r="E101" s="155">
        <v>6.52</v>
      </c>
      <c r="F101" s="429"/>
      <c r="G101" s="109"/>
      <c r="H101" s="120">
        <v>4</v>
      </c>
      <c r="I101" s="65" t="s">
        <v>183</v>
      </c>
      <c r="J101" s="65"/>
      <c r="K101" s="65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V101" s="49"/>
      <c r="CW101" s="49"/>
      <c r="CX101" s="49"/>
      <c r="CY101" s="49"/>
      <c r="CZ101" s="49"/>
    </row>
    <row r="102" spans="1:104" ht="13.95" customHeight="1">
      <c r="A102" s="173" t="s">
        <v>133</v>
      </c>
      <c r="B102" s="176">
        <f>B101/SUM($B$101:$E$101)</f>
        <v>0.23130193905817173</v>
      </c>
      <c r="C102" s="154">
        <f>C101/SUM($B$101:$E$101)</f>
        <v>0.30424746075715603</v>
      </c>
      <c r="D102" s="176">
        <f>D101/SUM($B$101:$E$101)</f>
        <v>0.16343490304709141</v>
      </c>
      <c r="E102" s="154">
        <f>E101/SUM($B$101:$E$101)</f>
        <v>0.30101569713758075</v>
      </c>
      <c r="F102" s="429"/>
      <c r="G102" s="109"/>
      <c r="H102" s="291" t="s">
        <v>188</v>
      </c>
      <c r="I102" s="65"/>
      <c r="J102" s="65"/>
      <c r="K102" s="65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V102" s="49"/>
      <c r="CW102" s="49"/>
      <c r="CX102" s="49"/>
      <c r="CY102" s="49"/>
      <c r="CZ102" s="49"/>
    </row>
    <row r="103" spans="1:104" ht="13.95" customHeight="1">
      <c r="A103" s="173" t="s">
        <v>134</v>
      </c>
      <c r="B103" s="174">
        <f>B100*B102</f>
        <v>5551.2465373961213</v>
      </c>
      <c r="C103" s="175">
        <f>C100*C102</f>
        <v>6845.5678670360103</v>
      </c>
      <c r="D103" s="174">
        <f t="shared" ref="D103:E103" si="51">D100*D102</f>
        <v>2941.8282548476454</v>
      </c>
      <c r="E103" s="175">
        <f t="shared" si="51"/>
        <v>4214.2197599261308</v>
      </c>
      <c r="F103" s="429"/>
      <c r="G103" s="109"/>
      <c r="H103" s="120"/>
      <c r="I103" s="65"/>
      <c r="J103" s="65"/>
      <c r="K103" s="65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V103" s="49"/>
      <c r="CW103" s="49"/>
      <c r="CX103" s="49"/>
      <c r="CY103" s="49"/>
      <c r="CZ103" s="49"/>
    </row>
    <row r="104" spans="1:104" ht="13.95" customHeight="1">
      <c r="A104" s="428"/>
      <c r="B104" s="417" t="s">
        <v>180</v>
      </c>
      <c r="C104" s="425"/>
      <c r="D104" s="425"/>
      <c r="E104" s="425"/>
      <c r="F104" s="426"/>
      <c r="G104" s="109"/>
      <c r="H104" s="120"/>
      <c r="I104" s="65"/>
      <c r="J104" s="65"/>
      <c r="K104" s="65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V104" s="49"/>
      <c r="CW104" s="49"/>
      <c r="CX104" s="49"/>
      <c r="CY104" s="49"/>
      <c r="CZ104" s="49"/>
    </row>
    <row r="105" spans="1:104" ht="27" customHeight="1">
      <c r="A105" s="428"/>
      <c r="B105" s="152">
        <v>1</v>
      </c>
      <c r="C105" s="152">
        <v>2</v>
      </c>
      <c r="D105" s="273">
        <v>3</v>
      </c>
      <c r="E105" s="273">
        <v>4</v>
      </c>
      <c r="F105" s="115" t="s">
        <v>116</v>
      </c>
      <c r="G105" s="109"/>
      <c r="H105" s="120"/>
      <c r="I105" s="65"/>
      <c r="J105" s="65"/>
      <c r="K105" s="65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V105" s="49"/>
      <c r="CW105" s="49"/>
      <c r="CX105" s="49"/>
      <c r="CY105" s="49"/>
      <c r="CZ105" s="49"/>
    </row>
    <row r="106" spans="1:104" ht="13.95" customHeight="1">
      <c r="A106" s="173" t="s">
        <v>129</v>
      </c>
      <c r="B106" s="174">
        <f t="shared" ref="B106:D106" si="52">B108-B107</f>
        <v>33325.479452054795</v>
      </c>
      <c r="C106" s="188">
        <f t="shared" si="52"/>
        <v>31571.506849315068</v>
      </c>
      <c r="D106" s="281">
        <f t="shared" si="52"/>
        <v>25432.602739726026</v>
      </c>
      <c r="E106" s="188">
        <f>E108-E107</f>
        <v>19293.698630136987</v>
      </c>
      <c r="F106" s="429">
        <f>SUM(B111:E111)</f>
        <v>31104.339796860571</v>
      </c>
      <c r="G106" s="109"/>
      <c r="H106" s="120"/>
      <c r="I106" s="65"/>
      <c r="J106" s="65"/>
      <c r="K106" s="65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V106" s="49"/>
      <c r="CW106" s="49"/>
      <c r="CX106" s="49"/>
      <c r="CY106" s="49"/>
      <c r="CZ106" s="49"/>
    </row>
    <row r="107" spans="1:104" ht="13.95" customHeight="1">
      <c r="A107" s="173" t="s">
        <v>130</v>
      </c>
      <c r="B107" s="174">
        <f>B108*$B$117</f>
        <v>4674.5205479452052</v>
      </c>
      <c r="C107" s="188">
        <f>C108*$B$117</f>
        <v>4428.4931506849316</v>
      </c>
      <c r="D107" s="281">
        <f>D108*$B$117</f>
        <v>3567.3972602739727</v>
      </c>
      <c r="E107" s="188">
        <f>E108*$B$117</f>
        <v>2706.3013698630139</v>
      </c>
      <c r="F107" s="429"/>
      <c r="G107" s="109"/>
      <c r="H107" s="120"/>
      <c r="I107" s="65"/>
      <c r="J107" s="65"/>
      <c r="K107" s="65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V107" s="49"/>
      <c r="CW107" s="49"/>
      <c r="CX107" s="49"/>
      <c r="CY107" s="49"/>
      <c r="CZ107" s="49"/>
    </row>
    <row r="108" spans="1:104" ht="13.95" customHeight="1">
      <c r="A108" s="173" t="s">
        <v>131</v>
      </c>
      <c r="B108" s="255">
        <v>38000</v>
      </c>
      <c r="C108" s="256">
        <v>36000</v>
      </c>
      <c r="D108" s="282">
        <v>29000</v>
      </c>
      <c r="E108" s="256">
        <v>22000</v>
      </c>
      <c r="F108" s="429"/>
      <c r="G108" s="109"/>
      <c r="H108" s="120"/>
      <c r="I108" s="65"/>
      <c r="J108" s="65"/>
      <c r="K108" s="65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V108" s="49"/>
      <c r="CW108" s="49"/>
      <c r="CX108" s="49"/>
      <c r="CY108" s="49"/>
      <c r="CZ108" s="49"/>
    </row>
    <row r="109" spans="1:104" ht="13.95" customHeight="1">
      <c r="A109" s="173" t="s">
        <v>132</v>
      </c>
      <c r="B109" s="192">
        <v>5.01</v>
      </c>
      <c r="C109" s="155">
        <v>6.59</v>
      </c>
      <c r="D109" s="192">
        <v>3.54</v>
      </c>
      <c r="E109" s="155">
        <v>6.52</v>
      </c>
      <c r="F109" s="429"/>
      <c r="G109" s="109"/>
      <c r="H109" s="120"/>
      <c r="I109" s="65"/>
      <c r="J109" s="65"/>
      <c r="K109" s="65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V109" s="49"/>
      <c r="CW109" s="49"/>
      <c r="CX109" s="49"/>
      <c r="CY109" s="49"/>
      <c r="CZ109" s="49"/>
    </row>
    <row r="110" spans="1:104" ht="13.95" customHeight="1">
      <c r="A110" s="173" t="s">
        <v>133</v>
      </c>
      <c r="B110" s="176">
        <f>B109/SUM($B$109:$E$109)</f>
        <v>0.23130193905817173</v>
      </c>
      <c r="C110" s="187">
        <f>C109/SUM($B$109:$E$109)</f>
        <v>0.30424746075715603</v>
      </c>
      <c r="D110" s="283">
        <f>D109/SUM($B$109:$E$109)</f>
        <v>0.16343490304709141</v>
      </c>
      <c r="E110" s="187">
        <f>E109/SUM($B$109:$E$109)</f>
        <v>0.30101569713758075</v>
      </c>
      <c r="F110" s="429"/>
      <c r="G110" s="109"/>
      <c r="H110" s="120"/>
      <c r="I110" s="65"/>
      <c r="J110" s="65"/>
      <c r="K110" s="65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V110" s="49"/>
      <c r="CW110" s="49"/>
      <c r="CX110" s="49"/>
      <c r="CY110" s="49"/>
      <c r="CZ110" s="49"/>
    </row>
    <row r="111" spans="1:104" ht="13.95" customHeight="1">
      <c r="A111" s="173" t="s">
        <v>134</v>
      </c>
      <c r="B111" s="174">
        <f>B108*B110</f>
        <v>8789.4736842105249</v>
      </c>
      <c r="C111" s="175">
        <f>C108*C110</f>
        <v>10952.908587257618</v>
      </c>
      <c r="D111" s="281">
        <f>D108*D110</f>
        <v>4739.6121883656506</v>
      </c>
      <c r="E111" s="188">
        <f>E108*E110</f>
        <v>6622.3453370267762</v>
      </c>
      <c r="F111" s="429"/>
      <c r="G111" s="109"/>
      <c r="H111" s="120"/>
      <c r="I111" s="65"/>
      <c r="J111" s="65"/>
      <c r="K111" s="65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V111" s="49"/>
      <c r="CW111" s="49"/>
      <c r="CX111" s="49"/>
      <c r="CY111" s="49"/>
      <c r="CZ111" s="49"/>
    </row>
    <row r="112" spans="1:104" ht="13.95" customHeight="1">
      <c r="A112" s="252" t="s">
        <v>135</v>
      </c>
      <c r="B112" s="252"/>
      <c r="C112" s="252"/>
      <c r="D112" s="252"/>
      <c r="E112" s="252"/>
      <c r="F112" s="252"/>
      <c r="G112" s="109"/>
      <c r="H112" s="120"/>
      <c r="I112" s="65"/>
      <c r="J112" s="65"/>
      <c r="K112" s="65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</row>
    <row r="113" spans="1:105" ht="13.95" customHeight="1">
      <c r="A113" s="136"/>
      <c r="B113" s="136"/>
      <c r="C113" s="136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</row>
    <row r="114" spans="1:105" ht="13.95" customHeight="1">
      <c r="A114" s="417" t="s">
        <v>136</v>
      </c>
      <c r="B114" s="417"/>
      <c r="C114" s="135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</row>
    <row r="115" spans="1:105" ht="13.95" customHeight="1">
      <c r="A115" s="173" t="s">
        <v>187</v>
      </c>
      <c r="B115" s="177">
        <f>(F106/F98)^(1/(2052-2022))-1</f>
        <v>1.5594533929825793E-2</v>
      </c>
      <c r="C115" s="135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</row>
    <row r="116" spans="1:105" ht="13.95" customHeight="1">
      <c r="A116" s="173" t="s">
        <v>137</v>
      </c>
      <c r="B116" s="177">
        <f>(0.1*22500+0.16*14000)/(22500+14000)</f>
        <v>0.12301369863013699</v>
      </c>
      <c r="C116" s="135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</row>
    <row r="117" spans="1:105" ht="13.95" customHeight="1">
      <c r="A117" s="173" t="s">
        <v>138</v>
      </c>
      <c r="B117" s="177">
        <f>B116</f>
        <v>0.12301369863013699</v>
      </c>
      <c r="C117" s="135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</row>
    <row r="118" spans="1:105" ht="13.95" customHeight="1">
      <c r="A118" s="415" t="s">
        <v>48</v>
      </c>
      <c r="B118" s="415"/>
      <c r="C118" s="135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</row>
    <row r="119" spans="1:105" ht="13.95" customHeight="1">
      <c r="A119" s="170"/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</row>
    <row r="120" spans="1:105" ht="13.95" customHeight="1">
      <c r="A120" s="170"/>
      <c r="B120" s="170"/>
      <c r="C120" s="170"/>
      <c r="D120" s="170"/>
      <c r="E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</row>
    <row r="121" spans="1:105" ht="13.95" customHeight="1">
      <c r="A121" s="417" t="s">
        <v>139</v>
      </c>
      <c r="B121" s="417"/>
      <c r="C121" s="417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</row>
    <row r="122" spans="1:105" ht="13.95" customHeight="1">
      <c r="A122" s="181"/>
      <c r="B122" s="152" t="s">
        <v>105</v>
      </c>
      <c r="C122" s="152" t="s">
        <v>54</v>
      </c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</row>
    <row r="123" spans="1:105" ht="13.95" customHeight="1">
      <c r="A123" s="178" t="s">
        <v>140</v>
      </c>
      <c r="B123" s="179">
        <v>25.91</v>
      </c>
      <c r="C123" s="179">
        <v>25.91</v>
      </c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</row>
    <row r="124" spans="1:105" ht="13.95" customHeight="1">
      <c r="A124" s="178" t="s">
        <v>141</v>
      </c>
      <c r="B124" s="179">
        <v>65</v>
      </c>
      <c r="C124" s="179">
        <v>70</v>
      </c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</row>
    <row r="125" spans="1:105" ht="13.95" customHeight="1">
      <c r="A125" s="178" t="s">
        <v>142</v>
      </c>
      <c r="B125" s="179">
        <f>24/60</f>
        <v>0.4</v>
      </c>
      <c r="C125" s="179">
        <f>C123/C124</f>
        <v>0.37014285714285716</v>
      </c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</row>
    <row r="126" spans="1:105" ht="13.95" customHeight="1">
      <c r="A126" s="289" t="s">
        <v>190</v>
      </c>
      <c r="B126" s="290"/>
      <c r="C126" s="29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</row>
    <row r="127" spans="1:105" ht="13.95" customHeight="1">
      <c r="A127" s="170"/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</row>
    <row r="128" spans="1:105" ht="13.95" customHeight="1">
      <c r="A128" s="435" t="s">
        <v>143</v>
      </c>
      <c r="B128" s="435"/>
      <c r="C128" s="251"/>
      <c r="D128" s="169"/>
      <c r="E128" s="182"/>
      <c r="F128" s="121"/>
      <c r="G128" s="121"/>
      <c r="H128" s="183"/>
      <c r="I128" s="121"/>
      <c r="J128" s="121"/>
      <c r="K128" s="170"/>
      <c r="L128" s="170"/>
      <c r="M128" s="170"/>
      <c r="N128" s="170"/>
      <c r="O128" s="172"/>
      <c r="P128" s="172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DA128" s="109"/>
    </row>
    <row r="129" spans="1:105" ht="13.95" customHeight="1">
      <c r="A129" s="178" t="s">
        <v>144</v>
      </c>
      <c r="B129" s="264">
        <v>33.6</v>
      </c>
      <c r="C129" s="251"/>
      <c r="D129" s="182"/>
      <c r="E129" s="183"/>
      <c r="F129" s="121"/>
      <c r="G129" s="121"/>
      <c r="H129" s="183"/>
      <c r="I129" s="121"/>
      <c r="J129" s="121"/>
      <c r="K129" s="170"/>
      <c r="L129" s="170"/>
      <c r="M129" s="170"/>
      <c r="N129" s="170"/>
      <c r="O129" s="172"/>
      <c r="P129" s="172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DA129" s="109"/>
    </row>
    <row r="130" spans="1:105" ht="13.95" customHeight="1">
      <c r="A130" s="178" t="s">
        <v>145</v>
      </c>
      <c r="B130" s="264">
        <v>17.8</v>
      </c>
      <c r="C130" s="251"/>
      <c r="D130" s="182"/>
      <c r="E130" s="182"/>
      <c r="F130" s="121"/>
      <c r="G130" s="121"/>
      <c r="H130" s="183"/>
      <c r="I130" s="121"/>
      <c r="J130" s="121"/>
      <c r="K130" s="170"/>
      <c r="L130" s="170"/>
      <c r="M130" s="170"/>
      <c r="N130" s="170"/>
      <c r="O130" s="170"/>
      <c r="P130" s="170"/>
      <c r="Q130" s="170"/>
      <c r="R130" s="184"/>
      <c r="S130" s="171"/>
      <c r="T130" s="171"/>
      <c r="U130" s="171"/>
      <c r="V130" s="172"/>
      <c r="W130" s="172"/>
      <c r="X130" s="172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DA130" s="109"/>
    </row>
    <row r="131" spans="1:105">
      <c r="A131" s="430"/>
      <c r="B131" s="430"/>
      <c r="C131" s="185"/>
      <c r="D131" s="180"/>
      <c r="E131" s="182"/>
      <c r="F131" s="167"/>
      <c r="G131" s="165"/>
      <c r="H131" s="183"/>
      <c r="I131" s="121"/>
      <c r="J131" s="121"/>
      <c r="K131" s="170"/>
      <c r="L131" s="170"/>
      <c r="M131" s="170"/>
      <c r="N131" s="170"/>
      <c r="O131" s="110"/>
      <c r="P131" s="186"/>
      <c r="Q131" s="110"/>
      <c r="R131" s="186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DA131" s="109"/>
    </row>
    <row r="132" spans="1:105">
      <c r="A132" s="178" t="s">
        <v>146</v>
      </c>
      <c r="B132" s="264">
        <v>0.94</v>
      </c>
      <c r="C132" s="251"/>
      <c r="D132" s="182"/>
      <c r="E132" s="109"/>
      <c r="F132" s="121"/>
      <c r="G132" s="121"/>
      <c r="H132" s="183"/>
      <c r="I132" s="121"/>
      <c r="J132" s="121"/>
      <c r="K132" s="170"/>
      <c r="L132" s="170"/>
      <c r="M132" s="170"/>
      <c r="N132" s="170"/>
      <c r="O132" s="110"/>
      <c r="P132" s="186"/>
      <c r="Q132" s="110"/>
      <c r="R132" s="186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DA132" s="109"/>
    </row>
    <row r="133" spans="1:105">
      <c r="A133" s="178" t="s">
        <v>147</v>
      </c>
      <c r="B133" s="264">
        <v>0.45</v>
      </c>
      <c r="C133" s="251"/>
      <c r="D133" s="182"/>
      <c r="E133" s="109"/>
      <c r="F133" s="109"/>
      <c r="G133" s="109"/>
      <c r="H133" s="183"/>
      <c r="I133" s="167"/>
      <c r="J133" s="165"/>
      <c r="K133" s="170"/>
      <c r="L133" s="170"/>
      <c r="M133" s="170"/>
      <c r="N133" s="170"/>
      <c r="O133" s="110"/>
      <c r="P133" s="186"/>
      <c r="Q133" s="110"/>
      <c r="R133" s="186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DA133" s="109"/>
    </row>
    <row r="134" spans="1:105">
      <c r="A134" s="109" t="s">
        <v>148</v>
      </c>
      <c r="B134" s="109"/>
      <c r="C134" s="109"/>
      <c r="D134" s="109"/>
      <c r="E134" s="109"/>
      <c r="F134" s="109"/>
      <c r="G134" s="109"/>
      <c r="H134" s="121"/>
      <c r="I134" s="121"/>
      <c r="J134" s="121"/>
      <c r="K134" s="170"/>
      <c r="L134" s="170"/>
      <c r="M134" s="170"/>
      <c r="N134" s="170"/>
      <c r="O134" s="186"/>
      <c r="P134" s="110"/>
      <c r="Q134" s="186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</row>
    <row r="135" spans="1:105" ht="13.2" customHeight="1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21"/>
      <c r="L135" s="180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</row>
    <row r="136" spans="1:105" ht="13.2" customHeight="1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</row>
    <row r="137" spans="1:10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21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</row>
    <row r="138" spans="1:10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</row>
    <row r="139" spans="1:10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</row>
    <row r="140" spans="1:10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</row>
    <row r="141" spans="1:10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</row>
    <row r="142" spans="1:10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</row>
    <row r="143" spans="1:10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</row>
    <row r="144" spans="1:10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</row>
    <row r="145" spans="1:78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</row>
    <row r="146" spans="1:78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</row>
    <row r="147" spans="1:78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</row>
    <row r="148" spans="1:78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</row>
    <row r="149" spans="1:78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</row>
    <row r="150" spans="1:78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</row>
    <row r="151" spans="1:78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</row>
    <row r="152" spans="1:78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</row>
    <row r="153" spans="1:78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</row>
    <row r="154" spans="1:78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</row>
    <row r="155" spans="1:78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</row>
    <row r="156" spans="1:78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</row>
    <row r="157" spans="1:78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</row>
    <row r="158" spans="1:78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</row>
    <row r="159" spans="1:78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</row>
    <row r="160" spans="1:78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</row>
    <row r="161" spans="1:78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</row>
    <row r="162" spans="1:78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</row>
    <row r="163" spans="1:78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</row>
    <row r="164" spans="1:78" ht="18">
      <c r="A164" s="267" t="s">
        <v>149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</row>
    <row r="165" spans="1:78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</row>
    <row r="166" spans="1:78">
      <c r="A166" s="414"/>
      <c r="B166" s="413"/>
      <c r="C166" s="413"/>
      <c r="D166" s="413"/>
      <c r="E166" s="413"/>
      <c r="F166" s="413"/>
      <c r="G166" s="413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</row>
    <row r="167" spans="1:78">
      <c r="A167" s="414"/>
      <c r="B167" s="189"/>
      <c r="C167" s="190"/>
      <c r="D167" s="190"/>
      <c r="E167" s="189"/>
      <c r="F167" s="190"/>
      <c r="G167" s="190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</row>
    <row r="168" spans="1:78">
      <c r="A168" s="111"/>
      <c r="B168" s="110"/>
      <c r="C168" s="110"/>
      <c r="D168" s="110"/>
      <c r="E168" s="110"/>
      <c r="F168" s="110"/>
      <c r="G168" s="110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</row>
    <row r="169" spans="1:78">
      <c r="A169" s="111"/>
      <c r="B169" s="110"/>
      <c r="C169" s="110"/>
      <c r="D169" s="110"/>
      <c r="E169" s="110"/>
      <c r="F169" s="110"/>
      <c r="G169" s="110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</row>
    <row r="170" spans="1:78">
      <c r="A170" s="111"/>
      <c r="B170" s="110"/>
      <c r="C170" s="110"/>
      <c r="D170" s="110"/>
      <c r="E170" s="110"/>
      <c r="F170" s="110"/>
      <c r="G170" s="110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</row>
    <row r="171" spans="1:78">
      <c r="A171" s="111"/>
      <c r="B171" s="110"/>
      <c r="C171" s="110"/>
      <c r="D171" s="110"/>
      <c r="E171" s="110"/>
      <c r="F171" s="110"/>
      <c r="G171" s="110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</row>
    <row r="172" spans="1:78">
      <c r="A172" s="111"/>
      <c r="B172" s="110"/>
      <c r="C172" s="110"/>
      <c r="D172" s="110"/>
      <c r="E172" s="110"/>
      <c r="F172" s="110"/>
      <c r="G172" s="110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</row>
    <row r="173" spans="1:78">
      <c r="A173" s="111"/>
      <c r="B173" s="110"/>
      <c r="C173" s="110"/>
      <c r="D173" s="110"/>
      <c r="E173" s="110"/>
      <c r="F173" s="110"/>
      <c r="G173" s="110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</row>
    <row r="174" spans="1:78">
      <c r="A174" s="111"/>
      <c r="B174" s="110"/>
      <c r="C174" s="110"/>
      <c r="D174" s="110"/>
      <c r="E174" s="110"/>
      <c r="F174" s="110"/>
      <c r="G174" s="110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</row>
    <row r="175" spans="1:78">
      <c r="A175" s="111"/>
      <c r="B175" s="110"/>
      <c r="C175" s="110"/>
      <c r="D175" s="110"/>
      <c r="E175" s="110"/>
      <c r="F175" s="110"/>
      <c r="G175" s="110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</row>
    <row r="176" spans="1:78">
      <c r="A176" s="111"/>
      <c r="B176" s="110"/>
      <c r="C176" s="110"/>
      <c r="D176" s="110"/>
      <c r="E176" s="110"/>
      <c r="F176" s="110"/>
      <c r="G176" s="110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</row>
    <row r="177" spans="1:78">
      <c r="A177" s="111"/>
      <c r="B177" s="110"/>
      <c r="C177" s="110"/>
      <c r="D177" s="110"/>
      <c r="E177" s="110"/>
      <c r="F177" s="110"/>
      <c r="G177" s="110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</row>
    <row r="178" spans="1:78">
      <c r="A178" s="111"/>
      <c r="B178" s="110"/>
      <c r="C178" s="110"/>
      <c r="D178" s="110"/>
      <c r="E178" s="110"/>
      <c r="F178" s="110"/>
      <c r="G178" s="110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</row>
    <row r="179" spans="1:78">
      <c r="A179" s="111"/>
      <c r="B179" s="110"/>
      <c r="C179" s="110"/>
      <c r="D179" s="110"/>
      <c r="E179" s="110"/>
      <c r="F179" s="110"/>
      <c r="G179" s="110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09"/>
      <c r="BS179" s="109"/>
      <c r="BT179" s="109"/>
      <c r="BU179" s="109"/>
      <c r="BV179" s="109"/>
      <c r="BW179" s="109"/>
      <c r="BX179" s="109"/>
      <c r="BY179" s="109"/>
      <c r="BZ179" s="109"/>
    </row>
    <row r="180" spans="1:78">
      <c r="A180" s="111"/>
      <c r="B180" s="110"/>
      <c r="C180" s="110"/>
      <c r="D180" s="110"/>
      <c r="E180" s="110"/>
      <c r="F180" s="110"/>
      <c r="G180" s="110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</row>
    <row r="181" spans="1:78">
      <c r="A181" s="111"/>
      <c r="B181" s="110"/>
      <c r="C181" s="110"/>
      <c r="D181" s="110"/>
      <c r="E181" s="110"/>
      <c r="F181" s="110"/>
      <c r="G181" s="110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09"/>
      <c r="BY181" s="109"/>
      <c r="BZ181" s="109"/>
    </row>
    <row r="182" spans="1:78">
      <c r="A182" s="111"/>
      <c r="B182" s="110"/>
      <c r="C182" s="110"/>
      <c r="D182" s="110"/>
      <c r="E182" s="110"/>
      <c r="F182" s="110"/>
      <c r="G182" s="110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</row>
    <row r="183" spans="1:78">
      <c r="A183" s="111"/>
      <c r="B183" s="110"/>
      <c r="C183" s="110"/>
      <c r="D183" s="110"/>
      <c r="E183" s="110"/>
      <c r="F183" s="110"/>
      <c r="G183" s="110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109"/>
      <c r="BV183" s="109"/>
      <c r="BW183" s="109"/>
      <c r="BX183" s="109"/>
      <c r="BY183" s="109"/>
      <c r="BZ183" s="109"/>
    </row>
    <row r="184" spans="1:78">
      <c r="A184" s="111"/>
      <c r="B184" s="110"/>
      <c r="C184" s="110"/>
      <c r="D184" s="110"/>
      <c r="E184" s="110"/>
      <c r="F184" s="110"/>
      <c r="G184" s="110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</row>
    <row r="185" spans="1:78">
      <c r="A185" s="111"/>
      <c r="B185" s="110"/>
      <c r="C185" s="110"/>
      <c r="D185" s="110"/>
      <c r="E185" s="110"/>
      <c r="F185" s="110"/>
      <c r="G185" s="110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</row>
    <row r="186" spans="1:78">
      <c r="A186" s="111"/>
      <c r="B186" s="110"/>
      <c r="C186" s="110"/>
      <c r="D186" s="110"/>
      <c r="E186" s="110"/>
      <c r="F186" s="110"/>
      <c r="G186" s="110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</row>
    <row r="187" spans="1:78">
      <c r="A187" s="111"/>
      <c r="B187" s="110"/>
      <c r="C187" s="110"/>
      <c r="D187" s="110"/>
      <c r="E187" s="110"/>
      <c r="F187" s="110"/>
      <c r="G187" s="110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109"/>
      <c r="BR187" s="109"/>
      <c r="BS187" s="109"/>
      <c r="BT187" s="109"/>
      <c r="BU187" s="109"/>
      <c r="BV187" s="109"/>
      <c r="BW187" s="109"/>
      <c r="BX187" s="109"/>
      <c r="BY187" s="109"/>
      <c r="BZ187" s="109"/>
    </row>
    <row r="188" spans="1:78">
      <c r="A188" s="111"/>
      <c r="B188" s="110"/>
      <c r="C188" s="110"/>
      <c r="D188" s="110"/>
      <c r="E188" s="110"/>
      <c r="F188" s="110"/>
      <c r="G188" s="110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09"/>
      <c r="BO188" s="109"/>
      <c r="BP188" s="109"/>
      <c r="BQ188" s="109"/>
      <c r="BR188" s="109"/>
      <c r="BS188" s="109"/>
      <c r="BT188" s="109"/>
      <c r="BU188" s="109"/>
      <c r="BV188" s="109"/>
      <c r="BW188" s="109"/>
      <c r="BX188" s="109"/>
      <c r="BY188" s="109"/>
      <c r="BZ188" s="109"/>
    </row>
    <row r="189" spans="1:78">
      <c r="A189" s="111"/>
      <c r="B189" s="110"/>
      <c r="C189" s="110"/>
      <c r="D189" s="110"/>
      <c r="E189" s="110"/>
      <c r="F189" s="110"/>
      <c r="G189" s="110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  <c r="BK189" s="109"/>
      <c r="BL189" s="109"/>
      <c r="BM189" s="109"/>
      <c r="BN189" s="109"/>
      <c r="BO189" s="109"/>
      <c r="BP189" s="109"/>
      <c r="BQ189" s="109"/>
      <c r="BR189" s="109"/>
      <c r="BS189" s="109"/>
      <c r="BT189" s="109"/>
      <c r="BU189" s="109"/>
      <c r="BV189" s="109"/>
      <c r="BW189" s="109"/>
      <c r="BX189" s="109"/>
      <c r="BY189" s="109"/>
      <c r="BZ189" s="109"/>
    </row>
    <row r="190" spans="1:78">
      <c r="A190" s="111"/>
      <c r="B190" s="110"/>
      <c r="C190" s="110"/>
      <c r="D190" s="110"/>
      <c r="E190" s="110"/>
      <c r="F190" s="110"/>
      <c r="G190" s="110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</row>
    <row r="191" spans="1:78">
      <c r="A191" s="111"/>
      <c r="B191" s="110"/>
      <c r="C191" s="110"/>
      <c r="D191" s="110"/>
      <c r="E191" s="110"/>
      <c r="F191" s="110"/>
      <c r="G191" s="110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</row>
    <row r="192" spans="1:78">
      <c r="A192" s="111"/>
      <c r="B192" s="110"/>
      <c r="C192" s="110"/>
      <c r="D192" s="110"/>
      <c r="E192" s="110"/>
      <c r="F192" s="110"/>
      <c r="G192" s="110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109"/>
      <c r="BV192" s="109"/>
      <c r="BW192" s="109"/>
      <c r="BX192" s="109"/>
      <c r="BY192" s="109"/>
      <c r="BZ192" s="109"/>
    </row>
    <row r="193" spans="1:78">
      <c r="A193" s="111"/>
      <c r="B193" s="110"/>
      <c r="C193" s="110"/>
      <c r="D193" s="110"/>
      <c r="E193" s="110"/>
      <c r="F193" s="110"/>
      <c r="G193" s="110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  <c r="BK193" s="109"/>
      <c r="BL193" s="109"/>
      <c r="BM193" s="109"/>
      <c r="BN193" s="109"/>
      <c r="BO193" s="109"/>
      <c r="BP193" s="109"/>
      <c r="BQ193" s="109"/>
      <c r="BR193" s="109"/>
      <c r="BS193" s="109"/>
      <c r="BT193" s="109"/>
      <c r="BU193" s="109"/>
      <c r="BV193" s="109"/>
      <c r="BW193" s="109"/>
      <c r="BX193" s="109"/>
      <c r="BY193" s="109"/>
      <c r="BZ193" s="109"/>
    </row>
    <row r="194" spans="1:78">
      <c r="A194" s="111"/>
      <c r="B194" s="110"/>
      <c r="C194" s="110"/>
      <c r="D194" s="110"/>
      <c r="E194" s="110"/>
      <c r="F194" s="110"/>
      <c r="G194" s="110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09"/>
      <c r="BM194" s="109"/>
      <c r="BN194" s="109"/>
      <c r="BO194" s="109"/>
      <c r="BP194" s="109"/>
      <c r="BQ194" s="109"/>
      <c r="BR194" s="109"/>
      <c r="BS194" s="109"/>
      <c r="BT194" s="109"/>
      <c r="BU194" s="109"/>
      <c r="BV194" s="109"/>
      <c r="BW194" s="109"/>
      <c r="BX194" s="109"/>
      <c r="BY194" s="109"/>
      <c r="BZ194" s="109"/>
    </row>
    <row r="195" spans="1:78">
      <c r="A195" s="111"/>
      <c r="B195" s="110"/>
      <c r="C195" s="110"/>
      <c r="D195" s="110"/>
      <c r="E195" s="110"/>
      <c r="F195" s="110"/>
      <c r="G195" s="110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109"/>
      <c r="BY195" s="109"/>
      <c r="BZ195" s="109"/>
    </row>
    <row r="196" spans="1:78">
      <c r="A196" s="111"/>
      <c r="B196" s="110"/>
      <c r="C196" s="110"/>
      <c r="D196" s="110"/>
      <c r="E196" s="110"/>
      <c r="F196" s="110"/>
      <c r="G196" s="110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/>
      <c r="BV196" s="109"/>
      <c r="BW196" s="109"/>
      <c r="BX196" s="109"/>
      <c r="BY196" s="109"/>
      <c r="BZ196" s="109"/>
    </row>
    <row r="197" spans="1:78">
      <c r="A197" s="111"/>
      <c r="B197" s="110"/>
      <c r="C197" s="110"/>
      <c r="D197" s="110"/>
      <c r="E197" s="110"/>
      <c r="F197" s="110"/>
      <c r="G197" s="110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109"/>
      <c r="BR197" s="109"/>
      <c r="BS197" s="109"/>
      <c r="BT197" s="109"/>
      <c r="BU197" s="109"/>
      <c r="BV197" s="109"/>
      <c r="BW197" s="109"/>
      <c r="BX197" s="109"/>
      <c r="BY197" s="109"/>
      <c r="BZ197" s="109"/>
    </row>
    <row r="198" spans="1:78">
      <c r="A198" s="111"/>
      <c r="B198" s="110"/>
      <c r="C198" s="110"/>
      <c r="D198" s="110"/>
      <c r="E198" s="110"/>
      <c r="F198" s="110"/>
      <c r="G198" s="110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</row>
    <row r="199" spans="1:78">
      <c r="A199" s="111"/>
      <c r="B199" s="110"/>
      <c r="C199" s="110"/>
      <c r="D199" s="110"/>
      <c r="E199" s="110"/>
      <c r="F199" s="110"/>
      <c r="G199" s="110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09"/>
      <c r="BM199" s="109"/>
      <c r="BN199" s="109"/>
      <c r="BO199" s="109"/>
      <c r="BP199" s="109"/>
      <c r="BQ199" s="109"/>
      <c r="BR199" s="109"/>
      <c r="BS199" s="109"/>
      <c r="BT199" s="109"/>
      <c r="BU199" s="109"/>
      <c r="BV199" s="109"/>
      <c r="BW199" s="109"/>
      <c r="BX199" s="109"/>
      <c r="BY199" s="109"/>
      <c r="BZ199" s="109"/>
    </row>
    <row r="200" spans="1:78">
      <c r="A200" s="111"/>
      <c r="B200" s="110"/>
      <c r="C200" s="110"/>
      <c r="D200" s="110"/>
      <c r="E200" s="110"/>
      <c r="F200" s="110"/>
      <c r="G200" s="110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09"/>
      <c r="BY200" s="109"/>
      <c r="BZ200" s="109"/>
    </row>
    <row r="201" spans="1:78">
      <c r="A201" s="111"/>
      <c r="B201" s="110"/>
      <c r="C201" s="110"/>
      <c r="D201" s="110"/>
      <c r="E201" s="110"/>
      <c r="F201" s="110"/>
      <c r="G201" s="110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09"/>
      <c r="BY201" s="109"/>
      <c r="BZ201" s="109"/>
    </row>
    <row r="202" spans="1:78">
      <c r="A202" s="111"/>
      <c r="B202" s="110"/>
      <c r="C202" s="110"/>
      <c r="D202" s="110"/>
      <c r="E202" s="110"/>
      <c r="F202" s="110"/>
      <c r="G202" s="110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09"/>
      <c r="BY202" s="109"/>
      <c r="BZ202" s="109"/>
    </row>
    <row r="203" spans="1:78">
      <c r="A203" s="111"/>
      <c r="B203" s="110"/>
      <c r="C203" s="110"/>
      <c r="D203" s="110"/>
      <c r="E203" s="110"/>
      <c r="F203" s="110"/>
      <c r="G203" s="110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09"/>
      <c r="BY203" s="109"/>
      <c r="BZ203" s="109"/>
    </row>
    <row r="204" spans="1:78">
      <c r="A204" s="111"/>
      <c r="B204" s="110"/>
      <c r="C204" s="110"/>
      <c r="D204" s="110"/>
      <c r="E204" s="110"/>
      <c r="F204" s="110"/>
      <c r="G204" s="110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09"/>
      <c r="BY204" s="109"/>
      <c r="BZ204" s="109"/>
    </row>
    <row r="205" spans="1:78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</row>
    <row r="206" spans="1:78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09"/>
    </row>
    <row r="207" spans="1:78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09"/>
      <c r="BO207" s="109"/>
      <c r="BP207" s="109"/>
      <c r="BQ207" s="109"/>
      <c r="BR207" s="109"/>
      <c r="BS207" s="109"/>
      <c r="BT207" s="109"/>
      <c r="BU207" s="109"/>
      <c r="BV207" s="109"/>
      <c r="BW207" s="109"/>
      <c r="BX207" s="109"/>
      <c r="BY207" s="109"/>
      <c r="BZ207" s="109"/>
    </row>
    <row r="208" spans="1:78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109"/>
      <c r="BW208" s="109"/>
      <c r="BX208" s="109"/>
      <c r="BY208" s="109"/>
      <c r="BZ208" s="109"/>
    </row>
    <row r="209" spans="1:78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09"/>
      <c r="BM209" s="109"/>
      <c r="BN209" s="109"/>
      <c r="BO209" s="109"/>
      <c r="BP209" s="109"/>
      <c r="BQ209" s="109"/>
      <c r="BR209" s="109"/>
      <c r="BS209" s="109"/>
      <c r="BT209" s="109"/>
      <c r="BU209" s="109"/>
      <c r="BV209" s="109"/>
      <c r="BW209" s="109"/>
      <c r="BX209" s="109"/>
      <c r="BY209" s="109"/>
      <c r="BZ209" s="109"/>
    </row>
    <row r="210" spans="1:78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09"/>
      <c r="BS210" s="109"/>
      <c r="BT210" s="109"/>
      <c r="BU210" s="109"/>
      <c r="BV210" s="109"/>
      <c r="BW210" s="109"/>
      <c r="BX210" s="109"/>
      <c r="BY210" s="109"/>
      <c r="BZ210" s="109"/>
    </row>
    <row r="211" spans="1:78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</row>
    <row r="212" spans="1:78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</row>
    <row r="213" spans="1:78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</row>
    <row r="214" spans="1:78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</row>
    <row r="215" spans="1:78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</row>
    <row r="216" spans="1:78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</row>
    <row r="217" spans="1:78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</row>
    <row r="218" spans="1:78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09"/>
      <c r="BS218" s="109"/>
      <c r="BT218" s="109"/>
      <c r="BU218" s="109"/>
      <c r="BV218" s="109"/>
      <c r="BW218" s="109"/>
      <c r="BX218" s="109"/>
      <c r="BY218" s="109"/>
      <c r="BZ218" s="109"/>
    </row>
    <row r="219" spans="1:78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09"/>
      <c r="BS219" s="109"/>
      <c r="BT219" s="109"/>
      <c r="BU219" s="109"/>
      <c r="BV219" s="109"/>
      <c r="BW219" s="109"/>
      <c r="BX219" s="109"/>
      <c r="BY219" s="109"/>
      <c r="BZ219" s="109"/>
    </row>
    <row r="220" spans="1:78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</row>
    <row r="221" spans="1:78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</row>
    <row r="222" spans="1:78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</row>
    <row r="223" spans="1:78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</row>
    <row r="224" spans="1:78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</row>
    <row r="225" spans="1:78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</row>
    <row r="226" spans="1:78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</row>
    <row r="227" spans="1:78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</row>
    <row r="228" spans="1:78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</row>
    <row r="229" spans="1:78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</row>
    <row r="230" spans="1:78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</row>
    <row r="231" spans="1:78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09"/>
      <c r="BM231" s="109"/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</row>
    <row r="232" spans="1:78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09"/>
      <c r="BM232" s="109"/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</row>
    <row r="233" spans="1:78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09"/>
      <c r="BM233" s="109"/>
      <c r="BN233" s="109"/>
      <c r="BO233" s="109"/>
      <c r="BP233" s="109"/>
      <c r="BQ233" s="109"/>
      <c r="BR233" s="109"/>
      <c r="BS233" s="109"/>
      <c r="BT233" s="109"/>
      <c r="BU233" s="109"/>
      <c r="BV233" s="109"/>
      <c r="BW233" s="109"/>
      <c r="BX233" s="109"/>
      <c r="BY233" s="109"/>
      <c r="BZ233" s="109"/>
    </row>
    <row r="234" spans="1:78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09"/>
      <c r="BM234" s="109"/>
      <c r="BN234" s="109"/>
      <c r="BO234" s="109"/>
      <c r="BP234" s="109"/>
      <c r="BQ234" s="109"/>
      <c r="BR234" s="109"/>
      <c r="BS234" s="109"/>
      <c r="BT234" s="109"/>
      <c r="BU234" s="109"/>
      <c r="BV234" s="109"/>
      <c r="BW234" s="109"/>
      <c r="BX234" s="109"/>
      <c r="BY234" s="109"/>
      <c r="BZ234" s="109"/>
    </row>
    <row r="235" spans="1:78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109"/>
      <c r="BR235" s="109"/>
      <c r="BS235" s="109"/>
      <c r="BT235" s="109"/>
      <c r="BU235" s="109"/>
      <c r="BV235" s="109"/>
      <c r="BW235" s="109"/>
      <c r="BX235" s="109"/>
      <c r="BY235" s="109"/>
      <c r="BZ235" s="109"/>
    </row>
    <row r="236" spans="1:78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09"/>
    </row>
    <row r="237" spans="1:78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09"/>
      <c r="BO237" s="109"/>
      <c r="BP237" s="109"/>
      <c r="BQ237" s="109"/>
      <c r="BR237" s="109"/>
      <c r="BS237" s="109"/>
      <c r="BT237" s="109"/>
      <c r="BU237" s="109"/>
      <c r="BV237" s="109"/>
      <c r="BW237" s="109"/>
      <c r="BX237" s="109"/>
      <c r="BY237" s="109"/>
      <c r="BZ237" s="109"/>
    </row>
    <row r="238" spans="1:78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09"/>
      <c r="BO238" s="109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</row>
    <row r="239" spans="1:78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</row>
    <row r="240" spans="1:78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</row>
    <row r="241" spans="1:78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</row>
    <row r="242" spans="1:78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</row>
    <row r="243" spans="1:78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</row>
    <row r="244" spans="1:78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</row>
    <row r="245" spans="1:78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</row>
    <row r="246" spans="1:78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</row>
    <row r="247" spans="1:78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</row>
    <row r="248" spans="1:78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09"/>
      <c r="BM248" s="109"/>
      <c r="BN248" s="109"/>
      <c r="BO248" s="109"/>
      <c r="BP248" s="109"/>
      <c r="BQ248" s="109"/>
      <c r="BR248" s="109"/>
      <c r="BS248" s="109"/>
      <c r="BT248" s="109"/>
      <c r="BU248" s="109"/>
      <c r="BV248" s="109"/>
      <c r="BW248" s="109"/>
      <c r="BX248" s="109"/>
      <c r="BY248" s="109"/>
      <c r="BZ248" s="109"/>
    </row>
    <row r="249" spans="1:78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</row>
    <row r="250" spans="1:78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</row>
    <row r="251" spans="1:78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</row>
    <row r="252" spans="1:78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09"/>
      <c r="BY252" s="109"/>
      <c r="BZ252" s="109"/>
    </row>
    <row r="253" spans="1:78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09"/>
      <c r="BY253" s="109"/>
      <c r="BZ253" s="109"/>
    </row>
    <row r="254" spans="1:78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09"/>
      <c r="BY254" s="109"/>
      <c r="BZ254" s="109"/>
    </row>
    <row r="255" spans="1:78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09"/>
      <c r="BY255" s="109"/>
      <c r="BZ255" s="109"/>
    </row>
    <row r="256" spans="1:78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09"/>
      <c r="BQ256" s="109"/>
      <c r="BR256" s="109"/>
      <c r="BS256" s="109"/>
      <c r="BT256" s="109"/>
      <c r="BU256" s="109"/>
      <c r="BV256" s="109"/>
      <c r="BW256" s="109"/>
      <c r="BX256" s="109"/>
      <c r="BY256" s="109"/>
      <c r="BZ256" s="109"/>
    </row>
    <row r="257" spans="1:78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  <c r="BH257" s="109"/>
      <c r="BI257" s="109"/>
      <c r="BJ257" s="109"/>
      <c r="BK257" s="109"/>
      <c r="BL257" s="109"/>
      <c r="BM257" s="109"/>
      <c r="BN257" s="109"/>
      <c r="BO257" s="109"/>
      <c r="BP257" s="109"/>
      <c r="BQ257" s="109"/>
      <c r="BR257" s="109"/>
      <c r="BS257" s="109"/>
      <c r="BT257" s="109"/>
      <c r="BU257" s="109"/>
      <c r="BV257" s="109"/>
      <c r="BW257" s="109"/>
      <c r="BX257" s="109"/>
      <c r="BY257" s="109"/>
      <c r="BZ257" s="109"/>
    </row>
    <row r="258" spans="1:78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09"/>
      <c r="BE258" s="109"/>
      <c r="BF258" s="109"/>
      <c r="BG258" s="109"/>
      <c r="BH258" s="109"/>
      <c r="BI258" s="109"/>
      <c r="BJ258" s="109"/>
      <c r="BK258" s="109"/>
      <c r="BL258" s="109"/>
      <c r="BM258" s="109"/>
      <c r="BN258" s="109"/>
      <c r="BO258" s="109"/>
      <c r="BP258" s="109"/>
      <c r="BQ258" s="109"/>
      <c r="BR258" s="109"/>
      <c r="BS258" s="109"/>
      <c r="BT258" s="109"/>
      <c r="BU258" s="109"/>
      <c r="BV258" s="109"/>
      <c r="BW258" s="109"/>
      <c r="BX258" s="109"/>
      <c r="BY258" s="109"/>
      <c r="BZ258" s="109"/>
    </row>
    <row r="259" spans="1:78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109"/>
      <c r="BR259" s="109"/>
      <c r="BS259" s="109"/>
      <c r="BT259" s="109"/>
      <c r="BU259" s="109"/>
      <c r="BV259" s="109"/>
      <c r="BW259" s="109"/>
      <c r="BX259" s="109"/>
      <c r="BY259" s="109"/>
      <c r="BZ259" s="109"/>
    </row>
    <row r="260" spans="1:78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09"/>
      <c r="BY260" s="109"/>
      <c r="BZ260" s="109"/>
    </row>
    <row r="261" spans="1:78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09"/>
      <c r="BR261" s="109"/>
      <c r="BS261" s="109"/>
      <c r="BT261" s="109"/>
      <c r="BU261" s="109"/>
      <c r="BV261" s="109"/>
      <c r="BW261" s="109"/>
      <c r="BX261" s="109"/>
      <c r="BY261" s="109"/>
      <c r="BZ261" s="109"/>
    </row>
    <row r="262" spans="1:78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  <c r="BS262" s="109"/>
      <c r="BT262" s="109"/>
      <c r="BU262" s="109"/>
      <c r="BV262" s="109"/>
      <c r="BW262" s="109"/>
      <c r="BX262" s="109"/>
      <c r="BY262" s="109"/>
      <c r="BZ262" s="109"/>
    </row>
    <row r="263" spans="1:78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  <c r="BI263" s="109"/>
      <c r="BJ263" s="109"/>
      <c r="BK263" s="109"/>
      <c r="BL263" s="109"/>
      <c r="BM263" s="109"/>
      <c r="BN263" s="109"/>
      <c r="BO263" s="109"/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/>
      <c r="BZ263" s="109"/>
    </row>
    <row r="264" spans="1:78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09"/>
      <c r="BE264" s="109"/>
      <c r="BF264" s="109"/>
      <c r="BG264" s="109"/>
      <c r="BH264" s="109"/>
      <c r="BI264" s="109"/>
      <c r="BJ264" s="109"/>
      <c r="BK264" s="109"/>
      <c r="BL264" s="109"/>
      <c r="BM264" s="109"/>
      <c r="BN264" s="109"/>
      <c r="BO264" s="109"/>
      <c r="BP264" s="109"/>
      <c r="BQ264" s="109"/>
      <c r="BR264" s="109"/>
      <c r="BS264" s="109"/>
      <c r="BT264" s="109"/>
      <c r="BU264" s="109"/>
      <c r="BV264" s="109"/>
      <c r="BW264" s="109"/>
      <c r="BX264" s="109"/>
      <c r="BY264" s="109"/>
      <c r="BZ264" s="109"/>
    </row>
    <row r="265" spans="1:78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09"/>
      <c r="BH265" s="109"/>
      <c r="BI265" s="109"/>
      <c r="BJ265" s="109"/>
      <c r="BK265" s="109"/>
      <c r="BL265" s="109"/>
      <c r="BM265" s="109"/>
      <c r="BN265" s="109"/>
      <c r="BO265" s="109"/>
      <c r="BP265" s="109"/>
      <c r="BQ265" s="109"/>
      <c r="BR265" s="109"/>
      <c r="BS265" s="109"/>
      <c r="BT265" s="109"/>
      <c r="BU265" s="109"/>
      <c r="BV265" s="109"/>
      <c r="BW265" s="109"/>
      <c r="BX265" s="109"/>
      <c r="BY265" s="109"/>
      <c r="BZ265" s="109"/>
    </row>
    <row r="266" spans="1:78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  <c r="BH266" s="109"/>
      <c r="BI266" s="109"/>
      <c r="BJ266" s="109"/>
      <c r="BK266" s="109"/>
      <c r="BL266" s="109"/>
      <c r="BM266" s="109"/>
      <c r="BN266" s="109"/>
      <c r="BO266" s="109"/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09"/>
      <c r="BZ266" s="109"/>
    </row>
    <row r="267" spans="1:78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</row>
    <row r="268" spans="1:78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09"/>
      <c r="BP268" s="109"/>
      <c r="BQ268" s="109"/>
      <c r="BR268" s="109"/>
      <c r="BS268" s="109"/>
      <c r="BT268" s="109"/>
      <c r="BU268" s="109"/>
      <c r="BV268" s="109"/>
      <c r="BW268" s="109"/>
      <c r="BX268" s="109"/>
      <c r="BY268" s="109"/>
      <c r="BZ268" s="109"/>
    </row>
    <row r="269" spans="1:78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109"/>
      <c r="BV269" s="109"/>
      <c r="BW269" s="109"/>
      <c r="BX269" s="109"/>
      <c r="BY269" s="109"/>
      <c r="BZ269" s="109"/>
    </row>
    <row r="270" spans="1:78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</row>
    <row r="271" spans="1:78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09"/>
      <c r="BV271" s="109"/>
      <c r="BW271" s="109"/>
      <c r="BX271" s="109"/>
      <c r="BY271" s="109"/>
      <c r="BZ271" s="109"/>
    </row>
    <row r="272" spans="1:78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09"/>
      <c r="BV272" s="109"/>
      <c r="BW272" s="109"/>
      <c r="BX272" s="109"/>
      <c r="BY272" s="109"/>
      <c r="BZ272" s="109"/>
    </row>
    <row r="273" spans="1:78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  <c r="BH273" s="109"/>
      <c r="BI273" s="109"/>
      <c r="BJ273" s="109"/>
      <c r="BK273" s="109"/>
      <c r="BL273" s="109"/>
      <c r="BM273" s="109"/>
      <c r="BN273" s="109"/>
      <c r="BO273" s="109"/>
      <c r="BP273" s="109"/>
      <c r="BQ273" s="109"/>
      <c r="BR273" s="109"/>
      <c r="BS273" s="109"/>
      <c r="BT273" s="109"/>
      <c r="BU273" s="109"/>
      <c r="BV273" s="109"/>
      <c r="BW273" s="109"/>
      <c r="BX273" s="109"/>
      <c r="BY273" s="109"/>
      <c r="BZ273" s="109"/>
    </row>
    <row r="274" spans="1:78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</row>
    <row r="275" spans="1:78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09"/>
      <c r="BQ275" s="109"/>
      <c r="BR275" s="109"/>
      <c r="BS275" s="109"/>
      <c r="BT275" s="109"/>
      <c r="BU275" s="109"/>
      <c r="BV275" s="109"/>
      <c r="BW275" s="109"/>
      <c r="BX275" s="109"/>
      <c r="BY275" s="109"/>
      <c r="BZ275" s="109"/>
    </row>
    <row r="276" spans="1:78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09"/>
      <c r="BQ276" s="109"/>
      <c r="BR276" s="109"/>
      <c r="BS276" s="109"/>
      <c r="BT276" s="109"/>
      <c r="BU276" s="109"/>
      <c r="BV276" s="109"/>
      <c r="BW276" s="109"/>
      <c r="BX276" s="109"/>
      <c r="BY276" s="109"/>
      <c r="BZ276" s="109"/>
    </row>
    <row r="277" spans="1:78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/>
      <c r="BV277" s="109"/>
      <c r="BW277" s="109"/>
      <c r="BX277" s="109"/>
      <c r="BY277" s="109"/>
      <c r="BZ277" s="109"/>
    </row>
    <row r="278" spans="1:78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09"/>
      <c r="BV278" s="109"/>
      <c r="BW278" s="109"/>
      <c r="BX278" s="109"/>
      <c r="BY278" s="109"/>
      <c r="BZ278" s="109"/>
    </row>
    <row r="279" spans="1:78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109"/>
      <c r="BY279" s="109"/>
      <c r="BZ279" s="109"/>
    </row>
    <row r="280" spans="1:78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09"/>
      <c r="BQ280" s="109"/>
      <c r="BR280" s="109"/>
      <c r="BS280" s="109"/>
      <c r="BT280" s="109"/>
      <c r="BU280" s="109"/>
      <c r="BV280" s="109"/>
      <c r="BW280" s="109"/>
      <c r="BX280" s="109"/>
      <c r="BY280" s="109"/>
      <c r="BZ280" s="109"/>
    </row>
    <row r="281" spans="1:78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/>
      <c r="BV281" s="109"/>
      <c r="BW281" s="109"/>
      <c r="BX281" s="109"/>
      <c r="BY281" s="109"/>
      <c r="BZ281" s="109"/>
    </row>
    <row r="282" spans="1:78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/>
      <c r="BV282" s="109"/>
      <c r="BW282" s="109"/>
      <c r="BX282" s="109"/>
      <c r="BY282" s="109"/>
      <c r="BZ282" s="109"/>
    </row>
    <row r="283" spans="1:78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09"/>
      <c r="BV283" s="109"/>
      <c r="BW283" s="109"/>
      <c r="BX283" s="109"/>
      <c r="BY283" s="109"/>
      <c r="BZ283" s="109"/>
    </row>
    <row r="284" spans="1:78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109"/>
      <c r="BY284" s="109"/>
      <c r="BZ284" s="109"/>
    </row>
    <row r="285" spans="1:78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09"/>
      <c r="BR285" s="109"/>
      <c r="BS285" s="109"/>
      <c r="BT285" s="109"/>
      <c r="BU285" s="109"/>
      <c r="BV285" s="109"/>
      <c r="BW285" s="109"/>
      <c r="BX285" s="109"/>
      <c r="BY285" s="109"/>
      <c r="BZ285" s="109"/>
    </row>
    <row r="286" spans="1:78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09"/>
      <c r="BZ286" s="109"/>
    </row>
    <row r="287" spans="1:78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  <c r="BP287" s="109"/>
      <c r="BQ287" s="109"/>
      <c r="BR287" s="109"/>
      <c r="BS287" s="109"/>
      <c r="BT287" s="109"/>
      <c r="BU287" s="109"/>
      <c r="BV287" s="109"/>
      <c r="BW287" s="109"/>
      <c r="BX287" s="109"/>
      <c r="BY287" s="109"/>
      <c r="BZ287" s="109"/>
    </row>
    <row r="288" spans="1:78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09"/>
      <c r="BV288" s="109"/>
      <c r="BW288" s="109"/>
      <c r="BX288" s="109"/>
      <c r="BY288" s="109"/>
      <c r="BZ288" s="109"/>
    </row>
    <row r="289" spans="1:78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09"/>
      <c r="BH289" s="109"/>
      <c r="BI289" s="109"/>
      <c r="BJ289" s="109"/>
      <c r="BK289" s="109"/>
      <c r="BL289" s="109"/>
      <c r="BM289" s="109"/>
      <c r="BN289" s="109"/>
      <c r="BO289" s="109"/>
      <c r="BP289" s="109"/>
      <c r="BQ289" s="109"/>
      <c r="BR289" s="109"/>
      <c r="BS289" s="109"/>
      <c r="BT289" s="109"/>
      <c r="BU289" s="109"/>
      <c r="BV289" s="109"/>
      <c r="BW289" s="109"/>
      <c r="BX289" s="109"/>
      <c r="BY289" s="109"/>
      <c r="BZ289" s="109"/>
    </row>
    <row r="290" spans="1:78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109"/>
      <c r="BR290" s="109"/>
      <c r="BS290" s="109"/>
      <c r="BT290" s="109"/>
      <c r="BU290" s="109"/>
      <c r="BV290" s="109"/>
      <c r="BW290" s="109"/>
      <c r="BX290" s="109"/>
      <c r="BY290" s="109"/>
      <c r="BZ290" s="109"/>
    </row>
    <row r="291" spans="1:78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09"/>
      <c r="BR291" s="109"/>
      <c r="BS291" s="109"/>
      <c r="BT291" s="109"/>
      <c r="BU291" s="109"/>
      <c r="BV291" s="109"/>
      <c r="BW291" s="109"/>
      <c r="BX291" s="109"/>
      <c r="BY291" s="109"/>
      <c r="BZ291" s="109"/>
    </row>
    <row r="292" spans="1:78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09"/>
      <c r="BR292" s="109"/>
      <c r="BS292" s="109"/>
      <c r="BT292" s="109"/>
      <c r="BU292" s="109"/>
      <c r="BV292" s="109"/>
      <c r="BW292" s="109"/>
      <c r="BX292" s="109"/>
      <c r="BY292" s="109"/>
      <c r="BZ292" s="109"/>
    </row>
    <row r="293" spans="1:78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09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9"/>
      <c r="BG293" s="109"/>
      <c r="BH293" s="109"/>
      <c r="BI293" s="109"/>
      <c r="BJ293" s="109"/>
      <c r="BK293" s="109"/>
      <c r="BL293" s="109"/>
      <c r="BM293" s="109"/>
      <c r="BN293" s="109"/>
      <c r="BO293" s="109"/>
      <c r="BP293" s="109"/>
      <c r="BQ293" s="109"/>
      <c r="BR293" s="109"/>
      <c r="BS293" s="109"/>
      <c r="BT293" s="109"/>
      <c r="BU293" s="109"/>
      <c r="BV293" s="109"/>
      <c r="BW293" s="109"/>
      <c r="BX293" s="109"/>
      <c r="BY293" s="109"/>
      <c r="BZ293" s="109"/>
    </row>
    <row r="294" spans="1:78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09"/>
      <c r="BE294" s="109"/>
      <c r="BF294" s="109"/>
      <c r="BG294" s="109"/>
      <c r="BH294" s="109"/>
      <c r="BI294" s="109"/>
      <c r="BJ294" s="109"/>
      <c r="BK294" s="109"/>
      <c r="BL294" s="109"/>
      <c r="BM294" s="109"/>
      <c r="BN294" s="109"/>
      <c r="BO294" s="109"/>
      <c r="BP294" s="109"/>
      <c r="BQ294" s="109"/>
      <c r="BR294" s="109"/>
      <c r="BS294" s="109"/>
      <c r="BT294" s="109"/>
      <c r="BU294" s="109"/>
      <c r="BV294" s="109"/>
      <c r="BW294" s="109"/>
      <c r="BX294" s="109"/>
      <c r="BY294" s="109"/>
      <c r="BZ294" s="109"/>
    </row>
    <row r="295" spans="1:78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09"/>
      <c r="BE295" s="109"/>
      <c r="BF295" s="109"/>
      <c r="BG295" s="109"/>
      <c r="BH295" s="109"/>
      <c r="BI295" s="109"/>
      <c r="BJ295" s="109"/>
      <c r="BK295" s="109"/>
      <c r="BL295" s="109"/>
      <c r="BM295" s="109"/>
      <c r="BN295" s="109"/>
      <c r="BO295" s="109"/>
      <c r="BP295" s="109"/>
      <c r="BQ295" s="109"/>
      <c r="BR295" s="109"/>
      <c r="BS295" s="109"/>
      <c r="BT295" s="109"/>
      <c r="BU295" s="109"/>
      <c r="BV295" s="109"/>
      <c r="BW295" s="109"/>
      <c r="BX295" s="109"/>
      <c r="BY295" s="109"/>
      <c r="BZ295" s="109"/>
    </row>
    <row r="296" spans="1:78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  <c r="BK296" s="109"/>
      <c r="BL296" s="109"/>
      <c r="BM296" s="109"/>
      <c r="BN296" s="109"/>
      <c r="BO296" s="109"/>
      <c r="BP296" s="109"/>
      <c r="BQ296" s="109"/>
      <c r="BR296" s="109"/>
      <c r="BS296" s="109"/>
      <c r="BT296" s="109"/>
      <c r="BU296" s="109"/>
      <c r="BV296" s="109"/>
      <c r="BW296" s="109"/>
      <c r="BX296" s="109"/>
      <c r="BY296" s="109"/>
      <c r="BZ296" s="109"/>
    </row>
    <row r="297" spans="1:78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  <c r="BH297" s="109"/>
      <c r="BI297" s="109"/>
      <c r="BJ297" s="109"/>
      <c r="BK297" s="109"/>
      <c r="BL297" s="109"/>
      <c r="BM297" s="109"/>
      <c r="BN297" s="109"/>
      <c r="BO297" s="109"/>
      <c r="BP297" s="109"/>
      <c r="BQ297" s="109"/>
      <c r="BR297" s="109"/>
      <c r="BS297" s="109"/>
      <c r="BT297" s="109"/>
      <c r="BU297" s="109"/>
      <c r="BV297" s="109"/>
      <c r="BW297" s="109"/>
      <c r="BX297" s="109"/>
      <c r="BY297" s="109"/>
      <c r="BZ297" s="109"/>
    </row>
    <row r="298" spans="1:78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09"/>
      <c r="BO298" s="109"/>
      <c r="BP298" s="109"/>
      <c r="BQ298" s="109"/>
      <c r="BR298" s="109"/>
      <c r="BS298" s="109"/>
      <c r="BT298" s="109"/>
      <c r="BU298" s="109"/>
      <c r="BV298" s="109"/>
      <c r="BW298" s="109"/>
      <c r="BX298" s="109"/>
      <c r="BY298" s="109"/>
      <c r="BZ298" s="109"/>
    </row>
    <row r="299" spans="1:78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09"/>
      <c r="BO299" s="109"/>
      <c r="BP299" s="109"/>
      <c r="BQ299" s="109"/>
      <c r="BR299" s="109"/>
      <c r="BS299" s="109"/>
      <c r="BT299" s="109"/>
      <c r="BU299" s="109"/>
      <c r="BV299" s="109"/>
      <c r="BW299" s="109"/>
      <c r="BX299" s="109"/>
      <c r="BY299" s="109"/>
      <c r="BZ299" s="109"/>
    </row>
    <row r="300" spans="1:78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  <c r="BA300" s="109"/>
      <c r="BB300" s="109"/>
      <c r="BC300" s="109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09"/>
      <c r="BO300" s="109"/>
      <c r="BP300" s="109"/>
      <c r="BQ300" s="109"/>
      <c r="BR300" s="109"/>
      <c r="BS300" s="109"/>
      <c r="BT300" s="109"/>
      <c r="BU300" s="109"/>
      <c r="BV300" s="109"/>
      <c r="BW300" s="109"/>
      <c r="BX300" s="109"/>
      <c r="BY300" s="109"/>
      <c r="BZ300" s="109"/>
    </row>
    <row r="301" spans="1:78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09"/>
      <c r="BO301" s="109"/>
      <c r="BP301" s="109"/>
      <c r="BQ301" s="109"/>
      <c r="BR301" s="109"/>
      <c r="BS301" s="109"/>
      <c r="BT301" s="109"/>
      <c r="BU301" s="109"/>
      <c r="BV301" s="109"/>
      <c r="BW301" s="109"/>
      <c r="BX301" s="109"/>
      <c r="BY301" s="109"/>
      <c r="BZ301" s="109"/>
    </row>
    <row r="302" spans="1:78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09"/>
      <c r="BE302" s="109"/>
      <c r="BF302" s="109"/>
      <c r="BG302" s="109"/>
      <c r="BH302" s="109"/>
      <c r="BI302" s="109"/>
      <c r="BJ302" s="109"/>
      <c r="BK302" s="109"/>
      <c r="BL302" s="109"/>
      <c r="BM302" s="109"/>
      <c r="BN302" s="109"/>
      <c r="BO302" s="109"/>
      <c r="BP302" s="109"/>
      <c r="BQ302" s="109"/>
      <c r="BR302" s="109"/>
      <c r="BS302" s="109"/>
      <c r="BT302" s="109"/>
      <c r="BU302" s="109"/>
      <c r="BV302" s="109"/>
      <c r="BW302" s="109"/>
      <c r="BX302" s="109"/>
      <c r="BY302" s="109"/>
      <c r="BZ302" s="109"/>
    </row>
    <row r="303" spans="1:78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9"/>
      <c r="BG303" s="109"/>
      <c r="BH303" s="109"/>
      <c r="BI303" s="109"/>
      <c r="BJ303" s="109"/>
      <c r="BK303" s="109"/>
      <c r="BL303" s="109"/>
      <c r="BM303" s="109"/>
      <c r="BN303" s="109"/>
      <c r="BO303" s="109"/>
      <c r="BP303" s="109"/>
      <c r="BQ303" s="109"/>
      <c r="BR303" s="109"/>
      <c r="BS303" s="109"/>
      <c r="BT303" s="109"/>
      <c r="BU303" s="109"/>
      <c r="BV303" s="109"/>
      <c r="BW303" s="109"/>
      <c r="BX303" s="109"/>
      <c r="BY303" s="109"/>
      <c r="BZ303" s="109"/>
    </row>
    <row r="304" spans="1:78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  <c r="BG304" s="109"/>
      <c r="BH304" s="109"/>
      <c r="BI304" s="109"/>
      <c r="BJ304" s="109"/>
      <c r="BK304" s="109"/>
      <c r="BL304" s="109"/>
      <c r="BM304" s="109"/>
      <c r="BN304" s="109"/>
      <c r="BO304" s="109"/>
      <c r="BP304" s="109"/>
      <c r="BQ304" s="109"/>
      <c r="BR304" s="109"/>
      <c r="BS304" s="109"/>
      <c r="BT304" s="109"/>
      <c r="BU304" s="109"/>
      <c r="BV304" s="109"/>
      <c r="BW304" s="109"/>
      <c r="BX304" s="109"/>
      <c r="BY304" s="109"/>
      <c r="BZ304" s="109"/>
    </row>
    <row r="305" spans="1:78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9"/>
      <c r="BG305" s="109"/>
      <c r="BH305" s="109"/>
      <c r="BI305" s="109"/>
      <c r="BJ305" s="109"/>
      <c r="BK305" s="109"/>
      <c r="BL305" s="109"/>
      <c r="BM305" s="109"/>
      <c r="BN305" s="109"/>
      <c r="BO305" s="109"/>
      <c r="BP305" s="109"/>
      <c r="BQ305" s="109"/>
      <c r="BR305" s="109"/>
      <c r="BS305" s="109"/>
      <c r="BT305" s="109"/>
      <c r="BU305" s="109"/>
      <c r="BV305" s="109"/>
      <c r="BW305" s="109"/>
      <c r="BX305" s="109"/>
      <c r="BY305" s="109"/>
      <c r="BZ305" s="109"/>
    </row>
    <row r="306" spans="1:78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9"/>
      <c r="BE306" s="109"/>
      <c r="BF306" s="109"/>
      <c r="BG306" s="109"/>
      <c r="BH306" s="109"/>
      <c r="BI306" s="109"/>
      <c r="BJ306" s="109"/>
      <c r="BK306" s="109"/>
      <c r="BL306" s="109"/>
      <c r="BM306" s="109"/>
      <c r="BN306" s="109"/>
      <c r="BO306" s="109"/>
      <c r="BP306" s="109"/>
      <c r="BQ306" s="109"/>
      <c r="BR306" s="109"/>
      <c r="BS306" s="109"/>
      <c r="BT306" s="109"/>
      <c r="BU306" s="109"/>
      <c r="BV306" s="109"/>
      <c r="BW306" s="109"/>
      <c r="BX306" s="109"/>
      <c r="BY306" s="109"/>
      <c r="BZ306" s="109"/>
    </row>
    <row r="307" spans="1:78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9"/>
      <c r="BG307" s="109"/>
      <c r="BH307" s="109"/>
      <c r="BI307" s="109"/>
      <c r="BJ307" s="109"/>
      <c r="BK307" s="109"/>
      <c r="BL307" s="109"/>
      <c r="BM307" s="109"/>
      <c r="BN307" s="109"/>
      <c r="BO307" s="109"/>
      <c r="BP307" s="109"/>
      <c r="BQ307" s="109"/>
      <c r="BR307" s="109"/>
      <c r="BS307" s="109"/>
      <c r="BT307" s="109"/>
      <c r="BU307" s="109"/>
      <c r="BV307" s="109"/>
      <c r="BW307" s="109"/>
      <c r="BX307" s="109"/>
      <c r="BY307" s="109"/>
      <c r="BZ307" s="109"/>
    </row>
    <row r="308" spans="1:78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9"/>
      <c r="BE308" s="109"/>
      <c r="BF308" s="109"/>
      <c r="BG308" s="109"/>
      <c r="BH308" s="109"/>
      <c r="BI308" s="109"/>
      <c r="BJ308" s="109"/>
      <c r="BK308" s="109"/>
      <c r="BL308" s="109"/>
      <c r="BM308" s="109"/>
      <c r="BN308" s="109"/>
      <c r="BO308" s="109"/>
      <c r="BP308" s="109"/>
      <c r="BQ308" s="109"/>
      <c r="BR308" s="109"/>
      <c r="BS308" s="109"/>
      <c r="BT308" s="109"/>
      <c r="BU308" s="109"/>
      <c r="BV308" s="109"/>
      <c r="BW308" s="109"/>
      <c r="BX308" s="109"/>
      <c r="BY308" s="109"/>
      <c r="BZ308" s="109"/>
    </row>
    <row r="309" spans="1:78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09"/>
      <c r="BE309" s="109"/>
      <c r="BF309" s="109"/>
      <c r="BG309" s="109"/>
      <c r="BH309" s="109"/>
      <c r="BI309" s="109"/>
      <c r="BJ309" s="109"/>
      <c r="BK309" s="109"/>
      <c r="BL309" s="109"/>
      <c r="BM309" s="109"/>
      <c r="BN309" s="109"/>
      <c r="BO309" s="109"/>
      <c r="BP309" s="109"/>
      <c r="BQ309" s="109"/>
      <c r="BR309" s="109"/>
      <c r="BS309" s="109"/>
      <c r="BT309" s="109"/>
      <c r="BU309" s="109"/>
      <c r="BV309" s="109"/>
      <c r="BW309" s="109"/>
      <c r="BX309" s="109"/>
      <c r="BY309" s="109"/>
      <c r="BZ309" s="109"/>
    </row>
    <row r="310" spans="1:78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09"/>
      <c r="BE310" s="109"/>
      <c r="BF310" s="109"/>
      <c r="BG310" s="109"/>
      <c r="BH310" s="109"/>
      <c r="BI310" s="109"/>
      <c r="BJ310" s="109"/>
      <c r="BK310" s="109"/>
      <c r="BL310" s="109"/>
      <c r="BM310" s="109"/>
      <c r="BN310" s="109"/>
      <c r="BO310" s="109"/>
      <c r="BP310" s="109"/>
      <c r="BQ310" s="109"/>
      <c r="BR310" s="109"/>
      <c r="BS310" s="109"/>
      <c r="BT310" s="109"/>
      <c r="BU310" s="109"/>
      <c r="BV310" s="109"/>
      <c r="BW310" s="109"/>
      <c r="BX310" s="109"/>
      <c r="BY310" s="109"/>
      <c r="BZ310" s="109"/>
    </row>
    <row r="311" spans="1:78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  <c r="AZ311" s="109"/>
      <c r="BA311" s="109"/>
      <c r="BB311" s="109"/>
      <c r="BC311" s="109"/>
      <c r="BD311" s="109"/>
      <c r="BE311" s="109"/>
      <c r="BF311" s="109"/>
      <c r="BG311" s="109"/>
      <c r="BH311" s="109"/>
      <c r="BI311" s="109"/>
      <c r="BJ311" s="109"/>
      <c r="BK311" s="109"/>
      <c r="BL311" s="109"/>
      <c r="BM311" s="109"/>
      <c r="BN311" s="109"/>
      <c r="BO311" s="109"/>
      <c r="BP311" s="109"/>
      <c r="BQ311" s="109"/>
      <c r="BR311" s="109"/>
      <c r="BS311" s="109"/>
      <c r="BT311" s="109"/>
      <c r="BU311" s="109"/>
      <c r="BV311" s="109"/>
      <c r="BW311" s="109"/>
      <c r="BX311" s="109"/>
      <c r="BY311" s="109"/>
      <c r="BZ311" s="109"/>
    </row>
    <row r="312" spans="1:78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09"/>
      <c r="BE312" s="109"/>
      <c r="BF312" s="109"/>
      <c r="BG312" s="109"/>
      <c r="BH312" s="109"/>
      <c r="BI312" s="109"/>
      <c r="BJ312" s="109"/>
      <c r="BK312" s="109"/>
      <c r="BL312" s="109"/>
      <c r="BM312" s="109"/>
      <c r="BN312" s="109"/>
      <c r="BO312" s="109"/>
      <c r="BP312" s="109"/>
      <c r="BQ312" s="109"/>
      <c r="BR312" s="109"/>
      <c r="BS312" s="109"/>
      <c r="BT312" s="109"/>
      <c r="BU312" s="109"/>
      <c r="BV312" s="109"/>
      <c r="BW312" s="109"/>
      <c r="BX312" s="109"/>
      <c r="BY312" s="109"/>
      <c r="BZ312" s="109"/>
    </row>
    <row r="313" spans="1:78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  <c r="AZ313" s="109"/>
      <c r="BA313" s="109"/>
      <c r="BB313" s="109"/>
      <c r="BC313" s="109"/>
      <c r="BD313" s="109"/>
      <c r="BE313" s="109"/>
      <c r="BF313" s="109"/>
      <c r="BG313" s="109"/>
      <c r="BH313" s="109"/>
      <c r="BI313" s="109"/>
      <c r="BJ313" s="109"/>
      <c r="BK313" s="109"/>
      <c r="BL313" s="109"/>
      <c r="BM313" s="109"/>
      <c r="BN313" s="109"/>
      <c r="BO313" s="109"/>
      <c r="BP313" s="109"/>
      <c r="BQ313" s="109"/>
      <c r="BR313" s="109"/>
      <c r="BS313" s="109"/>
      <c r="BT313" s="109"/>
      <c r="BU313" s="109"/>
      <c r="BV313" s="109"/>
      <c r="BW313" s="109"/>
      <c r="BX313" s="109"/>
      <c r="BY313" s="109"/>
      <c r="BZ313" s="109"/>
    </row>
    <row r="314" spans="1:78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109"/>
      <c r="BR314" s="109"/>
      <c r="BS314" s="109"/>
      <c r="BT314" s="109"/>
      <c r="BU314" s="109"/>
      <c r="BV314" s="109"/>
      <c r="BW314" s="109"/>
      <c r="BX314" s="109"/>
      <c r="BY314" s="109"/>
      <c r="BZ314" s="109"/>
    </row>
    <row r="315" spans="1:78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09"/>
      <c r="BR315" s="109"/>
      <c r="BS315" s="109"/>
      <c r="BT315" s="109"/>
      <c r="BU315" s="109"/>
      <c r="BV315" s="109"/>
      <c r="BW315" s="109"/>
      <c r="BX315" s="109"/>
      <c r="BY315" s="109"/>
      <c r="BZ315" s="109"/>
    </row>
    <row r="316" spans="1:78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09"/>
      <c r="BR316" s="109"/>
      <c r="BS316" s="109"/>
      <c r="BT316" s="109"/>
      <c r="BU316" s="109"/>
      <c r="BV316" s="109"/>
      <c r="BW316" s="109"/>
      <c r="BX316" s="109"/>
      <c r="BY316" s="109"/>
      <c r="BZ316" s="109"/>
    </row>
    <row r="317" spans="1:78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09"/>
      <c r="BR317" s="109"/>
      <c r="BS317" s="109"/>
      <c r="BT317" s="109"/>
      <c r="BU317" s="109"/>
      <c r="BV317" s="109"/>
      <c r="BW317" s="109"/>
      <c r="BX317" s="109"/>
      <c r="BY317" s="109"/>
      <c r="BZ317" s="109"/>
    </row>
    <row r="318" spans="1:78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  <c r="AZ318" s="109"/>
      <c r="BA318" s="109"/>
      <c r="BB318" s="109"/>
      <c r="BC318" s="109"/>
      <c r="BD318" s="109"/>
      <c r="BE318" s="109"/>
      <c r="BF318" s="109"/>
      <c r="BG318" s="109"/>
      <c r="BH318" s="109"/>
      <c r="BI318" s="109"/>
      <c r="BJ318" s="109"/>
      <c r="BK318" s="109"/>
      <c r="BL318" s="109"/>
      <c r="BM318" s="109"/>
      <c r="BN318" s="109"/>
      <c r="BO318" s="109"/>
      <c r="BP318" s="109"/>
      <c r="BQ318" s="109"/>
      <c r="BR318" s="109"/>
      <c r="BS318" s="109"/>
      <c r="BT318" s="109"/>
      <c r="BU318" s="109"/>
      <c r="BV318" s="109"/>
      <c r="BW318" s="109"/>
      <c r="BX318" s="109"/>
      <c r="BY318" s="109"/>
      <c r="BZ318" s="109"/>
    </row>
    <row r="319" spans="1:78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  <c r="BA319" s="109"/>
      <c r="BB319" s="109"/>
      <c r="BC319" s="109"/>
      <c r="BD319" s="109"/>
      <c r="BE319" s="109"/>
      <c r="BF319" s="109"/>
      <c r="BG319" s="109"/>
      <c r="BH319" s="109"/>
      <c r="BI319" s="109"/>
      <c r="BJ319" s="109"/>
      <c r="BK319" s="109"/>
      <c r="BL319" s="109"/>
      <c r="BM319" s="109"/>
      <c r="BN319" s="109"/>
      <c r="BO319" s="109"/>
      <c r="BP319" s="109"/>
      <c r="BQ319" s="109"/>
      <c r="BR319" s="109"/>
      <c r="BS319" s="109"/>
      <c r="BT319" s="109"/>
      <c r="BU319" s="109"/>
      <c r="BV319" s="109"/>
      <c r="BW319" s="109"/>
      <c r="BX319" s="109"/>
      <c r="BY319" s="109"/>
      <c r="BZ319" s="109"/>
    </row>
    <row r="320" spans="1:78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  <c r="AZ320" s="109"/>
      <c r="BA320" s="109"/>
      <c r="BB320" s="109"/>
      <c r="BC320" s="109"/>
      <c r="BD320" s="109"/>
      <c r="BE320" s="109"/>
      <c r="BF320" s="109"/>
      <c r="BG320" s="109"/>
      <c r="BH320" s="109"/>
      <c r="BI320" s="109"/>
      <c r="BJ320" s="109"/>
      <c r="BK320" s="109"/>
      <c r="BL320" s="109"/>
      <c r="BM320" s="109"/>
      <c r="BN320" s="109"/>
      <c r="BO320" s="109"/>
      <c r="BP320" s="109"/>
      <c r="BQ320" s="109"/>
      <c r="BR320" s="109"/>
      <c r="BS320" s="109"/>
      <c r="BT320" s="109"/>
      <c r="BU320" s="109"/>
      <c r="BV320" s="109"/>
      <c r="BW320" s="109"/>
      <c r="BX320" s="109"/>
      <c r="BY320" s="109"/>
      <c r="BZ320" s="109"/>
    </row>
    <row r="321" spans="1:78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  <c r="AZ321" s="109"/>
      <c r="BA321" s="109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109"/>
      <c r="BR321" s="109"/>
      <c r="BS321" s="109"/>
      <c r="BT321" s="109"/>
      <c r="BU321" s="109"/>
      <c r="BV321" s="109"/>
      <c r="BW321" s="109"/>
      <c r="BX321" s="109"/>
      <c r="BY321" s="109"/>
      <c r="BZ321" s="109"/>
    </row>
    <row r="322" spans="1:78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09"/>
      <c r="BR322" s="109"/>
      <c r="BS322" s="109"/>
      <c r="BT322" s="109"/>
      <c r="BU322" s="109"/>
      <c r="BV322" s="109"/>
      <c r="BW322" s="109"/>
      <c r="BX322" s="109"/>
      <c r="BY322" s="109"/>
      <c r="BZ322" s="109"/>
    </row>
    <row r="323" spans="1:78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09"/>
      <c r="BR323" s="109"/>
      <c r="BS323" s="109"/>
      <c r="BT323" s="109"/>
      <c r="BU323" s="109"/>
      <c r="BV323" s="109"/>
      <c r="BW323" s="109"/>
      <c r="BX323" s="109"/>
      <c r="BY323" s="109"/>
      <c r="BZ323" s="109"/>
    </row>
    <row r="324" spans="1:78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9"/>
      <c r="BE324" s="109"/>
      <c r="BF324" s="109"/>
      <c r="BG324" s="109"/>
      <c r="BH324" s="109"/>
      <c r="BI324" s="109"/>
      <c r="BJ324" s="109"/>
      <c r="BK324" s="109"/>
      <c r="BL324" s="109"/>
      <c r="BM324" s="109"/>
      <c r="BN324" s="109"/>
      <c r="BO324" s="109"/>
      <c r="BP324" s="109"/>
      <c r="BQ324" s="109"/>
      <c r="BR324" s="109"/>
      <c r="BS324" s="109"/>
      <c r="BT324" s="109"/>
      <c r="BU324" s="109"/>
      <c r="BV324" s="109"/>
      <c r="BW324" s="109"/>
      <c r="BX324" s="109"/>
      <c r="BY324" s="109"/>
      <c r="BZ324" s="109"/>
    </row>
    <row r="325" spans="1:78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9"/>
      <c r="BE325" s="109"/>
      <c r="BF325" s="109"/>
      <c r="BG325" s="109"/>
      <c r="BH325" s="109"/>
      <c r="BI325" s="109"/>
      <c r="BJ325" s="109"/>
      <c r="BK325" s="109"/>
      <c r="BL325" s="109"/>
      <c r="BM325" s="109"/>
      <c r="BN325" s="109"/>
      <c r="BO325" s="109"/>
      <c r="BP325" s="109"/>
      <c r="BQ325" s="109"/>
      <c r="BR325" s="109"/>
      <c r="BS325" s="109"/>
      <c r="BT325" s="109"/>
      <c r="BU325" s="109"/>
      <c r="BV325" s="109"/>
      <c r="BW325" s="109"/>
      <c r="BX325" s="109"/>
      <c r="BY325" s="109"/>
      <c r="BZ325" s="109"/>
    </row>
    <row r="326" spans="1:78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  <c r="BF326" s="109"/>
      <c r="BG326" s="109"/>
      <c r="BH326" s="109"/>
      <c r="BI326" s="109"/>
      <c r="BJ326" s="109"/>
      <c r="BK326" s="109"/>
      <c r="BL326" s="109"/>
      <c r="BM326" s="109"/>
      <c r="BN326" s="109"/>
      <c r="BO326" s="109"/>
      <c r="BP326" s="109"/>
      <c r="BQ326" s="109"/>
      <c r="BR326" s="109"/>
      <c r="BS326" s="109"/>
      <c r="BT326" s="109"/>
      <c r="BU326" s="109"/>
      <c r="BV326" s="109"/>
      <c r="BW326" s="109"/>
      <c r="BX326" s="109"/>
      <c r="BY326" s="109"/>
      <c r="BZ326" s="109"/>
    </row>
    <row r="327" spans="1:78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9"/>
      <c r="BE327" s="109"/>
      <c r="BF327" s="109"/>
      <c r="BG327" s="109"/>
      <c r="BH327" s="109"/>
      <c r="BI327" s="109"/>
      <c r="BJ327" s="109"/>
      <c r="BK327" s="109"/>
      <c r="BL327" s="109"/>
      <c r="BM327" s="109"/>
      <c r="BN327" s="109"/>
      <c r="BO327" s="109"/>
      <c r="BP327" s="109"/>
      <c r="BQ327" s="109"/>
      <c r="BR327" s="109"/>
      <c r="BS327" s="109"/>
      <c r="BT327" s="109"/>
      <c r="BU327" s="109"/>
      <c r="BV327" s="109"/>
      <c r="BW327" s="109"/>
      <c r="BX327" s="109"/>
      <c r="BY327" s="109"/>
      <c r="BZ327" s="109"/>
    </row>
    <row r="328" spans="1:78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09"/>
      <c r="BE328" s="109"/>
      <c r="BF328" s="109"/>
      <c r="BG328" s="109"/>
      <c r="BH328" s="109"/>
      <c r="BI328" s="109"/>
      <c r="BJ328" s="109"/>
      <c r="BK328" s="109"/>
      <c r="BL328" s="109"/>
      <c r="BM328" s="109"/>
      <c r="BN328" s="109"/>
      <c r="BO328" s="109"/>
      <c r="BP328" s="109"/>
      <c r="BQ328" s="109"/>
      <c r="BR328" s="109"/>
      <c r="BS328" s="109"/>
      <c r="BT328" s="109"/>
      <c r="BU328" s="109"/>
      <c r="BV328" s="109"/>
      <c r="BW328" s="109"/>
      <c r="BX328" s="109"/>
      <c r="BY328" s="109"/>
      <c r="BZ328" s="109"/>
    </row>
    <row r="329" spans="1:78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09"/>
      <c r="BO329" s="109"/>
      <c r="BP329" s="109"/>
      <c r="BQ329" s="109"/>
      <c r="BR329" s="109"/>
      <c r="BS329" s="109"/>
      <c r="BT329" s="109"/>
      <c r="BU329" s="109"/>
      <c r="BV329" s="109"/>
      <c r="BW329" s="109"/>
      <c r="BX329" s="109"/>
      <c r="BY329" s="109"/>
      <c r="BZ329" s="109"/>
    </row>
    <row r="330" spans="1:78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09"/>
      <c r="BQ330" s="109"/>
      <c r="BR330" s="109"/>
      <c r="BS330" s="109"/>
      <c r="BT330" s="109"/>
      <c r="BU330" s="109"/>
      <c r="BV330" s="109"/>
      <c r="BW330" s="109"/>
      <c r="BX330" s="109"/>
      <c r="BY330" s="109"/>
      <c r="BZ330" s="109"/>
    </row>
    <row r="331" spans="1:78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09"/>
      <c r="BQ331" s="109"/>
      <c r="BR331" s="109"/>
      <c r="BS331" s="109"/>
      <c r="BT331" s="109"/>
      <c r="BU331" s="109"/>
      <c r="BV331" s="109"/>
      <c r="BW331" s="109"/>
      <c r="BX331" s="109"/>
      <c r="BY331" s="109"/>
      <c r="BZ331" s="109"/>
    </row>
    <row r="332" spans="1:78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  <c r="BH332" s="109"/>
      <c r="BI332" s="109"/>
      <c r="BJ332" s="109"/>
      <c r="BK332" s="109"/>
      <c r="BL332" s="109"/>
      <c r="BM332" s="109"/>
      <c r="BN332" s="109"/>
      <c r="BO332" s="109"/>
      <c r="BP332" s="109"/>
      <c r="BQ332" s="109"/>
      <c r="BR332" s="109"/>
      <c r="BS332" s="109"/>
      <c r="BT332" s="109"/>
      <c r="BU332" s="109"/>
      <c r="BV332" s="109"/>
      <c r="BW332" s="109"/>
      <c r="BX332" s="109"/>
      <c r="BY332" s="109"/>
      <c r="BZ332" s="109"/>
    </row>
    <row r="333" spans="1:78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  <c r="BH333" s="109"/>
      <c r="BI333" s="109"/>
      <c r="BJ333" s="109"/>
      <c r="BK333" s="109"/>
      <c r="BL333" s="109"/>
      <c r="BM333" s="109"/>
      <c r="BN333" s="109"/>
      <c r="BO333" s="109"/>
      <c r="BP333" s="109"/>
      <c r="BQ333" s="109"/>
      <c r="BR333" s="109"/>
      <c r="BS333" s="109"/>
      <c r="BT333" s="109"/>
      <c r="BU333" s="109"/>
      <c r="BV333" s="109"/>
      <c r="BW333" s="109"/>
      <c r="BX333" s="109"/>
      <c r="BY333" s="109"/>
      <c r="BZ333" s="109"/>
    </row>
    <row r="334" spans="1:78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9"/>
      <c r="BG334" s="109"/>
      <c r="BH334" s="109"/>
      <c r="BI334" s="109"/>
      <c r="BJ334" s="109"/>
      <c r="BK334" s="109"/>
      <c r="BL334" s="109"/>
      <c r="BM334" s="109"/>
      <c r="BN334" s="109"/>
      <c r="BO334" s="109"/>
      <c r="BP334" s="109"/>
      <c r="BQ334" s="109"/>
      <c r="BR334" s="109"/>
      <c r="BS334" s="109"/>
      <c r="BT334" s="109"/>
      <c r="BU334" s="109"/>
      <c r="BV334" s="109"/>
      <c r="BW334" s="109"/>
      <c r="BX334" s="109"/>
      <c r="BY334" s="109"/>
      <c r="BZ334" s="109"/>
    </row>
    <row r="335" spans="1:78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9"/>
      <c r="BG335" s="109"/>
      <c r="BH335" s="109"/>
      <c r="BI335" s="109"/>
      <c r="BJ335" s="109"/>
      <c r="BK335" s="109"/>
      <c r="BL335" s="109"/>
      <c r="BM335" s="109"/>
      <c r="BN335" s="109"/>
      <c r="BO335" s="109"/>
      <c r="BP335" s="109"/>
      <c r="BQ335" s="109"/>
      <c r="BR335" s="109"/>
      <c r="BS335" s="109"/>
      <c r="BT335" s="109"/>
      <c r="BU335" s="109"/>
      <c r="BV335" s="109"/>
      <c r="BW335" s="109"/>
      <c r="BX335" s="109"/>
      <c r="BY335" s="109"/>
      <c r="BZ335" s="109"/>
    </row>
    <row r="336" spans="1:78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9"/>
      <c r="BG336" s="109"/>
      <c r="BH336" s="109"/>
      <c r="BI336" s="109"/>
      <c r="BJ336" s="109"/>
      <c r="BK336" s="109"/>
      <c r="BL336" s="109"/>
      <c r="BM336" s="109"/>
      <c r="BN336" s="109"/>
      <c r="BO336" s="109"/>
      <c r="BP336" s="109"/>
      <c r="BQ336" s="109"/>
      <c r="BR336" s="109"/>
      <c r="BS336" s="109"/>
      <c r="BT336" s="109"/>
      <c r="BU336" s="109"/>
      <c r="BV336" s="109"/>
      <c r="BW336" s="109"/>
      <c r="BX336" s="109"/>
      <c r="BY336" s="109"/>
      <c r="BZ336" s="109"/>
    </row>
    <row r="337" spans="1:78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  <c r="BA337" s="109"/>
      <c r="BB337" s="109"/>
      <c r="BC337" s="109"/>
      <c r="BD337" s="109"/>
      <c r="BE337" s="109"/>
      <c r="BF337" s="109"/>
      <c r="BG337" s="109"/>
      <c r="BH337" s="109"/>
      <c r="BI337" s="109"/>
      <c r="BJ337" s="109"/>
      <c r="BK337" s="109"/>
      <c r="BL337" s="109"/>
      <c r="BM337" s="109"/>
      <c r="BN337" s="109"/>
      <c r="BO337" s="109"/>
      <c r="BP337" s="109"/>
      <c r="BQ337" s="109"/>
      <c r="BR337" s="109"/>
      <c r="BS337" s="109"/>
      <c r="BT337" s="109"/>
      <c r="BU337" s="109"/>
      <c r="BV337" s="109"/>
      <c r="BW337" s="109"/>
      <c r="BX337" s="109"/>
      <c r="BY337" s="109"/>
      <c r="BZ337" s="109"/>
    </row>
    <row r="338" spans="1:78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09"/>
      <c r="BD338" s="109"/>
      <c r="BE338" s="109"/>
      <c r="BF338" s="109"/>
      <c r="BG338" s="109"/>
      <c r="BH338" s="109"/>
      <c r="BI338" s="109"/>
      <c r="BJ338" s="109"/>
      <c r="BK338" s="109"/>
      <c r="BL338" s="109"/>
      <c r="BM338" s="109"/>
      <c r="BN338" s="109"/>
      <c r="BO338" s="109"/>
      <c r="BP338" s="109"/>
      <c r="BQ338" s="109"/>
      <c r="BR338" s="109"/>
      <c r="BS338" s="109"/>
      <c r="BT338" s="109"/>
      <c r="BU338" s="109"/>
      <c r="BV338" s="109"/>
      <c r="BW338" s="109"/>
      <c r="BX338" s="109"/>
      <c r="BY338" s="109"/>
      <c r="BZ338" s="109"/>
    </row>
    <row r="339" spans="1:78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09"/>
      <c r="BE339" s="109"/>
      <c r="BF339" s="109"/>
      <c r="BG339" s="109"/>
      <c r="BH339" s="109"/>
      <c r="BI339" s="109"/>
      <c r="BJ339" s="109"/>
      <c r="BK339" s="109"/>
      <c r="BL339" s="109"/>
      <c r="BM339" s="109"/>
      <c r="BN339" s="109"/>
      <c r="BO339" s="109"/>
      <c r="BP339" s="109"/>
      <c r="BQ339" s="109"/>
      <c r="BR339" s="109"/>
      <c r="BS339" s="109"/>
      <c r="BT339" s="109"/>
      <c r="BU339" s="109"/>
      <c r="BV339" s="109"/>
      <c r="BW339" s="109"/>
      <c r="BX339" s="109"/>
      <c r="BY339" s="109"/>
      <c r="BZ339" s="109"/>
    </row>
  </sheetData>
  <mergeCells count="59">
    <mergeCell ref="F37:G37"/>
    <mergeCell ref="H37:I37"/>
    <mergeCell ref="M9:M10"/>
    <mergeCell ref="A114:B114"/>
    <mergeCell ref="F106:F111"/>
    <mergeCell ref="A104:A105"/>
    <mergeCell ref="L9:L10"/>
    <mergeCell ref="B64:D64"/>
    <mergeCell ref="A64:A65"/>
    <mergeCell ref="B37:C37"/>
    <mergeCell ref="D37:E37"/>
    <mergeCell ref="N64:O64"/>
    <mergeCell ref="P64:Q64"/>
    <mergeCell ref="R64:S64"/>
    <mergeCell ref="A61:K61"/>
    <mergeCell ref="B8:G8"/>
    <mergeCell ref="H8:K8"/>
    <mergeCell ref="L8:M8"/>
    <mergeCell ref="O8:O10"/>
    <mergeCell ref="N8:N10"/>
    <mergeCell ref="L36:L38"/>
    <mergeCell ref="B9:C9"/>
    <mergeCell ref="D9:E9"/>
    <mergeCell ref="F9:G9"/>
    <mergeCell ref="H9:I9"/>
    <mergeCell ref="J9:K9"/>
    <mergeCell ref="M36:M38"/>
    <mergeCell ref="A131:B131"/>
    <mergeCell ref="A1:F1"/>
    <mergeCell ref="A2:B2"/>
    <mergeCell ref="C2:D2"/>
    <mergeCell ref="E2:F2"/>
    <mergeCell ref="A3:B3"/>
    <mergeCell ref="C3:D3"/>
    <mergeCell ref="E3:F3"/>
    <mergeCell ref="A4:B4"/>
    <mergeCell ref="C4:D4"/>
    <mergeCell ref="E4:F4"/>
    <mergeCell ref="A8:A10"/>
    <mergeCell ref="A36:A38"/>
    <mergeCell ref="B36:E36"/>
    <mergeCell ref="F36:I36"/>
    <mergeCell ref="A128:B128"/>
    <mergeCell ref="E166:G166"/>
    <mergeCell ref="B166:D166"/>
    <mergeCell ref="A166:A167"/>
    <mergeCell ref="A118:B118"/>
    <mergeCell ref="A33:M33"/>
    <mergeCell ref="A121:C121"/>
    <mergeCell ref="E64:G64"/>
    <mergeCell ref="H64:I64"/>
    <mergeCell ref="J64:K64"/>
    <mergeCell ref="L64:M64"/>
    <mergeCell ref="A95:F95"/>
    <mergeCell ref="B96:F96"/>
    <mergeCell ref="B104:F104"/>
    <mergeCell ref="J36:K37"/>
    <mergeCell ref="A96:A97"/>
    <mergeCell ref="F98:F103"/>
  </mergeCells>
  <phoneticPr fontId="10" type="noConversion"/>
  <pageMargins left="0.7" right="0.7" top="0.75" bottom="0.75" header="0.3" footer="0.3"/>
  <pageSetup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CACFE-AB91-415D-93CD-4570A9EE8E69}">
  <sheetPr>
    <tabColor theme="6"/>
    <pageSetUpPr fitToPage="1"/>
  </sheetPr>
  <dimension ref="A1:BA510"/>
  <sheetViews>
    <sheetView workbookViewId="0">
      <selection activeCell="I45" sqref="I45"/>
    </sheetView>
  </sheetViews>
  <sheetFormatPr defaultRowHeight="13.2"/>
  <cols>
    <col min="1" max="1" width="14.88671875" customWidth="1"/>
    <col min="2" max="2" width="14.33203125" customWidth="1"/>
    <col min="3" max="3" width="16.109375" customWidth="1"/>
    <col min="4" max="4" width="14.33203125" customWidth="1"/>
    <col min="5" max="5" width="18" customWidth="1"/>
    <col min="6" max="6" width="15.6640625" customWidth="1"/>
    <col min="7" max="7" width="15.44140625" customWidth="1"/>
    <col min="8" max="9" width="15.109375" customWidth="1"/>
    <col min="10" max="10" width="20.88671875" customWidth="1"/>
    <col min="11" max="11" width="16.6640625" customWidth="1"/>
    <col min="12" max="12" width="15" customWidth="1"/>
    <col min="13" max="14" width="15.33203125" customWidth="1"/>
    <col min="15" max="16" width="17.33203125" bestFit="1" customWidth="1"/>
  </cols>
  <sheetData>
    <row r="1" spans="1:53" ht="18" customHeight="1">
      <c r="A1" s="431" t="s">
        <v>150</v>
      </c>
      <c r="B1" s="445"/>
      <c r="C1" s="44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</row>
    <row r="2" spans="1:53" ht="29.4" customHeight="1">
      <c r="A2" s="447" t="s">
        <v>151</v>
      </c>
      <c r="B2" s="448"/>
      <c r="C2" s="207">
        <f>I30</f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</row>
    <row r="3" spans="1:53" ht="33.75" customHeight="1">
      <c r="A3" s="447" t="s">
        <v>152</v>
      </c>
      <c r="B3" s="448"/>
      <c r="C3" s="207">
        <f>J30</f>
        <v>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</row>
    <row r="4" spans="1:5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</row>
    <row r="5" spans="1:53" ht="13.8">
      <c r="A5" s="365" t="s">
        <v>153</v>
      </c>
      <c r="B5" s="407"/>
      <c r="C5" s="407"/>
      <c r="D5" s="407"/>
      <c r="E5" s="407"/>
      <c r="F5" s="407"/>
      <c r="G5" s="407"/>
      <c r="H5" s="407"/>
      <c r="I5" s="407"/>
      <c r="J5" s="39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</row>
    <row r="6" spans="1:53" ht="12.75" customHeight="1">
      <c r="A6" s="376" t="s">
        <v>39</v>
      </c>
      <c r="B6" s="404" t="s">
        <v>154</v>
      </c>
      <c r="C6" s="404"/>
      <c r="D6" s="381" t="s">
        <v>155</v>
      </c>
      <c r="E6" s="382"/>
      <c r="F6" s="383"/>
      <c r="G6" s="381" t="s">
        <v>156</v>
      </c>
      <c r="H6" s="382"/>
      <c r="I6" s="382"/>
      <c r="J6" s="383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</row>
    <row r="7" spans="1:53" ht="61.5" customHeight="1" thickBot="1">
      <c r="A7" s="380"/>
      <c r="B7" s="6" t="s">
        <v>94</v>
      </c>
      <c r="C7" s="6" t="s">
        <v>117</v>
      </c>
      <c r="D7" s="6" t="s">
        <v>157</v>
      </c>
      <c r="E7" s="6" t="s">
        <v>158</v>
      </c>
      <c r="F7" s="6" t="s">
        <v>159</v>
      </c>
      <c r="G7" s="6" t="s">
        <v>160</v>
      </c>
      <c r="H7" s="6" t="s">
        <v>161</v>
      </c>
      <c r="I7" s="6" t="s">
        <v>162</v>
      </c>
      <c r="J7" s="6" t="s">
        <v>163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</row>
    <row r="8" spans="1:53" ht="14.4" thickTop="1">
      <c r="A8" s="66">
        <v>2027</v>
      </c>
      <c r="B8" s="67">
        <f>'Travel Time'!Q71-'Travel Time'!S71</f>
        <v>0</v>
      </c>
      <c r="C8" s="12">
        <f>'Travel Time'!P71-'Travel Time'!R71</f>
        <v>0</v>
      </c>
      <c r="D8" s="234">
        <f>ROUND($B8*$B$69+$C8*$B$70,0)/1000000</f>
        <v>0</v>
      </c>
      <c r="E8" s="235">
        <f t="shared" ref="E8:E29" si="0">ROUND($B8*$C$69+$C8*$C$70,0)/1000000</f>
        <v>0</v>
      </c>
      <c r="F8" s="234">
        <f t="shared" ref="F8:F29" si="1">ROUND($B8*$D$69+$C8*$D$70,0)/1000000</f>
        <v>0</v>
      </c>
      <c r="G8" s="225">
        <f t="shared" ref="G8:G29" si="2">ROUND(D8*B41+E8*D41,0)</f>
        <v>0</v>
      </c>
      <c r="H8" s="224">
        <f t="shared" ref="H8:H29" si="3">ROUND(F8*E41,0)</f>
        <v>0</v>
      </c>
      <c r="I8" s="225">
        <f>G8+H8</f>
        <v>0</v>
      </c>
      <c r="J8" s="224">
        <f>G8*INDEX(NPV!$C$3:$C$42,MATCH('Environmental Protection'!$A8,NPV!$B$3:$B$42,0))+H8*INDEX(NPV!$D$3:$D$42,MATCH('Environmental Protection'!$A8,NPV!$B$3:$B$42,0))</f>
        <v>0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</row>
    <row r="9" spans="1:53" ht="13.8">
      <c r="A9" s="66">
        <v>2028</v>
      </c>
      <c r="B9" s="67">
        <f>'Travel Time'!Q72-'Travel Time'!S72</f>
        <v>0</v>
      </c>
      <c r="C9" s="12">
        <f>'Travel Time'!P72-'Travel Time'!R72</f>
        <v>0</v>
      </c>
      <c r="D9" s="234">
        <f t="shared" ref="D9:D29" si="4">ROUND($B9*$B$69+$C9*$B$70,0)/1000000</f>
        <v>0</v>
      </c>
      <c r="E9" s="235">
        <f t="shared" si="0"/>
        <v>0</v>
      </c>
      <c r="F9" s="234">
        <f t="shared" si="1"/>
        <v>0</v>
      </c>
      <c r="G9" s="225">
        <f t="shared" si="2"/>
        <v>0</v>
      </c>
      <c r="H9" s="224">
        <f t="shared" si="3"/>
        <v>0</v>
      </c>
      <c r="I9" s="225">
        <f t="shared" ref="I9:I29" si="5">G9+H9</f>
        <v>0</v>
      </c>
      <c r="J9" s="224">
        <f>G9*INDEX(NPV!$C$3:$C$42,MATCH('Environmental Protection'!$A9,NPV!$B$3:$B$42,0))+H9*INDEX(NPV!$D$3:$D$42,MATCH('Environmental Protection'!$A9,NPV!$B$3:$B$42,0))</f>
        <v>0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</row>
    <row r="10" spans="1:53" ht="13.8">
      <c r="A10" s="66">
        <v>2029</v>
      </c>
      <c r="B10" s="67">
        <f>'Travel Time'!Q73-'Travel Time'!S73</f>
        <v>0</v>
      </c>
      <c r="C10" s="12">
        <f>'Travel Time'!P73-'Travel Time'!R73</f>
        <v>0</v>
      </c>
      <c r="D10" s="234">
        <f t="shared" si="4"/>
        <v>0</v>
      </c>
      <c r="E10" s="235">
        <f t="shared" si="0"/>
        <v>0</v>
      </c>
      <c r="F10" s="234">
        <f t="shared" si="1"/>
        <v>0</v>
      </c>
      <c r="G10" s="225">
        <f t="shared" si="2"/>
        <v>0</v>
      </c>
      <c r="H10" s="224">
        <f t="shared" si="3"/>
        <v>0</v>
      </c>
      <c r="I10" s="225">
        <f t="shared" si="5"/>
        <v>0</v>
      </c>
      <c r="J10" s="224">
        <f>G10*INDEX(NPV!$C$3:$C$42,MATCH('Environmental Protection'!$A10,NPV!$B$3:$B$42,0))+H10*INDEX(NPV!$D$3:$D$42,MATCH('Environmental Protection'!$A10,NPV!$B$3:$B$42,0))</f>
        <v>0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</row>
    <row r="11" spans="1:53" ht="13.8">
      <c r="A11" s="66">
        <v>2030</v>
      </c>
      <c r="B11" s="67">
        <f>'Travel Time'!Q74-'Travel Time'!S74</f>
        <v>0</v>
      </c>
      <c r="C11" s="12">
        <f>'Travel Time'!P74-'Travel Time'!R74</f>
        <v>0</v>
      </c>
      <c r="D11" s="234">
        <f t="shared" si="4"/>
        <v>0</v>
      </c>
      <c r="E11" s="235">
        <f t="shared" si="0"/>
        <v>0</v>
      </c>
      <c r="F11" s="234">
        <f t="shared" si="1"/>
        <v>0</v>
      </c>
      <c r="G11" s="225">
        <f t="shared" si="2"/>
        <v>0</v>
      </c>
      <c r="H11" s="224">
        <f t="shared" si="3"/>
        <v>0</v>
      </c>
      <c r="I11" s="225">
        <f t="shared" si="5"/>
        <v>0</v>
      </c>
      <c r="J11" s="224">
        <f>G11*INDEX(NPV!$C$3:$C$42,MATCH('Environmental Protection'!$A11,NPV!$B$3:$B$42,0))+H11*INDEX(NPV!$D$3:$D$42,MATCH('Environmental Protection'!$A11,NPV!$B$3:$B$42,0))</f>
        <v>0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</row>
    <row r="12" spans="1:53" ht="13.8">
      <c r="A12" s="66">
        <v>2031</v>
      </c>
      <c r="B12" s="67">
        <f>'Travel Time'!Q75-'Travel Time'!S75</f>
        <v>0</v>
      </c>
      <c r="C12" s="12">
        <f>'Travel Time'!P75-'Travel Time'!R75</f>
        <v>0</v>
      </c>
      <c r="D12" s="234">
        <f t="shared" si="4"/>
        <v>0</v>
      </c>
      <c r="E12" s="235">
        <f t="shared" si="0"/>
        <v>0</v>
      </c>
      <c r="F12" s="234">
        <f t="shared" si="1"/>
        <v>0</v>
      </c>
      <c r="G12" s="225">
        <f t="shared" si="2"/>
        <v>0</v>
      </c>
      <c r="H12" s="224">
        <f t="shared" si="3"/>
        <v>0</v>
      </c>
      <c r="I12" s="225">
        <f t="shared" si="5"/>
        <v>0</v>
      </c>
      <c r="J12" s="224">
        <f>G12*INDEX(NPV!$C$3:$C$42,MATCH('Environmental Protection'!$A12,NPV!$B$3:$B$42,0))+H12*INDEX(NPV!$D$3:$D$42,MATCH('Environmental Protection'!$A12,NPV!$B$3:$B$42,0))</f>
        <v>0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</row>
    <row r="13" spans="1:53" ht="13.8">
      <c r="A13" s="66">
        <v>2032</v>
      </c>
      <c r="B13" s="67">
        <f>'Travel Time'!Q76-'Travel Time'!S76</f>
        <v>0</v>
      </c>
      <c r="C13" s="12">
        <f>'Travel Time'!P76-'Travel Time'!R76</f>
        <v>0</v>
      </c>
      <c r="D13" s="234">
        <f t="shared" si="4"/>
        <v>0</v>
      </c>
      <c r="E13" s="235">
        <f t="shared" si="0"/>
        <v>0</v>
      </c>
      <c r="F13" s="234">
        <f t="shared" si="1"/>
        <v>0</v>
      </c>
      <c r="G13" s="225">
        <f t="shared" si="2"/>
        <v>0</v>
      </c>
      <c r="H13" s="224">
        <f t="shared" si="3"/>
        <v>0</v>
      </c>
      <c r="I13" s="225">
        <f t="shared" si="5"/>
        <v>0</v>
      </c>
      <c r="J13" s="224">
        <f>G13*INDEX(NPV!$C$3:$C$42,MATCH('Environmental Protection'!$A13,NPV!$B$3:$B$42,0))+H13*INDEX(NPV!$D$3:$D$42,MATCH('Environmental Protection'!$A13,NPV!$B$3:$B$42,0))</f>
        <v>0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</row>
    <row r="14" spans="1:53" ht="13.8">
      <c r="A14" s="66">
        <v>2033</v>
      </c>
      <c r="B14" s="67">
        <f>'Travel Time'!Q77-'Travel Time'!S77</f>
        <v>0</v>
      </c>
      <c r="C14" s="12">
        <f>'Travel Time'!P77-'Travel Time'!R77</f>
        <v>0</v>
      </c>
      <c r="D14" s="234">
        <f t="shared" si="4"/>
        <v>0</v>
      </c>
      <c r="E14" s="235">
        <f t="shared" si="0"/>
        <v>0</v>
      </c>
      <c r="F14" s="234">
        <f t="shared" si="1"/>
        <v>0</v>
      </c>
      <c r="G14" s="225">
        <f t="shared" si="2"/>
        <v>0</v>
      </c>
      <c r="H14" s="224">
        <f t="shared" si="3"/>
        <v>0</v>
      </c>
      <c r="I14" s="225">
        <f t="shared" si="5"/>
        <v>0</v>
      </c>
      <c r="J14" s="224">
        <f>G14*INDEX(NPV!$C$3:$C$42,MATCH('Environmental Protection'!$A14,NPV!$B$3:$B$42,0))+H14*INDEX(NPV!$D$3:$D$42,MATCH('Environmental Protection'!$A14,NPV!$B$3:$B$42,0))</f>
        <v>0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</row>
    <row r="15" spans="1:53" ht="13.8">
      <c r="A15" s="66">
        <v>2034</v>
      </c>
      <c r="B15" s="67">
        <f>'Travel Time'!Q78-'Travel Time'!S78</f>
        <v>0</v>
      </c>
      <c r="C15" s="12">
        <f>'Travel Time'!P78-'Travel Time'!R78</f>
        <v>0</v>
      </c>
      <c r="D15" s="234">
        <f t="shared" si="4"/>
        <v>0</v>
      </c>
      <c r="E15" s="235">
        <f t="shared" si="0"/>
        <v>0</v>
      </c>
      <c r="F15" s="234">
        <f t="shared" si="1"/>
        <v>0</v>
      </c>
      <c r="G15" s="225">
        <f t="shared" si="2"/>
        <v>0</v>
      </c>
      <c r="H15" s="224">
        <f t="shared" si="3"/>
        <v>0</v>
      </c>
      <c r="I15" s="225">
        <f t="shared" si="5"/>
        <v>0</v>
      </c>
      <c r="J15" s="224">
        <f>G15*INDEX(NPV!$C$3:$C$42,MATCH('Environmental Protection'!$A15,NPV!$B$3:$B$42,0))+H15*INDEX(NPV!$D$3:$D$42,MATCH('Environmental Protection'!$A15,NPV!$B$3:$B$42,0))</f>
        <v>0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</row>
    <row r="16" spans="1:53" ht="13.8">
      <c r="A16" s="66">
        <v>2035</v>
      </c>
      <c r="B16" s="67">
        <f>'Travel Time'!Q79-'Travel Time'!S79</f>
        <v>0</v>
      </c>
      <c r="C16" s="12">
        <f>'Travel Time'!P79-'Travel Time'!R79</f>
        <v>0</v>
      </c>
      <c r="D16" s="234">
        <f t="shared" si="4"/>
        <v>0</v>
      </c>
      <c r="E16" s="235">
        <f t="shared" si="0"/>
        <v>0</v>
      </c>
      <c r="F16" s="234">
        <f t="shared" si="1"/>
        <v>0</v>
      </c>
      <c r="G16" s="225">
        <f t="shared" si="2"/>
        <v>0</v>
      </c>
      <c r="H16" s="224">
        <f t="shared" si="3"/>
        <v>0</v>
      </c>
      <c r="I16" s="225">
        <f t="shared" si="5"/>
        <v>0</v>
      </c>
      <c r="J16" s="224">
        <f>G16*INDEX(NPV!$C$3:$C$42,MATCH('Environmental Protection'!$A16,NPV!$B$3:$B$42,0))+H16*INDEX(NPV!$D$3:$D$42,MATCH('Environmental Protection'!$A16,NPV!$B$3:$B$42,0))</f>
        <v>0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</row>
    <row r="17" spans="1:53" ht="13.8">
      <c r="A17" s="66">
        <v>2036</v>
      </c>
      <c r="B17" s="67">
        <f>'Travel Time'!Q80-'Travel Time'!S80</f>
        <v>0</v>
      </c>
      <c r="C17" s="12">
        <f>'Travel Time'!P80-'Travel Time'!R80</f>
        <v>0</v>
      </c>
      <c r="D17" s="234">
        <f t="shared" si="4"/>
        <v>0</v>
      </c>
      <c r="E17" s="235">
        <f t="shared" si="0"/>
        <v>0</v>
      </c>
      <c r="F17" s="234">
        <f t="shared" si="1"/>
        <v>0</v>
      </c>
      <c r="G17" s="225">
        <f t="shared" si="2"/>
        <v>0</v>
      </c>
      <c r="H17" s="224">
        <f t="shared" si="3"/>
        <v>0</v>
      </c>
      <c r="I17" s="225">
        <f t="shared" si="5"/>
        <v>0</v>
      </c>
      <c r="J17" s="224">
        <f>G17*INDEX(NPV!$C$3:$C$42,MATCH('Environmental Protection'!$A17,NPV!$B$3:$B$42,0))+H17*INDEX(NPV!$D$3:$D$42,MATCH('Environmental Protection'!$A17,NPV!$B$3:$B$42,0))</f>
        <v>0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</row>
    <row r="18" spans="1:53" ht="13.8">
      <c r="A18" s="66">
        <v>2037</v>
      </c>
      <c r="B18" s="67">
        <f>'Travel Time'!Q81-'Travel Time'!S81</f>
        <v>0</v>
      </c>
      <c r="C18" s="12">
        <f>'Travel Time'!P81-'Travel Time'!R81</f>
        <v>0</v>
      </c>
      <c r="D18" s="234">
        <f t="shared" si="4"/>
        <v>0</v>
      </c>
      <c r="E18" s="235">
        <f t="shared" si="0"/>
        <v>0</v>
      </c>
      <c r="F18" s="234">
        <f t="shared" si="1"/>
        <v>0</v>
      </c>
      <c r="G18" s="225">
        <f t="shared" si="2"/>
        <v>0</v>
      </c>
      <c r="H18" s="224">
        <f t="shared" si="3"/>
        <v>0</v>
      </c>
      <c r="I18" s="225">
        <f t="shared" si="5"/>
        <v>0</v>
      </c>
      <c r="J18" s="224">
        <f>G18*INDEX(NPV!$C$3:$C$42,MATCH('Environmental Protection'!$A18,NPV!$B$3:$B$42,0))+H18*INDEX(NPV!$D$3:$D$42,MATCH('Environmental Protection'!$A18,NPV!$B$3:$B$42,0))</f>
        <v>0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</row>
    <row r="19" spans="1:53" ht="13.8">
      <c r="A19" s="66">
        <v>2038</v>
      </c>
      <c r="B19" s="67">
        <f>'Travel Time'!Q82-'Travel Time'!S82</f>
        <v>0</v>
      </c>
      <c r="C19" s="12">
        <f>'Travel Time'!P82-'Travel Time'!R82</f>
        <v>0</v>
      </c>
      <c r="D19" s="234">
        <f t="shared" si="4"/>
        <v>0</v>
      </c>
      <c r="E19" s="235">
        <f t="shared" si="0"/>
        <v>0</v>
      </c>
      <c r="F19" s="234">
        <f t="shared" si="1"/>
        <v>0</v>
      </c>
      <c r="G19" s="225">
        <f t="shared" si="2"/>
        <v>0</v>
      </c>
      <c r="H19" s="224">
        <f t="shared" si="3"/>
        <v>0</v>
      </c>
      <c r="I19" s="225">
        <f t="shared" si="5"/>
        <v>0</v>
      </c>
      <c r="J19" s="224">
        <f>G19*INDEX(NPV!$C$3:$C$42,MATCH('Environmental Protection'!$A19,NPV!$B$3:$B$42,0))+H19*INDEX(NPV!$D$3:$D$42,MATCH('Environmental Protection'!$A19,NPV!$B$3:$B$42,0))</f>
        <v>0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</row>
    <row r="20" spans="1:53" ht="13.8">
      <c r="A20" s="66">
        <v>2039</v>
      </c>
      <c r="B20" s="67">
        <f>'Travel Time'!Q83-'Travel Time'!S83</f>
        <v>0</v>
      </c>
      <c r="C20" s="12">
        <f>'Travel Time'!P83-'Travel Time'!R83</f>
        <v>0</v>
      </c>
      <c r="D20" s="234">
        <f t="shared" si="4"/>
        <v>0</v>
      </c>
      <c r="E20" s="235">
        <f t="shared" si="0"/>
        <v>0</v>
      </c>
      <c r="F20" s="234">
        <f t="shared" si="1"/>
        <v>0</v>
      </c>
      <c r="G20" s="225">
        <f t="shared" si="2"/>
        <v>0</v>
      </c>
      <c r="H20" s="224">
        <f t="shared" si="3"/>
        <v>0</v>
      </c>
      <c r="I20" s="225">
        <f t="shared" si="5"/>
        <v>0</v>
      </c>
      <c r="J20" s="224">
        <f>G20*INDEX(NPV!$C$3:$C$42,MATCH('Environmental Protection'!$A20,NPV!$B$3:$B$42,0))+H20*INDEX(NPV!$D$3:$D$42,MATCH('Environmental Protection'!$A20,NPV!$B$3:$B$42,0))</f>
        <v>0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</row>
    <row r="21" spans="1:53" ht="13.8">
      <c r="A21" s="66">
        <v>2040</v>
      </c>
      <c r="B21" s="67">
        <f>'Travel Time'!Q84-'Travel Time'!S84</f>
        <v>0</v>
      </c>
      <c r="C21" s="12">
        <f>'Travel Time'!P84-'Travel Time'!R84</f>
        <v>0</v>
      </c>
      <c r="D21" s="234">
        <f t="shared" si="4"/>
        <v>0</v>
      </c>
      <c r="E21" s="235">
        <f t="shared" si="0"/>
        <v>0</v>
      </c>
      <c r="F21" s="234">
        <f t="shared" si="1"/>
        <v>0</v>
      </c>
      <c r="G21" s="225">
        <f t="shared" si="2"/>
        <v>0</v>
      </c>
      <c r="H21" s="224">
        <f t="shared" si="3"/>
        <v>0</v>
      </c>
      <c r="I21" s="225">
        <f t="shared" si="5"/>
        <v>0</v>
      </c>
      <c r="J21" s="224">
        <f>G21*INDEX(NPV!$C$3:$C$42,MATCH('Environmental Protection'!$A21,NPV!$B$3:$B$42,0))+H21*INDEX(NPV!$D$3:$D$42,MATCH('Environmental Protection'!$A21,NPV!$B$3:$B$42,0))</f>
        <v>0</v>
      </c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</row>
    <row r="22" spans="1:53" ht="13.8">
      <c r="A22" s="66">
        <v>2041</v>
      </c>
      <c r="B22" s="67">
        <f>'Travel Time'!Q85-'Travel Time'!S85</f>
        <v>0</v>
      </c>
      <c r="C22" s="12">
        <f>'Travel Time'!P85-'Travel Time'!R85</f>
        <v>0</v>
      </c>
      <c r="D22" s="234">
        <f t="shared" si="4"/>
        <v>0</v>
      </c>
      <c r="E22" s="235">
        <f t="shared" si="0"/>
        <v>0</v>
      </c>
      <c r="F22" s="234">
        <f t="shared" si="1"/>
        <v>0</v>
      </c>
      <c r="G22" s="225">
        <f t="shared" si="2"/>
        <v>0</v>
      </c>
      <c r="H22" s="224">
        <f t="shared" si="3"/>
        <v>0</v>
      </c>
      <c r="I22" s="225">
        <f t="shared" si="5"/>
        <v>0</v>
      </c>
      <c r="J22" s="224">
        <f>G22*INDEX(NPV!$C$3:$C$42,MATCH('Environmental Protection'!$A22,NPV!$B$3:$B$42,0))+H22*INDEX(NPV!$D$3:$D$42,MATCH('Environmental Protection'!$A22,NPV!$B$3:$B$42,0))</f>
        <v>0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</row>
    <row r="23" spans="1:53" ht="13.8">
      <c r="A23" s="66">
        <v>2042</v>
      </c>
      <c r="B23" s="67">
        <f>'Travel Time'!Q86-'Travel Time'!S86</f>
        <v>0</v>
      </c>
      <c r="C23" s="12">
        <f>'Travel Time'!P86-'Travel Time'!R86</f>
        <v>0</v>
      </c>
      <c r="D23" s="234">
        <f t="shared" si="4"/>
        <v>0</v>
      </c>
      <c r="E23" s="235">
        <f t="shared" si="0"/>
        <v>0</v>
      </c>
      <c r="F23" s="234">
        <f t="shared" si="1"/>
        <v>0</v>
      </c>
      <c r="G23" s="225">
        <f t="shared" si="2"/>
        <v>0</v>
      </c>
      <c r="H23" s="224">
        <f t="shared" si="3"/>
        <v>0</v>
      </c>
      <c r="I23" s="225">
        <f t="shared" si="5"/>
        <v>0</v>
      </c>
      <c r="J23" s="224">
        <f>G23*INDEX(NPV!$C$3:$C$42,MATCH('Environmental Protection'!$A23,NPV!$B$3:$B$42,0))+H23*INDEX(NPV!$D$3:$D$42,MATCH('Environmental Protection'!$A23,NPV!$B$3:$B$42,0))</f>
        <v>0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</row>
    <row r="24" spans="1:53" ht="13.8">
      <c r="A24" s="66">
        <v>2043</v>
      </c>
      <c r="B24" s="67">
        <f>'Travel Time'!Q87-'Travel Time'!S87</f>
        <v>0</v>
      </c>
      <c r="C24" s="12">
        <f>'Travel Time'!P87-'Travel Time'!R87</f>
        <v>0</v>
      </c>
      <c r="D24" s="234">
        <f t="shared" si="4"/>
        <v>0</v>
      </c>
      <c r="E24" s="235">
        <f t="shared" si="0"/>
        <v>0</v>
      </c>
      <c r="F24" s="234">
        <f t="shared" si="1"/>
        <v>0</v>
      </c>
      <c r="G24" s="225">
        <f t="shared" si="2"/>
        <v>0</v>
      </c>
      <c r="H24" s="224">
        <f t="shared" si="3"/>
        <v>0</v>
      </c>
      <c r="I24" s="225">
        <f t="shared" si="5"/>
        <v>0</v>
      </c>
      <c r="J24" s="224">
        <f>G24*INDEX(NPV!$C$3:$C$42,MATCH('Environmental Protection'!$A24,NPV!$B$3:$B$42,0))+H24*INDEX(NPV!$D$3:$D$42,MATCH('Environmental Protection'!$A24,NPV!$B$3:$B$42,0))</f>
        <v>0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</row>
    <row r="25" spans="1:53" ht="13.8">
      <c r="A25" s="66">
        <v>2044</v>
      </c>
      <c r="B25" s="67">
        <f>'Travel Time'!Q88-'Travel Time'!S88</f>
        <v>0</v>
      </c>
      <c r="C25" s="12">
        <f>'Travel Time'!P88-'Travel Time'!R88</f>
        <v>0</v>
      </c>
      <c r="D25" s="234">
        <f t="shared" si="4"/>
        <v>0</v>
      </c>
      <c r="E25" s="235">
        <f t="shared" si="0"/>
        <v>0</v>
      </c>
      <c r="F25" s="234">
        <f t="shared" si="1"/>
        <v>0</v>
      </c>
      <c r="G25" s="225">
        <f t="shared" si="2"/>
        <v>0</v>
      </c>
      <c r="H25" s="224">
        <f t="shared" si="3"/>
        <v>0</v>
      </c>
      <c r="I25" s="225">
        <f t="shared" si="5"/>
        <v>0</v>
      </c>
      <c r="J25" s="224">
        <f>G25*INDEX(NPV!$C$3:$C$42,MATCH('Environmental Protection'!$A25,NPV!$B$3:$B$42,0))+H25*INDEX(NPV!$D$3:$D$42,MATCH('Environmental Protection'!$A25,NPV!$B$3:$B$42,0))</f>
        <v>0</v>
      </c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</row>
    <row r="26" spans="1:53" ht="13.8">
      <c r="A26" s="66">
        <v>2045</v>
      </c>
      <c r="B26" s="67">
        <f>'Travel Time'!Q89-'Travel Time'!S89</f>
        <v>0</v>
      </c>
      <c r="C26" s="12">
        <f>'Travel Time'!P89-'Travel Time'!R89</f>
        <v>0</v>
      </c>
      <c r="D26" s="234">
        <f t="shared" si="4"/>
        <v>0</v>
      </c>
      <c r="E26" s="235">
        <f t="shared" si="0"/>
        <v>0</v>
      </c>
      <c r="F26" s="234">
        <f t="shared" si="1"/>
        <v>0</v>
      </c>
      <c r="G26" s="225">
        <f t="shared" si="2"/>
        <v>0</v>
      </c>
      <c r="H26" s="224">
        <f t="shared" si="3"/>
        <v>0</v>
      </c>
      <c r="I26" s="225">
        <f t="shared" si="5"/>
        <v>0</v>
      </c>
      <c r="J26" s="224">
        <f>G26*INDEX(NPV!$C$3:$C$42,MATCH('Environmental Protection'!$A26,NPV!$B$3:$B$42,0))+H26*INDEX(NPV!$D$3:$D$42,MATCH('Environmental Protection'!$A26,NPV!$B$3:$B$42,0))</f>
        <v>0</v>
      </c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</row>
    <row r="27" spans="1:53" ht="13.8">
      <c r="A27" s="66">
        <v>2046</v>
      </c>
      <c r="B27" s="67">
        <f>'Travel Time'!Q90-'Travel Time'!S90</f>
        <v>0</v>
      </c>
      <c r="C27" s="12">
        <f>'Travel Time'!P90-'Travel Time'!R90</f>
        <v>0</v>
      </c>
      <c r="D27" s="234">
        <f t="shared" si="4"/>
        <v>0</v>
      </c>
      <c r="E27" s="235">
        <f t="shared" si="0"/>
        <v>0</v>
      </c>
      <c r="F27" s="234">
        <f t="shared" si="1"/>
        <v>0</v>
      </c>
      <c r="G27" s="225">
        <f t="shared" si="2"/>
        <v>0</v>
      </c>
      <c r="H27" s="224">
        <f t="shared" si="3"/>
        <v>0</v>
      </c>
      <c r="I27" s="225">
        <f t="shared" si="5"/>
        <v>0</v>
      </c>
      <c r="J27" s="224">
        <f>G27*INDEX(NPV!$C$3:$C$42,MATCH('Environmental Protection'!$A27,NPV!$B$3:$B$42,0))+H27*INDEX(NPV!$D$3:$D$42,MATCH('Environmental Protection'!$A27,NPV!$B$3:$B$42,0))</f>
        <v>0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</row>
    <row r="28" spans="1:53" ht="13.8">
      <c r="A28" s="66">
        <v>2047</v>
      </c>
      <c r="B28" s="67">
        <f>'Travel Time'!Q91-'Travel Time'!S91</f>
        <v>0</v>
      </c>
      <c r="C28" s="12">
        <f>'Travel Time'!P91-'Travel Time'!R91</f>
        <v>0</v>
      </c>
      <c r="D28" s="234">
        <f t="shared" si="4"/>
        <v>0</v>
      </c>
      <c r="E28" s="235">
        <f t="shared" si="0"/>
        <v>0</v>
      </c>
      <c r="F28" s="234">
        <f t="shared" si="1"/>
        <v>0</v>
      </c>
      <c r="G28" s="225">
        <f t="shared" si="2"/>
        <v>0</v>
      </c>
      <c r="H28" s="224">
        <f t="shared" si="3"/>
        <v>0</v>
      </c>
      <c r="I28" s="225">
        <f t="shared" si="5"/>
        <v>0</v>
      </c>
      <c r="J28" s="224">
        <f>G28*INDEX(NPV!$C$3:$C$42,MATCH('Environmental Protection'!$A28,NPV!$B$3:$B$42,0))+H28*INDEX(NPV!$D$3:$D$42,MATCH('Environmental Protection'!$A28,NPV!$B$3:$B$42,0))</f>
        <v>0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</row>
    <row r="29" spans="1:53" ht="14.4" thickBot="1">
      <c r="A29" s="195">
        <v>2048</v>
      </c>
      <c r="B29" s="266">
        <f>'Travel Time'!Q92-'Travel Time'!S92</f>
        <v>0</v>
      </c>
      <c r="C29" s="46">
        <f>'Travel Time'!P92-'Travel Time'!R92</f>
        <v>0</v>
      </c>
      <c r="D29" s="244">
        <f t="shared" si="4"/>
        <v>0</v>
      </c>
      <c r="E29" s="245">
        <f t="shared" si="0"/>
        <v>0</v>
      </c>
      <c r="F29" s="244">
        <f t="shared" si="1"/>
        <v>0</v>
      </c>
      <c r="G29" s="246">
        <f t="shared" si="2"/>
        <v>0</v>
      </c>
      <c r="H29" s="247">
        <f t="shared" si="3"/>
        <v>0</v>
      </c>
      <c r="I29" s="246">
        <f t="shared" si="5"/>
        <v>0</v>
      </c>
      <c r="J29" s="247">
        <f>G29*INDEX(NPV!$C$3:$C$42,MATCH('Environmental Protection'!$A29,NPV!$B$3:$B$42,0))+H29*INDEX(NPV!$D$3:$D$42,MATCH('Environmental Protection'!$A29,NPV!$B$3:$B$42,0))</f>
        <v>0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53" ht="16.5" customHeight="1" thickTop="1">
      <c r="A30" s="442" t="s">
        <v>16</v>
      </c>
      <c r="B30" s="443"/>
      <c r="C30" s="443"/>
      <c r="D30" s="443"/>
      <c r="E30" s="443"/>
      <c r="F30" s="444"/>
      <c r="G30" s="242">
        <f>SUM(G8:G29)</f>
        <v>0</v>
      </c>
      <c r="H30" s="243">
        <f>SUM(H8:H29)</f>
        <v>0</v>
      </c>
      <c r="I30" s="242">
        <f>SUM(I8:I29)</f>
        <v>0</v>
      </c>
      <c r="J30" s="243">
        <f>SUM(J8:J29)</f>
        <v>0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</row>
    <row r="31" spans="1:53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</row>
    <row r="32" spans="1:53" ht="13.8">
      <c r="A32" s="365" t="s">
        <v>164</v>
      </c>
      <c r="B32" s="407"/>
      <c r="C32" s="407"/>
      <c r="D32" s="407"/>
      <c r="E32" s="39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</row>
    <row r="33" spans="1:53" ht="13.8">
      <c r="A33" s="449" t="s">
        <v>39</v>
      </c>
      <c r="B33" s="365" t="s">
        <v>165</v>
      </c>
      <c r="C33" s="407"/>
      <c r="D33" s="407"/>
      <c r="E33" s="39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</row>
    <row r="34" spans="1:53" ht="13.8">
      <c r="A34" s="348"/>
      <c r="B34" s="10" t="s">
        <v>166</v>
      </c>
      <c r="C34" s="229" t="s">
        <v>167</v>
      </c>
      <c r="D34" s="229" t="s">
        <v>168</v>
      </c>
      <c r="E34" s="229" t="s">
        <v>161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</row>
    <row r="35" spans="1:53" ht="13.8">
      <c r="A35" s="194">
        <v>2021</v>
      </c>
      <c r="B35" s="231">
        <v>15600</v>
      </c>
      <c r="C35" s="240">
        <v>41500</v>
      </c>
      <c r="D35" s="231">
        <v>748600</v>
      </c>
      <c r="E35" s="240">
        <v>52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</row>
    <row r="36" spans="1:53" ht="13.8">
      <c r="A36" s="194">
        <v>2022</v>
      </c>
      <c r="B36" s="231">
        <v>15800</v>
      </c>
      <c r="C36" s="240">
        <v>42300</v>
      </c>
      <c r="D36" s="231">
        <v>761600</v>
      </c>
      <c r="E36" s="240">
        <v>53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</row>
    <row r="37" spans="1:53" ht="13.8">
      <c r="A37" s="194">
        <v>2023</v>
      </c>
      <c r="B37" s="231">
        <v>16000</v>
      </c>
      <c r="C37" s="240">
        <v>43100</v>
      </c>
      <c r="D37" s="231">
        <v>774700</v>
      </c>
      <c r="E37" s="240">
        <v>54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</row>
    <row r="38" spans="1:53" ht="13.8">
      <c r="A38" s="194">
        <v>2024</v>
      </c>
      <c r="B38" s="231">
        <v>16200</v>
      </c>
      <c r="C38" s="240">
        <v>44000</v>
      </c>
      <c r="D38" s="231">
        <v>788100</v>
      </c>
      <c r="E38" s="240">
        <v>55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</row>
    <row r="39" spans="1:53" ht="13.8">
      <c r="A39" s="194">
        <v>2025</v>
      </c>
      <c r="B39" s="231">
        <v>16500</v>
      </c>
      <c r="C39" s="240">
        <v>44900</v>
      </c>
      <c r="D39" s="231">
        <v>801700</v>
      </c>
      <c r="E39" s="240">
        <v>56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</row>
    <row r="40" spans="1:53" ht="13.8">
      <c r="A40" s="194">
        <v>2026</v>
      </c>
      <c r="B40" s="231">
        <v>16800</v>
      </c>
      <c r="C40" s="240">
        <v>45700</v>
      </c>
      <c r="D40" s="231">
        <v>814500</v>
      </c>
      <c r="E40" s="240">
        <v>57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</row>
    <row r="41" spans="1:53" ht="13.8">
      <c r="A41" s="194">
        <v>2027</v>
      </c>
      <c r="B41" s="231">
        <v>17100</v>
      </c>
      <c r="C41" s="240">
        <v>46500</v>
      </c>
      <c r="D41" s="231">
        <v>827400</v>
      </c>
      <c r="E41" s="240">
        <v>58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</row>
    <row r="42" spans="1:53" ht="13.8">
      <c r="A42" s="194">
        <v>2028</v>
      </c>
      <c r="B42" s="231">
        <v>17400</v>
      </c>
      <c r="C42" s="240">
        <v>47300</v>
      </c>
      <c r="D42" s="231">
        <v>840600</v>
      </c>
      <c r="E42" s="240">
        <v>60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</row>
    <row r="43" spans="1:53" ht="13.8">
      <c r="A43" s="194">
        <v>2029</v>
      </c>
      <c r="B43" s="231">
        <v>17700</v>
      </c>
      <c r="C43" s="240">
        <v>48200</v>
      </c>
      <c r="D43" s="231">
        <v>854000</v>
      </c>
      <c r="E43" s="240">
        <v>61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</row>
    <row r="44" spans="1:53" ht="13.8">
      <c r="A44" s="194">
        <v>2030</v>
      </c>
      <c r="B44" s="231">
        <v>18100</v>
      </c>
      <c r="C44" s="240">
        <v>49100</v>
      </c>
      <c r="D44" s="231">
        <v>867600</v>
      </c>
      <c r="E44" s="240">
        <v>62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</row>
    <row r="45" spans="1:53" ht="13.8">
      <c r="A45" s="194">
        <v>2031</v>
      </c>
      <c r="B45" s="231">
        <v>18100</v>
      </c>
      <c r="C45" s="240">
        <v>49100</v>
      </c>
      <c r="D45" s="231">
        <v>867600</v>
      </c>
      <c r="E45" s="240">
        <v>63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</row>
    <row r="46" spans="1:53" ht="13.8">
      <c r="A46" s="194">
        <v>2032</v>
      </c>
      <c r="B46" s="231">
        <v>18100</v>
      </c>
      <c r="C46" s="240">
        <v>49100</v>
      </c>
      <c r="D46" s="231">
        <v>867600</v>
      </c>
      <c r="E46" s="240">
        <v>64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</row>
    <row r="47" spans="1:53" ht="13.8">
      <c r="A47" s="194">
        <v>2033</v>
      </c>
      <c r="B47" s="231">
        <v>18100</v>
      </c>
      <c r="C47" s="240">
        <v>49100</v>
      </c>
      <c r="D47" s="231">
        <v>867600</v>
      </c>
      <c r="E47" s="240">
        <v>65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</row>
    <row r="48" spans="1:53" ht="13.8">
      <c r="A48" s="194">
        <v>2034</v>
      </c>
      <c r="B48" s="231">
        <v>18100</v>
      </c>
      <c r="C48" s="240">
        <v>49100</v>
      </c>
      <c r="D48" s="231">
        <v>867600</v>
      </c>
      <c r="E48" s="240">
        <v>66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</row>
    <row r="49" spans="1:53" ht="13.8">
      <c r="A49" s="194">
        <v>2035</v>
      </c>
      <c r="B49" s="231">
        <v>18100</v>
      </c>
      <c r="C49" s="240">
        <v>49100</v>
      </c>
      <c r="D49" s="231">
        <v>867600</v>
      </c>
      <c r="E49" s="240">
        <v>67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</row>
    <row r="50" spans="1:53" ht="13.8">
      <c r="A50" s="194">
        <v>2036</v>
      </c>
      <c r="B50" s="231">
        <v>18100</v>
      </c>
      <c r="C50" s="240">
        <v>49100</v>
      </c>
      <c r="D50" s="231">
        <v>867600</v>
      </c>
      <c r="E50" s="240">
        <v>69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</row>
    <row r="51" spans="1:53" ht="13.8">
      <c r="A51" s="194">
        <v>2037</v>
      </c>
      <c r="B51" s="231">
        <v>18100</v>
      </c>
      <c r="C51" s="240">
        <v>49100</v>
      </c>
      <c r="D51" s="231">
        <v>867600</v>
      </c>
      <c r="E51" s="240">
        <v>70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</row>
    <row r="52" spans="1:53" ht="13.8">
      <c r="A52" s="194">
        <v>2038</v>
      </c>
      <c r="B52" s="231">
        <v>18100</v>
      </c>
      <c r="C52" s="240">
        <v>49100</v>
      </c>
      <c r="D52" s="231">
        <v>867600</v>
      </c>
      <c r="E52" s="240">
        <v>71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</row>
    <row r="53" spans="1:53" ht="13.8">
      <c r="A53" s="194">
        <v>2039</v>
      </c>
      <c r="B53" s="231">
        <v>18100</v>
      </c>
      <c r="C53" s="240">
        <v>49100</v>
      </c>
      <c r="D53" s="231">
        <v>867600</v>
      </c>
      <c r="E53" s="240">
        <v>72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</row>
    <row r="54" spans="1:53" ht="13.8">
      <c r="A54" s="194">
        <v>2040</v>
      </c>
      <c r="B54" s="231">
        <v>18100</v>
      </c>
      <c r="C54" s="240">
        <v>49100</v>
      </c>
      <c r="D54" s="231">
        <v>867600</v>
      </c>
      <c r="E54" s="240">
        <v>73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</row>
    <row r="55" spans="1:53" ht="13.8">
      <c r="A55" s="194">
        <v>2041</v>
      </c>
      <c r="B55" s="231">
        <v>18100</v>
      </c>
      <c r="C55" s="240">
        <v>49100</v>
      </c>
      <c r="D55" s="231">
        <v>867600</v>
      </c>
      <c r="E55" s="240">
        <v>74</v>
      </c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</row>
    <row r="56" spans="1:53" ht="13.8">
      <c r="A56" s="194">
        <v>2042</v>
      </c>
      <c r="B56" s="231">
        <v>18100</v>
      </c>
      <c r="C56" s="240">
        <v>49100</v>
      </c>
      <c r="D56" s="231">
        <v>867600</v>
      </c>
      <c r="E56" s="240">
        <v>75</v>
      </c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</row>
    <row r="57" spans="1:53" ht="13.8">
      <c r="A57" s="194">
        <v>2043</v>
      </c>
      <c r="B57" s="231">
        <v>18100</v>
      </c>
      <c r="C57" s="240">
        <v>49100</v>
      </c>
      <c r="D57" s="231">
        <v>867600</v>
      </c>
      <c r="E57" s="240">
        <v>77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</row>
    <row r="58" spans="1:53" ht="13.8">
      <c r="A58" s="194">
        <v>2044</v>
      </c>
      <c r="B58" s="231">
        <v>18100</v>
      </c>
      <c r="C58" s="240">
        <v>49100</v>
      </c>
      <c r="D58" s="231">
        <v>867600</v>
      </c>
      <c r="E58" s="240">
        <v>78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</row>
    <row r="59" spans="1:53" ht="13.8">
      <c r="A59" s="194">
        <v>2045</v>
      </c>
      <c r="B59" s="231">
        <v>18100</v>
      </c>
      <c r="C59" s="240">
        <v>49100</v>
      </c>
      <c r="D59" s="231">
        <v>867600</v>
      </c>
      <c r="E59" s="240">
        <v>79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</row>
    <row r="60" spans="1:53" ht="13.8">
      <c r="A60" s="194">
        <v>2046</v>
      </c>
      <c r="B60" s="231">
        <v>18100</v>
      </c>
      <c r="C60" s="240">
        <v>49100</v>
      </c>
      <c r="D60" s="231">
        <v>867600</v>
      </c>
      <c r="E60" s="240">
        <v>80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</row>
    <row r="61" spans="1:53" ht="13.8">
      <c r="A61" s="194">
        <v>2047</v>
      </c>
      <c r="B61" s="231">
        <v>18100</v>
      </c>
      <c r="C61" s="240">
        <v>49100</v>
      </c>
      <c r="D61" s="231">
        <v>867600</v>
      </c>
      <c r="E61" s="240">
        <v>81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</row>
    <row r="62" spans="1:53" ht="13.8">
      <c r="A62" s="194">
        <v>2048</v>
      </c>
      <c r="B62" s="231">
        <v>18100</v>
      </c>
      <c r="C62" s="240">
        <v>49100</v>
      </c>
      <c r="D62" s="231">
        <v>867600</v>
      </c>
      <c r="E62" s="240">
        <v>82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</row>
    <row r="63" spans="1:53" ht="13.8">
      <c r="A63" s="194">
        <v>2049</v>
      </c>
      <c r="B63" s="231">
        <v>18100</v>
      </c>
      <c r="C63" s="240">
        <v>49100</v>
      </c>
      <c r="D63" s="231">
        <v>867600</v>
      </c>
      <c r="E63" s="240">
        <v>83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</row>
    <row r="64" spans="1:53" ht="13.8">
      <c r="A64" s="239">
        <v>2050</v>
      </c>
      <c r="B64" s="232">
        <v>18100</v>
      </c>
      <c r="C64" s="241">
        <v>49100</v>
      </c>
      <c r="D64" s="232">
        <v>867600</v>
      </c>
      <c r="E64" s="241">
        <v>85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</row>
    <row r="65" spans="1:53">
      <c r="A65" s="233" t="s">
        <v>169</v>
      </c>
      <c r="B65" s="89"/>
      <c r="C65" s="89"/>
      <c r="D65" s="89"/>
      <c r="E65" s="89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</row>
    <row r="66" spans="1:53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</row>
    <row r="67" spans="1:53" ht="13.8">
      <c r="A67" s="450" t="s">
        <v>170</v>
      </c>
      <c r="B67" s="451"/>
      <c r="C67" s="451"/>
      <c r="D67" s="452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</row>
    <row r="68" spans="1:53" ht="13.8">
      <c r="A68" s="70" t="s">
        <v>171</v>
      </c>
      <c r="B68" s="70" t="s">
        <v>166</v>
      </c>
      <c r="C68" s="70" t="s">
        <v>168</v>
      </c>
      <c r="D68" s="70" t="s">
        <v>172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</row>
    <row r="69" spans="1:53">
      <c r="A69" s="71" t="s">
        <v>173</v>
      </c>
      <c r="B69" s="248">
        <v>0.192</v>
      </c>
      <c r="C69" s="249">
        <v>4.0000000000000001E-3</v>
      </c>
      <c r="D69" s="248">
        <v>4.1520000000000001</v>
      </c>
      <c r="E69" s="65"/>
      <c r="F69" s="304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</row>
    <row r="70" spans="1:53">
      <c r="A70" s="71" t="s">
        <v>174</v>
      </c>
      <c r="B70" s="248">
        <v>4.1689999999999996</v>
      </c>
      <c r="C70" s="249">
        <v>0.106</v>
      </c>
      <c r="D70" s="250">
        <v>2</v>
      </c>
      <c r="E70" s="72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</row>
    <row r="71" spans="1:53">
      <c r="A71" s="439" t="s">
        <v>175</v>
      </c>
      <c r="B71" s="440"/>
      <c r="C71" s="440"/>
      <c r="D71" s="441"/>
      <c r="E71" s="73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</row>
    <row r="72" spans="1:53" ht="13.2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</row>
    <row r="73" spans="1:53">
      <c r="A73" s="65"/>
      <c r="B73" s="65"/>
      <c r="C73" s="65"/>
      <c r="D73" s="65"/>
      <c r="E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</row>
    <row r="74" spans="1:53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</row>
    <row r="75" spans="1:53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</row>
    <row r="76" spans="1:53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</row>
    <row r="77" spans="1:53">
      <c r="A77" s="74"/>
      <c r="B77" s="74"/>
      <c r="C77" s="74"/>
      <c r="D77" s="74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</row>
    <row r="78" spans="1:53" ht="12.75" customHeight="1">
      <c r="A78" s="74"/>
      <c r="B78" s="74"/>
      <c r="C78" s="74"/>
      <c r="D78" s="74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</row>
    <row r="79" spans="1:53">
      <c r="A79" s="74"/>
      <c r="B79" s="74"/>
      <c r="C79" s="74"/>
      <c r="D79" s="74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</row>
    <row r="80" spans="1:53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</row>
    <row r="81" spans="1:53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</row>
    <row r="82" spans="1:53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</row>
    <row r="83" spans="1:53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</row>
    <row r="84" spans="1:53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</row>
    <row r="85" spans="1:53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</row>
    <row r="86" spans="1:53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</row>
    <row r="87" spans="1:53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</row>
    <row r="88" spans="1:53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</row>
    <row r="89" spans="1:53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</row>
    <row r="90" spans="1:53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</row>
    <row r="91" spans="1:53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</row>
    <row r="92" spans="1:53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</row>
    <row r="93" spans="1:53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</row>
    <row r="94" spans="1:53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</row>
    <row r="95" spans="1:53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</row>
    <row r="96" spans="1:53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</row>
    <row r="97" spans="1:53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</row>
    <row r="98" spans="1:53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</row>
    <row r="99" spans="1:53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</row>
    <row r="100" spans="1:53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</row>
    <row r="101" spans="1:53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</row>
    <row r="102" spans="1:53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</row>
    <row r="103" spans="1:53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</row>
    <row r="104" spans="1:53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</row>
    <row r="105" spans="1:53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</row>
    <row r="106" spans="1:53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</row>
    <row r="107" spans="1:53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</row>
    <row r="108" spans="1:53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</row>
    <row r="109" spans="1:53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</row>
    <row r="110" spans="1:53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</row>
    <row r="111" spans="1:53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</row>
    <row r="112" spans="1:53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</row>
    <row r="113" spans="1:53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</row>
    <row r="114" spans="1:53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</row>
    <row r="115" spans="1:53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</row>
    <row r="116" spans="1:53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</row>
    <row r="117" spans="1:53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</row>
    <row r="118" spans="1:53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</row>
    <row r="119" spans="1:53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</row>
    <row r="120" spans="1:53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</row>
    <row r="121" spans="1:53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</row>
    <row r="122" spans="1:53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</row>
    <row r="123" spans="1:53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</row>
    <row r="124" spans="1:53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</row>
    <row r="125" spans="1:53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</row>
    <row r="126" spans="1:53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</row>
    <row r="127" spans="1:53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</row>
    <row r="128" spans="1:53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</row>
    <row r="129" spans="1:53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</row>
    <row r="130" spans="1:53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</row>
    <row r="131" spans="1:53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</row>
    <row r="132" spans="1:53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</row>
    <row r="133" spans="1:53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</row>
    <row r="134" spans="1:53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</row>
    <row r="135" spans="1:53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</row>
    <row r="136" spans="1:53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</row>
    <row r="137" spans="1:53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</row>
    <row r="138" spans="1:53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</row>
    <row r="139" spans="1:53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</row>
    <row r="140" spans="1:53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</row>
    <row r="141" spans="1:53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</row>
    <row r="142" spans="1:53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</row>
    <row r="143" spans="1:53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</row>
    <row r="144" spans="1:53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</row>
    <row r="145" spans="1:53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</row>
    <row r="146" spans="1:53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</row>
    <row r="147" spans="1:53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</row>
    <row r="148" spans="1:53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</row>
    <row r="149" spans="1:53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</row>
    <row r="150" spans="1:53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</row>
    <row r="151" spans="1:53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</row>
    <row r="152" spans="1:53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</row>
    <row r="153" spans="1:53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</row>
    <row r="154" spans="1:53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</row>
    <row r="155" spans="1:53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</row>
    <row r="156" spans="1:53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</row>
    <row r="157" spans="1:53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</row>
    <row r="158" spans="1:53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</row>
    <row r="159" spans="1:53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</row>
    <row r="160" spans="1:53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</row>
    <row r="161" spans="1:53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</row>
    <row r="162" spans="1:53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</row>
    <row r="163" spans="1:53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</row>
    <row r="164" spans="1:53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</row>
    <row r="165" spans="1:53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</row>
    <row r="166" spans="1:53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</row>
    <row r="167" spans="1:53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</row>
    <row r="168" spans="1:53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</row>
    <row r="169" spans="1:53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</row>
    <row r="170" spans="1:53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</row>
    <row r="171" spans="1:53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</row>
    <row r="172" spans="1:53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</row>
    <row r="173" spans="1:53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</row>
    <row r="174" spans="1:53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</row>
    <row r="175" spans="1:53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</row>
    <row r="176" spans="1:53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</row>
    <row r="177" spans="1:53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</row>
    <row r="178" spans="1:53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</row>
    <row r="179" spans="1:53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</row>
    <row r="180" spans="1:53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</row>
    <row r="181" spans="1:53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</row>
    <row r="182" spans="1:53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</row>
    <row r="183" spans="1:53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</row>
    <row r="184" spans="1:53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</row>
    <row r="185" spans="1:53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</row>
    <row r="186" spans="1:53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</row>
    <row r="187" spans="1:53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</row>
    <row r="188" spans="1:53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</row>
    <row r="189" spans="1:53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</row>
    <row r="190" spans="1:53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</row>
    <row r="191" spans="1:53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</row>
    <row r="192" spans="1:53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</row>
    <row r="193" spans="1:53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</row>
    <row r="194" spans="1:53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</row>
    <row r="195" spans="1:53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</row>
    <row r="196" spans="1:53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</row>
    <row r="197" spans="1:53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</row>
    <row r="198" spans="1:53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</row>
    <row r="199" spans="1:53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</row>
    <row r="200" spans="1:53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</row>
    <row r="201" spans="1:53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</row>
    <row r="202" spans="1:53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</row>
    <row r="203" spans="1:53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</row>
    <row r="204" spans="1:53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</row>
    <row r="205" spans="1:53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</row>
    <row r="206" spans="1:53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</row>
    <row r="207" spans="1:53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</row>
    <row r="208" spans="1:53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</row>
    <row r="209" spans="1:53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</row>
    <row r="210" spans="1:53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</row>
    <row r="211" spans="1:53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</row>
    <row r="212" spans="1:53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</row>
    <row r="213" spans="1:53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</row>
    <row r="214" spans="1:53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</row>
    <row r="215" spans="1:53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</row>
    <row r="216" spans="1:53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</row>
    <row r="217" spans="1:53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</row>
    <row r="218" spans="1:53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</row>
    <row r="219" spans="1:53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</row>
    <row r="220" spans="1:53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</row>
    <row r="221" spans="1:53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</row>
    <row r="222" spans="1:53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</row>
    <row r="223" spans="1:53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</row>
    <row r="224" spans="1:53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</row>
    <row r="225" spans="1:53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</row>
    <row r="226" spans="1:53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</row>
    <row r="227" spans="1:53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</row>
    <row r="228" spans="1:53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</row>
    <row r="229" spans="1:53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</row>
    <row r="230" spans="1:53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</row>
    <row r="231" spans="1:53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</row>
    <row r="232" spans="1:53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</row>
    <row r="233" spans="1:53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</row>
    <row r="234" spans="1:53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</row>
    <row r="235" spans="1:53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</row>
    <row r="236" spans="1:53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</row>
    <row r="237" spans="1:53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</row>
    <row r="238" spans="1:53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</row>
    <row r="239" spans="1:53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</row>
    <row r="240" spans="1:53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</row>
    <row r="241" spans="1:53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</row>
    <row r="242" spans="1:53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</row>
    <row r="243" spans="1:53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</row>
    <row r="244" spans="1:53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</row>
    <row r="245" spans="1:53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</row>
    <row r="246" spans="1:53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</row>
    <row r="247" spans="1:53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</row>
    <row r="248" spans="1:53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</row>
    <row r="249" spans="1:53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</row>
    <row r="250" spans="1:53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</row>
    <row r="251" spans="1:53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</row>
    <row r="252" spans="1:53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</row>
    <row r="253" spans="1:53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</row>
    <row r="254" spans="1:53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</row>
    <row r="255" spans="1:53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</row>
    <row r="256" spans="1:53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</row>
    <row r="257" spans="1:53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</row>
    <row r="258" spans="1:53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</row>
    <row r="259" spans="1:53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</row>
    <row r="260" spans="1:53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</row>
    <row r="261" spans="1:53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</row>
    <row r="262" spans="1:53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</row>
    <row r="263" spans="1:53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</row>
    <row r="264" spans="1:53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</row>
    <row r="265" spans="1:53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</row>
    <row r="266" spans="1:53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</row>
    <row r="267" spans="1:53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</row>
    <row r="268" spans="1:53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</row>
    <row r="269" spans="1:53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</row>
    <row r="270" spans="1:53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</row>
    <row r="271" spans="1:53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</row>
    <row r="272" spans="1:53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</row>
    <row r="273" spans="1:53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</row>
    <row r="274" spans="1:53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</row>
    <row r="275" spans="1:53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</row>
    <row r="276" spans="1:53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</row>
    <row r="277" spans="1:53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</row>
    <row r="278" spans="1:53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</row>
    <row r="279" spans="1:53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</row>
    <row r="280" spans="1:53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</row>
    <row r="281" spans="1:53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</row>
    <row r="282" spans="1:53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</row>
    <row r="283" spans="1:53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</row>
    <row r="284" spans="1:53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</row>
    <row r="285" spans="1:53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</row>
    <row r="286" spans="1:53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</row>
    <row r="287" spans="1:53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</row>
    <row r="288" spans="1:53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</row>
    <row r="289" spans="1:53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</row>
    <row r="290" spans="1:53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</row>
    <row r="291" spans="1:53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</row>
    <row r="292" spans="1:53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</row>
    <row r="293" spans="1:53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</row>
    <row r="294" spans="1:53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</row>
    <row r="295" spans="1:53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</row>
    <row r="296" spans="1:53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</row>
    <row r="297" spans="1:53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</row>
    <row r="298" spans="1:53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</row>
    <row r="299" spans="1:53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</row>
    <row r="300" spans="1:53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</row>
    <row r="301" spans="1:53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</row>
    <row r="302" spans="1:53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</row>
    <row r="303" spans="1:53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</row>
    <row r="304" spans="1:53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</row>
    <row r="305" spans="1:53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</row>
    <row r="306" spans="1:53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</row>
    <row r="307" spans="1:53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</row>
    <row r="308" spans="1:53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</row>
    <row r="309" spans="1:53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</row>
    <row r="310" spans="1:53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</row>
    <row r="311" spans="1:53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</row>
    <row r="312" spans="1:53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</row>
    <row r="313" spans="1:53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</row>
    <row r="314" spans="1:53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</row>
    <row r="315" spans="1:53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</row>
    <row r="316" spans="1:53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</row>
    <row r="317" spans="1:53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</row>
    <row r="318" spans="1:53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</row>
    <row r="319" spans="1:53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</row>
    <row r="320" spans="1:53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</row>
    <row r="321" spans="1:53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</row>
    <row r="322" spans="1:53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</row>
    <row r="323" spans="1:53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</row>
    <row r="324" spans="1:53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</row>
    <row r="325" spans="1:53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</row>
    <row r="326" spans="1:53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</row>
    <row r="327" spans="1:53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</row>
    <row r="328" spans="1:53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</row>
    <row r="329" spans="1:53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</row>
    <row r="330" spans="1:53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</row>
    <row r="331" spans="1:53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</row>
    <row r="332" spans="1:53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</row>
    <row r="333" spans="1:53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</row>
    <row r="334" spans="1:53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</row>
    <row r="335" spans="1:53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</row>
    <row r="336" spans="1:53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</row>
    <row r="337" spans="1:53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</row>
    <row r="338" spans="1:53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</row>
    <row r="339" spans="1:53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</row>
    <row r="340" spans="1:53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</row>
    <row r="341" spans="1:53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</row>
    <row r="342" spans="1:53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</row>
    <row r="343" spans="1:53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</row>
    <row r="344" spans="1:53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</row>
    <row r="345" spans="1:53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</row>
    <row r="346" spans="1:53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</row>
    <row r="347" spans="1:53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</row>
    <row r="348" spans="1:53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</row>
    <row r="349" spans="1:53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</row>
    <row r="350" spans="1:53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</row>
    <row r="351" spans="1:53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</row>
    <row r="352" spans="1:53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</row>
    <row r="353" spans="1:53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</row>
    <row r="354" spans="1:53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</row>
    <row r="355" spans="1:53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</row>
    <row r="356" spans="1:53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</row>
    <row r="357" spans="1:53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</row>
    <row r="358" spans="1:53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</row>
    <row r="359" spans="1:53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</row>
    <row r="360" spans="1:53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</row>
    <row r="361" spans="1:53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</row>
    <row r="362" spans="1:53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</row>
    <row r="363" spans="1:53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</row>
    <row r="364" spans="1:53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</row>
    <row r="365" spans="1:53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</row>
    <row r="366" spans="1:53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</row>
    <row r="367" spans="1:53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</row>
    <row r="368" spans="1:53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</row>
    <row r="369" spans="1:53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</row>
    <row r="370" spans="1:53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</row>
    <row r="371" spans="1:53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</row>
    <row r="372" spans="1:53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</row>
    <row r="373" spans="1:53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</row>
    <row r="374" spans="1:53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</row>
    <row r="375" spans="1:53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</row>
    <row r="376" spans="1:53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</row>
    <row r="377" spans="1:53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</row>
    <row r="378" spans="1:53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</row>
    <row r="379" spans="1:53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</row>
    <row r="380" spans="1:53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</row>
    <row r="381" spans="1:53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</row>
    <row r="382" spans="1:53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</row>
    <row r="383" spans="1:53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</row>
    <row r="384" spans="1:53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</row>
    <row r="385" spans="1:53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</row>
    <row r="386" spans="1:53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</row>
    <row r="387" spans="1:53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</row>
    <row r="388" spans="1:53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</row>
    <row r="389" spans="1:53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</row>
    <row r="390" spans="1:53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</row>
    <row r="391" spans="1:53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</row>
    <row r="392" spans="1:53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</row>
    <row r="393" spans="1:53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</row>
    <row r="394" spans="1:53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</row>
    <row r="395" spans="1:53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</row>
    <row r="396" spans="1:53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</row>
    <row r="397" spans="1:53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</row>
    <row r="398" spans="1:53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</row>
    <row r="399" spans="1:53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</row>
    <row r="400" spans="1:53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</row>
    <row r="401" spans="1:53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</row>
    <row r="402" spans="1:53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</row>
    <row r="403" spans="1:53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</row>
    <row r="404" spans="1:53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</row>
    <row r="405" spans="1:53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</row>
    <row r="406" spans="1:53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</row>
    <row r="407" spans="1:53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</row>
    <row r="408" spans="1:53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</row>
    <row r="409" spans="1:53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</row>
    <row r="410" spans="1:53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</row>
    <row r="411" spans="1:53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</row>
    <row r="412" spans="1:53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</row>
    <row r="413" spans="1:53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</row>
    <row r="414" spans="1:53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</row>
    <row r="415" spans="1:53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</row>
    <row r="416" spans="1:53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</row>
    <row r="417" spans="1:53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</row>
    <row r="418" spans="1:53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</row>
    <row r="419" spans="1:53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</row>
    <row r="420" spans="1:53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</row>
    <row r="421" spans="1:53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</row>
    <row r="422" spans="1:53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</row>
    <row r="423" spans="1:53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</row>
    <row r="424" spans="1:53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</row>
    <row r="425" spans="1:53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</row>
    <row r="426" spans="1:53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</row>
    <row r="427" spans="1:53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</row>
    <row r="428" spans="1:53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</row>
    <row r="429" spans="1:53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</row>
    <row r="430" spans="1:53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</row>
    <row r="431" spans="1:53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</row>
    <row r="432" spans="1:53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</row>
    <row r="433" spans="1:53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</row>
    <row r="434" spans="1:53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</row>
    <row r="435" spans="1:53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</row>
    <row r="436" spans="1:53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</row>
    <row r="437" spans="1:53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</row>
    <row r="438" spans="1:53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</row>
    <row r="439" spans="1:53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</row>
    <row r="440" spans="1:53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</row>
    <row r="441" spans="1:53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</row>
    <row r="442" spans="1:53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</row>
    <row r="443" spans="1:53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</row>
    <row r="444" spans="1:53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</row>
    <row r="445" spans="1:53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</row>
    <row r="446" spans="1:53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</row>
    <row r="447" spans="1:53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</row>
    <row r="448" spans="1:53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</row>
    <row r="449" spans="1:53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</row>
    <row r="450" spans="1:53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</row>
    <row r="451" spans="1:53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</row>
    <row r="452" spans="1:53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</row>
    <row r="453" spans="1:53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</row>
    <row r="454" spans="1:53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</row>
    <row r="455" spans="1:53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</row>
    <row r="456" spans="1:53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</row>
    <row r="457" spans="1:53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</row>
    <row r="458" spans="1:53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</row>
    <row r="459" spans="1:53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</row>
    <row r="460" spans="1:53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</row>
    <row r="461" spans="1:53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</row>
    <row r="462" spans="1:53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</row>
    <row r="463" spans="1:53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</row>
    <row r="464" spans="1:53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</row>
    <row r="465" spans="1:53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</row>
    <row r="466" spans="1:53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</row>
    <row r="467" spans="1:53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</row>
    <row r="468" spans="1:53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</row>
    <row r="469" spans="1:53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</row>
    <row r="470" spans="1:53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</row>
    <row r="471" spans="1:53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</row>
    <row r="472" spans="1:53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</row>
    <row r="473" spans="1:53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</row>
    <row r="474" spans="1:53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</row>
    <row r="475" spans="1:53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</row>
    <row r="476" spans="1:53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</row>
    <row r="477" spans="1:53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</row>
    <row r="478" spans="1:53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</row>
    <row r="479" spans="1:53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</row>
    <row r="480" spans="1:53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</row>
    <row r="481" spans="1:53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</row>
    <row r="482" spans="1:53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</row>
    <row r="483" spans="1:53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</row>
    <row r="484" spans="1:53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</row>
    <row r="485" spans="1:53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</row>
    <row r="486" spans="1:53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</row>
    <row r="487" spans="1:53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</row>
    <row r="488" spans="1:53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</row>
    <row r="489" spans="1:53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</row>
    <row r="490" spans="1:53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</row>
    <row r="491" spans="1:53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</row>
    <row r="492" spans="1:53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</row>
    <row r="493" spans="1:53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</row>
    <row r="494" spans="1:53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</row>
    <row r="495" spans="1:53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</row>
    <row r="496" spans="1:53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</row>
    <row r="497" spans="1:53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</row>
    <row r="498" spans="1:53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</row>
    <row r="499" spans="1:53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</row>
    <row r="500" spans="1:53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</row>
    <row r="501" spans="1:53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</row>
    <row r="502" spans="1:53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</row>
    <row r="503" spans="1:53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</row>
    <row r="504" spans="1:53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</row>
    <row r="505" spans="1:53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</row>
    <row r="506" spans="1:53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</row>
    <row r="507" spans="1:53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</row>
    <row r="508" spans="1:53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</row>
    <row r="509" spans="1:53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</row>
    <row r="510" spans="1:53"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</row>
  </sheetData>
  <mergeCells count="14">
    <mergeCell ref="A71:D71"/>
    <mergeCell ref="A30:F30"/>
    <mergeCell ref="G6:J6"/>
    <mergeCell ref="A1:C1"/>
    <mergeCell ref="A2:B2"/>
    <mergeCell ref="A3:B3"/>
    <mergeCell ref="A6:A7"/>
    <mergeCell ref="B6:C6"/>
    <mergeCell ref="D6:F6"/>
    <mergeCell ref="A5:J5"/>
    <mergeCell ref="A32:E32"/>
    <mergeCell ref="A33:A34"/>
    <mergeCell ref="B33:E33"/>
    <mergeCell ref="A67:D67"/>
  </mergeCells>
  <pageMargins left="0.25" right="0.25" top="0.75" bottom="0.75" header="0.3" footer="0.3"/>
  <pageSetup paperSize="3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32FAF92C6BD43913D1B8554C5CA89" ma:contentTypeVersion="18" ma:contentTypeDescription="Create a new document." ma:contentTypeScope="" ma:versionID="765281045f871ba0e4adc21a69a77e40">
  <xsd:schema xmlns:xsd="http://www.w3.org/2001/XMLSchema" xmlns:xs="http://www.w3.org/2001/XMLSchema" xmlns:p="http://schemas.microsoft.com/office/2006/metadata/properties" xmlns:ns1="http://schemas.microsoft.com/sharepoint/v3" xmlns:ns2="f40aa4e5-11f0-47b3-bb66-a9479c39c64d" xmlns:ns3="44259822-5f70-4047-b4aa-84c0187a967b" targetNamespace="http://schemas.microsoft.com/office/2006/metadata/properties" ma:root="true" ma:fieldsID="b4c9b4399ca725b51fe4871b0f1b942c" ns1:_="" ns2:_="" ns3:_="">
    <xsd:import namespace="http://schemas.microsoft.com/sharepoint/v3"/>
    <xsd:import namespace="f40aa4e5-11f0-47b3-bb66-a9479c39c64d"/>
    <xsd:import namespace="44259822-5f70-4047-b4aa-84c0187a96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Processed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0aa4e5-11f0-47b3-bb66-a9479c39c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rocessed" ma:index="22" nillable="true" ma:displayName="Processed" ma:default="0" ma:internalName="Processed">
      <xsd:simpleType>
        <xsd:restriction base="dms:Boolean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59822-5f70-4047-b4aa-84c0187a9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rocessed xmlns="f40aa4e5-11f0-47b3-bb66-a9479c39c64d">false</Processed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817512-FA70-4D5F-BBB6-4096C0CD3C79}"/>
</file>

<file path=customXml/itemProps2.xml><?xml version="1.0" encoding="utf-8"?>
<ds:datastoreItem xmlns:ds="http://schemas.openxmlformats.org/officeDocument/2006/customXml" ds:itemID="{8C31E25B-4624-40D0-87C9-9E97A794F0E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8f60d0e-772c-46fc-9a8a-069d9cba11f4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2908EE-61E2-4718-B4CD-CD9F2C85B7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</vt:lpstr>
      <vt:lpstr>Summary Table</vt:lpstr>
      <vt:lpstr>NPV</vt:lpstr>
      <vt:lpstr>Costs</vt:lpstr>
      <vt:lpstr>Maintenance</vt:lpstr>
      <vt:lpstr>Safety</vt:lpstr>
      <vt:lpstr>Travel Time</vt:lpstr>
      <vt:lpstr>Environmental Protection</vt:lpstr>
      <vt:lpstr>Costs!Print_Area</vt:lpstr>
      <vt:lpstr>'Environmental Protection'!Print_Area</vt:lpstr>
      <vt:lpstr>Maintenance!Print_Area</vt:lpstr>
      <vt:lpstr>NPV!Print_Area</vt:lpstr>
      <vt:lpstr>Summary!Print_Area</vt:lpstr>
      <vt:lpstr>'Summary Table'!Print_Area</vt:lpstr>
      <vt:lpstr>'Travel Time'!Print_Area</vt:lpstr>
    </vt:vector>
  </TitlesOfParts>
  <Manager/>
  <Company>Kimley-Horn and Associates,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aaron.nathan</dc:creator>
  <cp:keywords/>
  <dc:description/>
  <cp:lastModifiedBy>zcowart.Checker</cp:lastModifiedBy>
  <cp:revision/>
  <dcterms:created xsi:type="dcterms:W3CDTF">2011-10-18T15:31:40Z</dcterms:created>
  <dcterms:modified xsi:type="dcterms:W3CDTF">2022-05-18T21:18:17Z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0x010100F5732FAF92C6BD43913D1B8554C5CA89</vt:lpwstr>
  </property>
  <property fmtid="{D5CDD505-2E9C-101B-9397-08002B2CF9AE}" pid="3" name="Dam_Crash_Cost" linkTarget="Prop_Dam_Crash_Cost">
    <vt:lpwstr>#REF!</vt:lpwstr>
  </property>
</Properties>
</file>