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U:\SAPM\Grants\MPDG\MEGA-INFRA\Enhancing Safety and Mobility in West Tulsa - I-44 and US-75 Corridor Improvements\Website\2. Benefit Cost Analysis\"/>
    </mc:Choice>
  </mc:AlternateContent>
  <xr:revisionPtr revIDLastSave="0" documentId="8_{387DC56D-4FBC-4078-90EB-D1C6E9527828}" xr6:coauthVersionLast="47" xr6:coauthVersionMax="47" xr10:uidLastSave="{00000000-0000-0000-0000-000000000000}"/>
  <bookViews>
    <workbookView xWindow="-120" yWindow="-120" windowWidth="29040" windowHeight="15840" tabRatio="830" xr2:uid="{D9592330-F94D-418B-A55C-A04D45C285FD}"/>
  </bookViews>
  <sheets>
    <sheet name="Results" sheetId="3" r:id="rId1"/>
    <sheet name="TT" sheetId="2" r:id="rId2"/>
    <sheet name="Emissions" sheetId="14" r:id="rId3"/>
    <sheet name="Safety" sheetId="6" r:id="rId4"/>
    <sheet name="Shipper Costs" sheetId="13" r:id="rId5"/>
    <sheet name="Costs" sheetId="1" r:id="rId6"/>
    <sheet name="TDM" sheetId="8" r:id="rId7"/>
    <sheet name="NEW Factors" sheetId="15" r:id="rId8"/>
    <sheet name="Look Up" sheetId="5" r:id="rId9"/>
    <sheet name="Report table" sheetId="17" r:id="rId10"/>
    <sheet name="Sheet2" sheetId="10" state="hidden" r:id="rId11"/>
    <sheet name="Sheet1" sheetId="9"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2" i="1" l="1"/>
  <c r="B52" i="1"/>
  <c r="C49" i="1"/>
  <c r="C50" i="1"/>
  <c r="C48" i="1"/>
  <c r="C42" i="1" l="1"/>
  <c r="C43" i="1"/>
  <c r="C41" i="1"/>
  <c r="B36" i="1"/>
  <c r="M98" i="15"/>
  <c r="N98" i="15" s="1"/>
  <c r="F98" i="15" s="1"/>
  <c r="M99" i="15"/>
  <c r="N99" i="15" s="1"/>
  <c r="F99" i="15" s="1"/>
  <c r="M97" i="15"/>
  <c r="N97" i="15" s="1"/>
  <c r="F97" i="15" s="1"/>
  <c r="B31" i="1" l="1"/>
  <c r="B32" i="1"/>
  <c r="B33" i="1"/>
  <c r="B37" i="1"/>
  <c r="B30" i="1"/>
  <c r="AC45" i="6"/>
  <c r="AB3" i="2"/>
  <c r="AB11" i="2"/>
  <c r="AH2" i="3"/>
  <c r="AH4" i="3"/>
  <c r="AH5" i="3"/>
  <c r="AH6" i="3"/>
  <c r="AH7" i="3"/>
  <c r="AH9" i="3"/>
  <c r="AH14" i="3"/>
  <c r="F27" i="14"/>
  <c r="E27" i="14"/>
  <c r="D27" i="14"/>
  <c r="C27" i="14"/>
  <c r="B27" i="14"/>
  <c r="F26" i="14"/>
  <c r="E26" i="14"/>
  <c r="D26" i="14"/>
  <c r="C26" i="14"/>
  <c r="B26" i="14"/>
  <c r="F25" i="14"/>
  <c r="E25" i="14"/>
  <c r="D25" i="14"/>
  <c r="C25" i="14"/>
  <c r="B25" i="14"/>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H10" i="3" s="1"/>
  <c r="B6" i="1"/>
  <c r="G16" i="13"/>
  <c r="B23" i="6"/>
  <c r="B24" i="6"/>
  <c r="B25" i="6"/>
  <c r="B26" i="6"/>
  <c r="B22" i="6"/>
  <c r="AI22" i="5"/>
  <c r="AJ22" i="5" s="1"/>
  <c r="AK22" i="5" s="1"/>
  <c r="AL22" i="5" s="1"/>
  <c r="AM22" i="5" s="1"/>
  <c r="AN22" i="5" s="1"/>
  <c r="AO22" i="5" s="1"/>
  <c r="AP22" i="5" s="1"/>
  <c r="AQ22" i="5" s="1"/>
  <c r="AR22" i="5" s="1"/>
  <c r="AI21" i="5"/>
  <c r="AJ21" i="5" s="1"/>
  <c r="AK21" i="5" s="1"/>
  <c r="AL21" i="5" s="1"/>
  <c r="AM21" i="5" s="1"/>
  <c r="AN21" i="5" s="1"/>
  <c r="AO21" i="5" s="1"/>
  <c r="AP21" i="5" s="1"/>
  <c r="AQ21" i="5" s="1"/>
  <c r="AR21" i="5" s="1"/>
  <c r="AI20" i="5"/>
  <c r="AJ20" i="5" s="1"/>
  <c r="AK20" i="5" s="1"/>
  <c r="AL20" i="5" s="1"/>
  <c r="AM20" i="5" s="1"/>
  <c r="AN20" i="5" s="1"/>
  <c r="AO20" i="5" s="1"/>
  <c r="AP20" i="5" s="1"/>
  <c r="AQ20" i="5" s="1"/>
  <c r="AR20" i="5" s="1"/>
  <c r="E25" i="5"/>
  <c r="E32" i="5"/>
  <c r="E33" i="5"/>
  <c r="E34" i="5"/>
  <c r="D26" i="5"/>
  <c r="E26" i="5" s="1"/>
  <c r="D27" i="5"/>
  <c r="E27" i="5" s="1"/>
  <c r="D28" i="5"/>
  <c r="E28" i="5" s="1"/>
  <c r="D29" i="5"/>
  <c r="E29" i="5" s="1"/>
  <c r="D30" i="5"/>
  <c r="E30" i="5" s="1"/>
  <c r="W7" i="15"/>
  <c r="W8" i="15" s="1"/>
  <c r="W9" i="15" s="1"/>
  <c r="W10" i="15" s="1"/>
  <c r="W11" i="15" s="1"/>
  <c r="W12" i="15" s="1"/>
  <c r="W13" i="15" s="1"/>
  <c r="W14" i="15" s="1"/>
  <c r="W15" i="15" s="1"/>
  <c r="W16" i="15" s="1"/>
  <c r="W17" i="15" s="1"/>
  <c r="W18" i="15" s="1"/>
  <c r="W19" i="15" s="1"/>
  <c r="W20" i="15" s="1"/>
  <c r="W21" i="15" s="1"/>
  <c r="W22" i="15" s="1"/>
  <c r="W23" i="15" s="1"/>
  <c r="W24" i="15" s="1"/>
  <c r="W25" i="15" s="1"/>
  <c r="W26" i="15" s="1"/>
  <c r="W27" i="15" s="1"/>
  <c r="W28" i="15" s="1"/>
  <c r="W29" i="15" s="1"/>
  <c r="W30" i="15" s="1"/>
  <c r="W31" i="15" s="1"/>
  <c r="W32" i="15" s="1"/>
  <c r="W33" i="15" s="1"/>
  <c r="W34" i="15" s="1"/>
  <c r="W35" i="15" s="1"/>
  <c r="W36" i="15" s="1"/>
  <c r="W37" i="15" s="1"/>
  <c r="W38" i="15" s="1"/>
  <c r="W39" i="15" s="1"/>
  <c r="W40" i="15" s="1"/>
  <c r="W41" i="15" s="1"/>
  <c r="W42" i="15" s="1"/>
  <c r="W43" i="15" s="1"/>
  <c r="W44" i="15" s="1"/>
  <c r="W45" i="15" s="1"/>
  <c r="V7" i="15"/>
  <c r="V8" i="15" s="1"/>
  <c r="V9" i="15" s="1"/>
  <c r="V10" i="15" s="1"/>
  <c r="V11" i="15" s="1"/>
  <c r="V12" i="15" s="1"/>
  <c r="V13" i="15" s="1"/>
  <c r="V14" i="15" s="1"/>
  <c r="V15" i="15" s="1"/>
  <c r="V16" i="15" s="1"/>
  <c r="V17" i="15" s="1"/>
  <c r="V18" i="15" s="1"/>
  <c r="V19" i="15" s="1"/>
  <c r="V20" i="15" s="1"/>
  <c r="V21" i="15" s="1"/>
  <c r="V22" i="15" s="1"/>
  <c r="V23" i="15" s="1"/>
  <c r="V24" i="15" s="1"/>
  <c r="V25" i="15" s="1"/>
  <c r="V26" i="15" s="1"/>
  <c r="V27" i="15" s="1"/>
  <c r="V28" i="15" s="1"/>
  <c r="V29" i="15" s="1"/>
  <c r="V30" i="15" s="1"/>
  <c r="V31" i="15" s="1"/>
  <c r="V32" i="15" s="1"/>
  <c r="V33" i="15" s="1"/>
  <c r="V34" i="15" s="1"/>
  <c r="V35" i="15" s="1"/>
  <c r="V36" i="15" s="1"/>
  <c r="V37" i="15" s="1"/>
  <c r="V38" i="15" s="1"/>
  <c r="V39" i="15" s="1"/>
  <c r="V40" i="15" s="1"/>
  <c r="V41" i="15" s="1"/>
  <c r="V42" i="15" s="1"/>
  <c r="V43" i="15" s="1"/>
  <c r="V44" i="15" s="1"/>
  <c r="V45" i="15" s="1"/>
  <c r="U7" i="15"/>
  <c r="U8" i="15" s="1"/>
  <c r="U9" i="15" s="1"/>
  <c r="U10" i="15" s="1"/>
  <c r="U11" i="15" s="1"/>
  <c r="U12" i="15" s="1"/>
  <c r="U13" i="15" s="1"/>
  <c r="U14" i="15" s="1"/>
  <c r="U15" i="15" s="1"/>
  <c r="U16" i="15" s="1"/>
  <c r="U17" i="15" s="1"/>
  <c r="U18" i="15" s="1"/>
  <c r="U19" i="15" s="1"/>
  <c r="U20" i="15" s="1"/>
  <c r="U21" i="15" s="1"/>
  <c r="U22" i="15" s="1"/>
  <c r="U23" i="15" s="1"/>
  <c r="U24" i="15" s="1"/>
  <c r="U25" i="15" s="1"/>
  <c r="U26" i="15" s="1"/>
  <c r="U27" i="15" s="1"/>
  <c r="U28" i="15" s="1"/>
  <c r="U29" i="15" s="1"/>
  <c r="U30" i="15" s="1"/>
  <c r="U31" i="15" s="1"/>
  <c r="U32" i="15" s="1"/>
  <c r="U33" i="15" s="1"/>
  <c r="U34" i="15" s="1"/>
  <c r="U35" i="15" s="1"/>
  <c r="U36" i="15" s="1"/>
  <c r="U37" i="15" s="1"/>
  <c r="U38" i="15" s="1"/>
  <c r="U39" i="15" s="1"/>
  <c r="U40" i="15" s="1"/>
  <c r="U41" i="15" s="1"/>
  <c r="U42" i="15" s="1"/>
  <c r="U43" i="15" s="1"/>
  <c r="U44" i="15" s="1"/>
  <c r="U45" i="15" s="1"/>
  <c r="T7" i="15"/>
  <c r="T8" i="15" s="1"/>
  <c r="T9" i="15" s="1"/>
  <c r="T10" i="15" s="1"/>
  <c r="T11" i="15" s="1"/>
  <c r="T12" i="15" s="1"/>
  <c r="T13" i="15" s="1"/>
  <c r="T14" i="15" s="1"/>
  <c r="T15" i="15" s="1"/>
  <c r="T16" i="15" s="1"/>
  <c r="T17" i="15" s="1"/>
  <c r="T18" i="15" s="1"/>
  <c r="T19" i="15" s="1"/>
  <c r="T20" i="15" s="1"/>
  <c r="T21" i="15" s="1"/>
  <c r="T22" i="15" s="1"/>
  <c r="T23" i="15" s="1"/>
  <c r="T24" i="15" s="1"/>
  <c r="T25" i="15" s="1"/>
  <c r="T26" i="15" s="1"/>
  <c r="T27" i="15" s="1"/>
  <c r="T28" i="15" s="1"/>
  <c r="T29" i="15" s="1"/>
  <c r="T30" i="15" s="1"/>
  <c r="T31" i="15" s="1"/>
  <c r="T32" i="15" s="1"/>
  <c r="T33" i="15" s="1"/>
  <c r="T34" i="15" s="1"/>
  <c r="T35" i="15" s="1"/>
  <c r="T36" i="15" s="1"/>
  <c r="T37" i="15" s="1"/>
  <c r="T38" i="15" s="1"/>
  <c r="T39" i="15" s="1"/>
  <c r="T40" i="15" s="1"/>
  <c r="T41" i="15" s="1"/>
  <c r="T42" i="15" s="1"/>
  <c r="T43" i="15" s="1"/>
  <c r="T44" i="15" s="1"/>
  <c r="T45" i="15" s="1"/>
  <c r="S7" i="15"/>
  <c r="S8" i="15" s="1"/>
  <c r="S9" i="15" s="1"/>
  <c r="S10" i="15" s="1"/>
  <c r="S11" i="15" s="1"/>
  <c r="S12" i="15" s="1"/>
  <c r="S13" i="15" s="1"/>
  <c r="S14" i="15" s="1"/>
  <c r="S15" i="15" s="1"/>
  <c r="S16" i="15" s="1"/>
  <c r="S17" i="15" s="1"/>
  <c r="S18" i="15" s="1"/>
  <c r="S19" i="15" s="1"/>
  <c r="S20" i="15" s="1"/>
  <c r="S21" i="15" s="1"/>
  <c r="S22" i="15" s="1"/>
  <c r="S23" i="15" s="1"/>
  <c r="S24" i="15" s="1"/>
  <c r="S25" i="15" s="1"/>
  <c r="S26" i="15" s="1"/>
  <c r="S27" i="15" s="1"/>
  <c r="S28" i="15" s="1"/>
  <c r="S29" i="15" s="1"/>
  <c r="S30" i="15" s="1"/>
  <c r="S31" i="15" s="1"/>
  <c r="S32" i="15" s="1"/>
  <c r="S33" i="15" s="1"/>
  <c r="S34" i="15" s="1"/>
  <c r="S35" i="15" s="1"/>
  <c r="S36" i="15" s="1"/>
  <c r="S37" i="15" s="1"/>
  <c r="S38" i="15" s="1"/>
  <c r="S39" i="15" s="1"/>
  <c r="S40" i="15" s="1"/>
  <c r="S41" i="15" s="1"/>
  <c r="S42" i="15" s="1"/>
  <c r="S43" i="15" s="1"/>
  <c r="S44" i="15" s="1"/>
  <c r="S45" i="15" s="1"/>
  <c r="B24" i="1" l="1"/>
  <c r="M37" i="15"/>
  <c r="M38" i="15" s="1"/>
  <c r="M39" i="15" s="1"/>
  <c r="M40" i="15" s="1"/>
  <c r="M41" i="15" s="1"/>
  <c r="M42" i="15" s="1"/>
  <c r="M43" i="15" s="1"/>
  <c r="M44" i="15" s="1"/>
  <c r="M45" i="15" s="1"/>
  <c r="O36" i="15"/>
  <c r="O37" i="15" s="1"/>
  <c r="O38" i="15" s="1"/>
  <c r="O39" i="15" s="1"/>
  <c r="O40" i="15" s="1"/>
  <c r="O41" i="15" s="1"/>
  <c r="O42" i="15" s="1"/>
  <c r="O43" i="15" s="1"/>
  <c r="O44" i="15" s="1"/>
  <c r="O45" i="15" s="1"/>
  <c r="M36" i="15"/>
  <c r="L36" i="15"/>
  <c r="L37" i="15" s="1"/>
  <c r="L38" i="15" s="1"/>
  <c r="L39" i="15" s="1"/>
  <c r="L40" i="15" s="1"/>
  <c r="L41" i="15" s="1"/>
  <c r="L42" i="15" s="1"/>
  <c r="L43" i="15" s="1"/>
  <c r="L44" i="15" s="1"/>
  <c r="L45" i="15" s="1"/>
  <c r="D24" i="15"/>
  <c r="D20" i="15"/>
  <c r="I15" i="15"/>
  <c r="E12" i="15" s="1"/>
  <c r="I8" i="15"/>
  <c r="I7" i="15"/>
  <c r="I13" i="15" s="1"/>
  <c r="I6" i="15"/>
  <c r="G14" i="15" l="1"/>
  <c r="E14" i="15"/>
  <c r="F12" i="15"/>
  <c r="H12" i="15"/>
  <c r="F13" i="15"/>
  <c r="I14" i="15"/>
  <c r="G13" i="15"/>
  <c r="I12" i="15"/>
  <c r="G12" i="15"/>
  <c r="E13" i="15"/>
  <c r="H13" i="15"/>
  <c r="F14" i="15"/>
  <c r="H14" i="15"/>
  <c r="H6" i="13" l="1"/>
  <c r="G15" i="13"/>
  <c r="C29" i="6" l="1"/>
  <c r="C36" i="6" s="1"/>
  <c r="B29" i="6"/>
  <c r="D14" i="3" l="1"/>
  <c r="E14" i="3" s="1"/>
  <c r="F14" i="3" s="1"/>
  <c r="G14" i="3" s="1"/>
  <c r="H14" i="3" s="1"/>
  <c r="I14" i="3" s="1"/>
  <c r="J14" i="3" s="1"/>
  <c r="K14" i="3" s="1"/>
  <c r="L14" i="3" s="1"/>
  <c r="M14" i="3" s="1"/>
  <c r="N14" i="3" s="1"/>
  <c r="O14" i="3" s="1"/>
  <c r="P14" i="3" s="1"/>
  <c r="Q14" i="3" s="1"/>
  <c r="R14" i="3" s="1"/>
  <c r="S14" i="3" s="1"/>
  <c r="T14" i="3" s="1"/>
  <c r="U14" i="3" s="1"/>
  <c r="V14" i="3" s="1"/>
  <c r="W14" i="3" s="1"/>
  <c r="X14" i="3" s="1"/>
  <c r="Y14" i="3" s="1"/>
  <c r="Z14" i="3" s="1"/>
  <c r="AA14" i="3" s="1"/>
  <c r="AB14" i="3" s="1"/>
  <c r="AC14" i="3" s="1"/>
  <c r="AD14" i="3" s="1"/>
  <c r="AE14" i="3" s="1"/>
  <c r="AF14" i="3" s="1"/>
  <c r="AG14" i="3" s="1"/>
  <c r="D9" i="3"/>
  <c r="E9" i="3" s="1"/>
  <c r="F9" i="3" s="1"/>
  <c r="G9" i="3" s="1"/>
  <c r="H9" i="3" s="1"/>
  <c r="I9" i="3" s="1"/>
  <c r="J9" i="3" s="1"/>
  <c r="K9" i="3" s="1"/>
  <c r="L9" i="3" s="1"/>
  <c r="M9" i="3" s="1"/>
  <c r="N9" i="3" s="1"/>
  <c r="O9" i="3" s="1"/>
  <c r="P9" i="3" s="1"/>
  <c r="Q9" i="3" s="1"/>
  <c r="R9" i="3" s="1"/>
  <c r="S9" i="3" s="1"/>
  <c r="T9" i="3" s="1"/>
  <c r="U9" i="3" s="1"/>
  <c r="V9" i="3" s="1"/>
  <c r="W9" i="3" s="1"/>
  <c r="X9" i="3" s="1"/>
  <c r="Y9" i="3" s="1"/>
  <c r="Z9" i="3" s="1"/>
  <c r="AA9" i="3" s="1"/>
  <c r="AB9" i="3" s="1"/>
  <c r="AC9" i="3" s="1"/>
  <c r="AD9" i="3" s="1"/>
  <c r="AE9" i="3" s="1"/>
  <c r="AF9" i="3" s="1"/>
  <c r="AG9" i="3" s="1"/>
  <c r="C7" i="3" l="1"/>
  <c r="E17" i="5" l="1"/>
  <c r="F17" i="5" s="1"/>
  <c r="G17" i="5" s="1"/>
  <c r="H17" i="5" s="1"/>
  <c r="I17" i="5" s="1"/>
  <c r="J17" i="5" s="1"/>
  <c r="K17" i="5" s="1"/>
  <c r="L17" i="5" s="1"/>
  <c r="M17" i="5" s="1"/>
  <c r="N17" i="5" s="1"/>
  <c r="O17" i="5" s="1"/>
  <c r="P17" i="5" s="1"/>
  <c r="Q17" i="5" s="1"/>
  <c r="R17" i="5" s="1"/>
  <c r="S17" i="5" s="1"/>
  <c r="T17" i="5" s="1"/>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J12" i="14" l="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J3" i="14"/>
  <c r="F32" i="5" l="1"/>
  <c r="G32" i="5" s="1"/>
  <c r="H32" i="5" s="1"/>
  <c r="I32" i="5" s="1"/>
  <c r="J32" i="5" s="1"/>
  <c r="K32" i="5" s="1"/>
  <c r="L32" i="5" s="1"/>
  <c r="M32" i="5" s="1"/>
  <c r="N32" i="5" s="1"/>
  <c r="O32" i="5" s="1"/>
  <c r="P32" i="5" s="1"/>
  <c r="Q32" i="5" s="1"/>
  <c r="R32" i="5" s="1"/>
  <c r="S32" i="5" s="1"/>
  <c r="T32" i="5" s="1"/>
  <c r="U32" i="5" s="1"/>
  <c r="V32" i="5" s="1"/>
  <c r="W32" i="5" s="1"/>
  <c r="X32" i="5" s="1"/>
  <c r="Y32" i="5" s="1"/>
  <c r="Z32" i="5" s="1"/>
  <c r="AA32" i="5" s="1"/>
  <c r="AB32" i="5" s="1"/>
  <c r="AC32" i="5" s="1"/>
  <c r="AD32" i="5" s="1"/>
  <c r="AE32" i="5" s="1"/>
  <c r="AF32" i="5" s="1"/>
  <c r="AG32" i="5" s="1"/>
  <c r="AH32" i="5" s="1"/>
  <c r="AI32" i="5" s="1"/>
  <c r="AJ32" i="5" s="1"/>
  <c r="C6" i="3" l="1"/>
  <c r="C10" i="3" s="1"/>
  <c r="K3" i="14"/>
  <c r="L3" i="14" s="1"/>
  <c r="M3" i="14" s="1"/>
  <c r="N3" i="14" s="1"/>
  <c r="O3" i="14" l="1"/>
  <c r="P3" i="14" s="1"/>
  <c r="Q3" i="14" s="1"/>
  <c r="R3" i="14" s="1"/>
  <c r="S3" i="14" s="1"/>
  <c r="C3" i="2"/>
  <c r="D3" i="2" s="1"/>
  <c r="E3" i="2" s="1"/>
  <c r="F3" i="2" s="1"/>
  <c r="G3" i="2" s="1"/>
  <c r="H3" i="2" s="1"/>
  <c r="I3" i="2" s="1"/>
  <c r="J3" i="2" s="1"/>
  <c r="K3" i="2" s="1"/>
  <c r="L3" i="2" s="1"/>
  <c r="M3" i="2" s="1"/>
  <c r="N3" i="2" s="1"/>
  <c r="O3" i="2" s="1"/>
  <c r="P3" i="2" s="1"/>
  <c r="Q3" i="2" s="1"/>
  <c r="R3" i="2" s="1"/>
  <c r="S3" i="2" s="1"/>
  <c r="T3" i="2" s="1"/>
  <c r="U3" i="2" s="1"/>
  <c r="V3" i="2" s="1"/>
  <c r="W3" i="2" s="1"/>
  <c r="X3" i="2" s="1"/>
  <c r="Y3" i="2" s="1"/>
  <c r="Z3" i="2" s="1"/>
  <c r="AA3" i="2" s="1"/>
  <c r="D45" i="6"/>
  <c r="E45" i="6" s="1"/>
  <c r="F45" i="6" s="1"/>
  <c r="G45" i="6" s="1"/>
  <c r="H45" i="6" s="1"/>
  <c r="I45" i="6" s="1"/>
  <c r="J45" i="6" s="1"/>
  <c r="K45" i="6" s="1"/>
  <c r="L45" i="6" s="1"/>
  <c r="M45" i="6" s="1"/>
  <c r="N45" i="6" s="1"/>
  <c r="O45" i="6" s="1"/>
  <c r="P45" i="6" s="1"/>
  <c r="Q45" i="6" s="1"/>
  <c r="R45" i="6" s="1"/>
  <c r="S45" i="6" s="1"/>
  <c r="T45" i="6" s="1"/>
  <c r="U45" i="6" s="1"/>
  <c r="V45" i="6" s="1"/>
  <c r="W45" i="6" s="1"/>
  <c r="X45" i="6" s="1"/>
  <c r="Y45" i="6" s="1"/>
  <c r="Z45" i="6" s="1"/>
  <c r="AA45" i="6" s="1"/>
  <c r="AB45" i="6" s="1"/>
  <c r="C7" i="6"/>
  <c r="C6" i="6"/>
  <c r="C5" i="6"/>
  <c r="C4" i="6"/>
  <c r="C3" i="6"/>
  <c r="D29" i="6" s="1"/>
  <c r="E29" i="6" s="1"/>
  <c r="F29" i="6" s="1"/>
  <c r="G29" i="6" s="1"/>
  <c r="H29" i="6" s="1"/>
  <c r="I29" i="6" l="1"/>
  <c r="T3" i="14"/>
  <c r="U3" i="14" s="1"/>
  <c r="V3" i="14" s="1"/>
  <c r="W3" i="14" s="1"/>
  <c r="X3" i="14" s="1"/>
  <c r="Y3" i="14" l="1"/>
  <c r="Z3" i="14" s="1"/>
  <c r="AA3" i="14" s="1"/>
  <c r="AB3" i="14" s="1"/>
  <c r="AC3" i="14" s="1"/>
  <c r="B14" i="5"/>
  <c r="AD3" i="14" l="1"/>
  <c r="AE3" i="14" s="1"/>
  <c r="AF3" i="14" s="1"/>
  <c r="AG3" i="14" s="1"/>
  <c r="AH3" i="14" s="1"/>
  <c r="AI3" i="14" s="1"/>
  <c r="F21" i="8"/>
  <c r="F19" i="8"/>
  <c r="G19" i="8" s="1"/>
  <c r="F20" i="8"/>
  <c r="C19" i="8" l="1"/>
  <c r="F26" i="8"/>
  <c r="V6" i="2" s="1"/>
  <c r="B21" i="8"/>
  <c r="E21" i="8"/>
  <c r="G21" i="8"/>
  <c r="C21" i="8"/>
  <c r="D21" i="8"/>
  <c r="B19" i="8"/>
  <c r="F24" i="8"/>
  <c r="F25" i="8"/>
  <c r="V5" i="2" s="1"/>
  <c r="E19" i="8"/>
  <c r="D19" i="8"/>
  <c r="B20" i="8"/>
  <c r="D20" i="8"/>
  <c r="C20" i="8"/>
  <c r="E20" i="8"/>
  <c r="G20" i="8"/>
  <c r="V8" i="2" l="1"/>
  <c r="AC15" i="14"/>
  <c r="AC16" i="14"/>
  <c r="AC17" i="14"/>
  <c r="AC13" i="14"/>
  <c r="AC14" i="14"/>
  <c r="V7" i="2"/>
  <c r="G24" i="8"/>
  <c r="C26" i="8"/>
  <c r="G6" i="2" s="1"/>
  <c r="E24" i="8"/>
  <c r="G26" i="8"/>
  <c r="AA6" i="2" s="1"/>
  <c r="AB6" i="2" s="1"/>
  <c r="AB14" i="2" s="1"/>
  <c r="G25" i="8"/>
  <c r="AA5" i="2" s="1"/>
  <c r="AB5" i="2" s="1"/>
  <c r="B26" i="8"/>
  <c r="B6" i="2" s="1"/>
  <c r="B14" i="2" s="1"/>
  <c r="C25" i="8"/>
  <c r="G5" i="2" s="1"/>
  <c r="F28" i="8"/>
  <c r="V4" i="2" s="1"/>
  <c r="B25" i="8"/>
  <c r="B5" i="2" s="1"/>
  <c r="B13" i="2" s="1"/>
  <c r="B24" i="8"/>
  <c r="E26" i="8"/>
  <c r="Q6" i="2" s="1"/>
  <c r="E25" i="8"/>
  <c r="Q5" i="2" s="1"/>
  <c r="R5" i="2" s="1"/>
  <c r="D25" i="8"/>
  <c r="L5" i="2" s="1"/>
  <c r="D24" i="8"/>
  <c r="D26" i="8"/>
  <c r="L6" i="2" s="1"/>
  <c r="C24" i="8"/>
  <c r="AB13" i="2" l="1"/>
  <c r="AB15" i="2" s="1"/>
  <c r="AB7" i="2"/>
  <c r="S17" i="14"/>
  <c r="S15" i="14"/>
  <c r="S13" i="14"/>
  <c r="S16" i="14"/>
  <c r="S14" i="14"/>
  <c r="N14" i="14"/>
  <c r="N17" i="14"/>
  <c r="N13" i="14"/>
  <c r="N15" i="14"/>
  <c r="N16" i="14"/>
  <c r="X14" i="14"/>
  <c r="X15" i="14"/>
  <c r="Y15" i="14" s="1"/>
  <c r="Z15" i="14" s="1"/>
  <c r="AA15" i="14" s="1"/>
  <c r="AB15" i="14" s="1"/>
  <c r="X13" i="14"/>
  <c r="Y13" i="14" s="1"/>
  <c r="Z13" i="14" s="1"/>
  <c r="AA13" i="14" s="1"/>
  <c r="AB13" i="14" s="1"/>
  <c r="X17" i="14"/>
  <c r="Y17" i="14" s="1"/>
  <c r="Z17" i="14" s="1"/>
  <c r="AA17" i="14" s="1"/>
  <c r="AB17" i="14" s="1"/>
  <c r="X16" i="14"/>
  <c r="Y16" i="14" s="1"/>
  <c r="Z16" i="14" s="1"/>
  <c r="AA16" i="14" s="1"/>
  <c r="AB16" i="14" s="1"/>
  <c r="AC5" i="14"/>
  <c r="AD14" i="14"/>
  <c r="AC4" i="14"/>
  <c r="AC8" i="14"/>
  <c r="AD17" i="14"/>
  <c r="AC7" i="14"/>
  <c r="AC6" i="14"/>
  <c r="B8" i="2"/>
  <c r="B28" i="8"/>
  <c r="I13" i="14"/>
  <c r="I17" i="14"/>
  <c r="I14" i="14"/>
  <c r="I15" i="14"/>
  <c r="I16" i="14"/>
  <c r="B7" i="2"/>
  <c r="W5" i="2"/>
  <c r="AA7" i="2"/>
  <c r="S5" i="2"/>
  <c r="H5" i="2"/>
  <c r="L7" i="2"/>
  <c r="L8" i="2"/>
  <c r="Q8" i="2"/>
  <c r="M5" i="2"/>
  <c r="Q7" i="2"/>
  <c r="N5" i="2"/>
  <c r="C6" i="2"/>
  <c r="D6" i="2" s="1"/>
  <c r="E6" i="2" s="1"/>
  <c r="F6" i="2" s="1"/>
  <c r="C5" i="2"/>
  <c r="D5" i="2"/>
  <c r="G7" i="2"/>
  <c r="W6" i="2"/>
  <c r="X6" i="2" s="1"/>
  <c r="Y6" i="2" s="1"/>
  <c r="Z6" i="2" s="1"/>
  <c r="M6" i="2"/>
  <c r="N6" i="2" s="1"/>
  <c r="O6" i="2" s="1"/>
  <c r="P6" i="2" s="1"/>
  <c r="AA8" i="2"/>
  <c r="R6" i="2"/>
  <c r="S6" i="2" s="1"/>
  <c r="T6" i="2" s="1"/>
  <c r="U6" i="2" s="1"/>
  <c r="H6" i="2"/>
  <c r="I6" i="2"/>
  <c r="J6" i="2" s="1"/>
  <c r="K6" i="2" s="1"/>
  <c r="G8" i="2"/>
  <c r="AB8" i="2" s="1"/>
  <c r="V9" i="2"/>
  <c r="AL35" i="13"/>
  <c r="C28" i="8"/>
  <c r="G4" i="2" s="1"/>
  <c r="E28" i="8"/>
  <c r="Q4" i="2" s="1"/>
  <c r="D28" i="8"/>
  <c r="L4" i="2" s="1"/>
  <c r="B4" i="2"/>
  <c r="G28" i="8"/>
  <c r="AA4" i="2" s="1"/>
  <c r="AB4" i="2" s="1"/>
  <c r="AE17" i="14" l="1"/>
  <c r="AD8" i="14"/>
  <c r="N6" i="14"/>
  <c r="O15" i="14"/>
  <c r="I7" i="14"/>
  <c r="J16" i="14"/>
  <c r="N4" i="14"/>
  <c r="O13" i="14"/>
  <c r="I6" i="14"/>
  <c r="J15" i="14"/>
  <c r="AD13" i="14"/>
  <c r="N8" i="14"/>
  <c r="O17" i="14"/>
  <c r="I5" i="14"/>
  <c r="J14" i="14"/>
  <c r="N5" i="14"/>
  <c r="O14" i="14"/>
  <c r="I8" i="14"/>
  <c r="J17" i="14"/>
  <c r="AE14" i="14"/>
  <c r="AD5" i="14"/>
  <c r="S5" i="14"/>
  <c r="T14" i="14"/>
  <c r="B9" i="2"/>
  <c r="B12" i="2"/>
  <c r="I4" i="14"/>
  <c r="I20" i="14" s="1"/>
  <c r="J13" i="14"/>
  <c r="AC9" i="14"/>
  <c r="T16" i="14"/>
  <c r="S7" i="14"/>
  <c r="T13" i="14"/>
  <c r="U13" i="14" s="1"/>
  <c r="V13" i="14" s="1"/>
  <c r="W13" i="14" s="1"/>
  <c r="S4" i="14"/>
  <c r="T15" i="14"/>
  <c r="S6" i="14"/>
  <c r="AD15" i="14"/>
  <c r="T17" i="14"/>
  <c r="S8" i="14"/>
  <c r="D7" i="2"/>
  <c r="C7" i="2"/>
  <c r="AR7" i="13"/>
  <c r="AR45" i="13"/>
  <c r="AR24" i="13"/>
  <c r="AR16" i="13"/>
  <c r="AR5" i="13"/>
  <c r="AR44" i="13"/>
  <c r="AR33" i="13"/>
  <c r="AR19" i="13"/>
  <c r="AR18" i="13"/>
  <c r="AR36" i="13"/>
  <c r="AR28" i="13"/>
  <c r="AR25" i="13"/>
  <c r="AR31" i="13"/>
  <c r="AR10" i="13"/>
  <c r="AR13" i="13"/>
  <c r="AR40" i="13"/>
  <c r="AR22" i="13"/>
  <c r="AR35" i="13"/>
  <c r="AR6" i="13"/>
  <c r="AR43" i="13"/>
  <c r="AR42" i="13"/>
  <c r="AR34" i="13"/>
  <c r="AR37" i="13"/>
  <c r="AR17" i="13"/>
  <c r="AR41" i="13"/>
  <c r="AR38" i="13"/>
  <c r="AR9" i="13"/>
  <c r="AR12" i="13"/>
  <c r="AR8" i="13"/>
  <c r="AR46" i="13"/>
  <c r="AR14" i="13"/>
  <c r="AR29" i="13"/>
  <c r="AR32" i="13"/>
  <c r="AR30" i="13"/>
  <c r="AR21" i="13"/>
  <c r="AR39" i="13"/>
  <c r="AR20" i="13"/>
  <c r="AR11" i="13"/>
  <c r="AR26" i="13"/>
  <c r="AR23" i="13"/>
  <c r="AR47" i="13"/>
  <c r="AR27" i="13"/>
  <c r="AR15" i="13"/>
  <c r="N7" i="14"/>
  <c r="O16" i="14"/>
  <c r="AB9" i="2"/>
  <c r="AB12" i="2"/>
  <c r="AB16" i="2" s="1"/>
  <c r="AH15" i="3" s="1"/>
  <c r="AD16" i="14"/>
  <c r="X5" i="14"/>
  <c r="Y14" i="14"/>
  <c r="S7" i="2"/>
  <c r="N7" i="2"/>
  <c r="R8" i="2"/>
  <c r="W8" i="2"/>
  <c r="X8" i="2" s="1"/>
  <c r="H8" i="2"/>
  <c r="I8" i="2" s="1"/>
  <c r="M8" i="2"/>
  <c r="C8" i="2"/>
  <c r="M7" i="2"/>
  <c r="W7" i="2"/>
  <c r="H4" i="2"/>
  <c r="I4" i="2" s="1"/>
  <c r="L9" i="2"/>
  <c r="X5" i="2"/>
  <c r="W4" i="2"/>
  <c r="W9" i="2" s="1"/>
  <c r="AA9" i="2"/>
  <c r="X4" i="2"/>
  <c r="X9" i="2" s="1"/>
  <c r="M4" i="2"/>
  <c r="M9" i="2" s="1"/>
  <c r="Q9" i="2"/>
  <c r="E5" i="2"/>
  <c r="T5" i="2"/>
  <c r="C4" i="2"/>
  <c r="C9" i="2" s="1"/>
  <c r="G9" i="2"/>
  <c r="R4" i="2"/>
  <c r="O5" i="2"/>
  <c r="I5" i="2"/>
  <c r="H7" i="2"/>
  <c r="R7" i="2"/>
  <c r="AL17" i="13"/>
  <c r="AL19" i="13"/>
  <c r="R47" i="13"/>
  <c r="AB36" i="13"/>
  <c r="AL43" i="13"/>
  <c r="AL20" i="13"/>
  <c r="AL31" i="13"/>
  <c r="AL12" i="13"/>
  <c r="AL45" i="13"/>
  <c r="AL23" i="13"/>
  <c r="AL16" i="13"/>
  <c r="AL26" i="13"/>
  <c r="AL14" i="13"/>
  <c r="AL36" i="13"/>
  <c r="AL13" i="13"/>
  <c r="AL10" i="13"/>
  <c r="AL22" i="13"/>
  <c r="AL29" i="13"/>
  <c r="AL7" i="13"/>
  <c r="AL21" i="13"/>
  <c r="AL15" i="13"/>
  <c r="AL46" i="13"/>
  <c r="AL18" i="13"/>
  <c r="AL8" i="13"/>
  <c r="AL33" i="13"/>
  <c r="AL30" i="13"/>
  <c r="AL44" i="13"/>
  <c r="AL28" i="13"/>
  <c r="AL24" i="13"/>
  <c r="AL6" i="13"/>
  <c r="AL11" i="13"/>
  <c r="AL25" i="13"/>
  <c r="AL39" i="13"/>
  <c r="AL5" i="13"/>
  <c r="AL38" i="13"/>
  <c r="AL41" i="13"/>
  <c r="AL47" i="13"/>
  <c r="AL34" i="13"/>
  <c r="AM25" i="13"/>
  <c r="AL42" i="13"/>
  <c r="AL32" i="13"/>
  <c r="AL27" i="13"/>
  <c r="AL9" i="13"/>
  <c r="AL37" i="13"/>
  <c r="AL40" i="13"/>
  <c r="AG24" i="13"/>
  <c r="AB30" i="13"/>
  <c r="AB5" i="13"/>
  <c r="AB18" i="13"/>
  <c r="AQ41" i="13"/>
  <c r="AQ33" i="13"/>
  <c r="AQ25" i="13"/>
  <c r="AQ17" i="13"/>
  <c r="AQ9" i="13"/>
  <c r="AQ47" i="13"/>
  <c r="AQ39" i="13"/>
  <c r="AQ31" i="13"/>
  <c r="AQ23" i="13"/>
  <c r="AQ15" i="13"/>
  <c r="AQ7" i="13"/>
  <c r="AQ46" i="13"/>
  <c r="AQ38" i="13"/>
  <c r="AQ30" i="13"/>
  <c r="AQ22" i="13"/>
  <c r="AQ14" i="13"/>
  <c r="AQ6" i="13"/>
  <c r="AQ45" i="13"/>
  <c r="AQ37" i="13"/>
  <c r="AQ29" i="13"/>
  <c r="AQ21" i="13"/>
  <c r="AQ13" i="13"/>
  <c r="AQ36" i="13"/>
  <c r="AQ20" i="13"/>
  <c r="AQ28" i="13"/>
  <c r="AQ11" i="13"/>
  <c r="AQ35" i="13"/>
  <c r="AQ19" i="13"/>
  <c r="AQ43" i="13"/>
  <c r="AQ34" i="13"/>
  <c r="AQ18" i="13"/>
  <c r="AQ27" i="13"/>
  <c r="AQ32" i="13"/>
  <c r="AQ16" i="13"/>
  <c r="AQ42" i="13"/>
  <c r="AQ26" i="13"/>
  <c r="AQ10" i="13"/>
  <c r="AQ44" i="13"/>
  <c r="AQ5" i="13"/>
  <c r="AQ40" i="13"/>
  <c r="AQ24" i="13"/>
  <c r="AQ8" i="13"/>
  <c r="AQ12" i="13"/>
  <c r="W42" i="13"/>
  <c r="W34" i="13"/>
  <c r="W26" i="13"/>
  <c r="W41" i="13"/>
  <c r="W33" i="13"/>
  <c r="W25" i="13"/>
  <c r="W40" i="13"/>
  <c r="W32" i="13"/>
  <c r="W24" i="13"/>
  <c r="W47" i="13"/>
  <c r="W39" i="13"/>
  <c r="W31" i="13"/>
  <c r="W45" i="13"/>
  <c r="W37" i="13"/>
  <c r="W29" i="13"/>
  <c r="W44" i="13"/>
  <c r="W36" i="13"/>
  <c r="W28" i="13"/>
  <c r="W43" i="13"/>
  <c r="W18" i="13"/>
  <c r="W10" i="13"/>
  <c r="W35" i="13"/>
  <c r="W16" i="13"/>
  <c r="W8" i="13"/>
  <c r="W15" i="13"/>
  <c r="W7" i="13"/>
  <c r="W27" i="13"/>
  <c r="W22" i="13"/>
  <c r="W14" i="13"/>
  <c r="W6" i="13"/>
  <c r="W13" i="13"/>
  <c r="W12" i="13"/>
  <c r="W20" i="13"/>
  <c r="W46" i="13"/>
  <c r="W11" i="13"/>
  <c r="W5" i="13"/>
  <c r="W9" i="13"/>
  <c r="W38" i="13"/>
  <c r="W19" i="13"/>
  <c r="W21" i="13"/>
  <c r="W30" i="13"/>
  <c r="W17" i="13"/>
  <c r="W23" i="13"/>
  <c r="AM13" i="13"/>
  <c r="S9" i="14" l="1"/>
  <c r="AE13" i="14"/>
  <c r="AD4" i="14"/>
  <c r="U15" i="14"/>
  <c r="T6" i="14"/>
  <c r="K15" i="14"/>
  <c r="J6" i="14"/>
  <c r="AD6" i="14"/>
  <c r="AD9" i="14" s="1"/>
  <c r="AE15" i="14"/>
  <c r="AR48" i="13"/>
  <c r="AH19" i="3" s="1"/>
  <c r="AE5" i="14"/>
  <c r="AF14" i="14"/>
  <c r="K17" i="14"/>
  <c r="J8" i="14"/>
  <c r="P13" i="14"/>
  <c r="O4" i="14"/>
  <c r="Y5" i="14"/>
  <c r="Z14" i="14"/>
  <c r="U16" i="14"/>
  <c r="T7" i="14"/>
  <c r="O5" i="14"/>
  <c r="O9" i="14" s="1"/>
  <c r="P14" i="14"/>
  <c r="K16" i="14"/>
  <c r="J7" i="14"/>
  <c r="N9" i="14"/>
  <c r="AD7" i="14"/>
  <c r="AE16" i="14"/>
  <c r="K13" i="14"/>
  <c r="J4" i="14"/>
  <c r="P15" i="14"/>
  <c r="O6" i="14"/>
  <c r="K14" i="14"/>
  <c r="J5" i="14"/>
  <c r="J9" i="14" s="1"/>
  <c r="T5" i="14"/>
  <c r="T9" i="14" s="1"/>
  <c r="U14" i="14"/>
  <c r="I9" i="14"/>
  <c r="P16" i="14"/>
  <c r="O7" i="14"/>
  <c r="U17" i="14"/>
  <c r="T8" i="14"/>
  <c r="P17" i="14"/>
  <c r="O8" i="14"/>
  <c r="AE8" i="14"/>
  <c r="AF17" i="14"/>
  <c r="I9" i="2"/>
  <c r="J4" i="2"/>
  <c r="T7" i="2"/>
  <c r="U5" i="2"/>
  <c r="U7" i="2" s="1"/>
  <c r="E7" i="2"/>
  <c r="F5" i="2"/>
  <c r="F7" i="2" s="1"/>
  <c r="Y4" i="2"/>
  <c r="S4" i="2"/>
  <c r="R9" i="2"/>
  <c r="H9" i="2"/>
  <c r="D8" i="2"/>
  <c r="I7" i="2"/>
  <c r="Y6" i="13" s="1"/>
  <c r="J5" i="2"/>
  <c r="Y8" i="2"/>
  <c r="N8" i="2"/>
  <c r="J8" i="2"/>
  <c r="O7" i="2"/>
  <c r="P5" i="2"/>
  <c r="P7" i="2" s="1"/>
  <c r="D4" i="2"/>
  <c r="N4" i="2"/>
  <c r="Y5" i="2"/>
  <c r="X7" i="2"/>
  <c r="AN46" i="13" s="1"/>
  <c r="S8" i="2"/>
  <c r="AB33" i="13"/>
  <c r="AB23" i="13"/>
  <c r="AB8" i="13"/>
  <c r="AB26" i="13"/>
  <c r="AB12" i="13"/>
  <c r="AB34" i="13"/>
  <c r="AB14" i="13"/>
  <c r="AB44" i="13"/>
  <c r="AB10" i="13"/>
  <c r="AB29" i="13"/>
  <c r="R11" i="13"/>
  <c r="R13" i="13"/>
  <c r="R45" i="13"/>
  <c r="R27" i="13"/>
  <c r="R21" i="13"/>
  <c r="R41" i="13"/>
  <c r="R26" i="13"/>
  <c r="R16" i="13"/>
  <c r="R9" i="13"/>
  <c r="R37" i="13"/>
  <c r="AB20" i="13"/>
  <c r="AB15" i="13"/>
  <c r="AB41" i="13"/>
  <c r="AB31" i="13"/>
  <c r="AB42" i="13"/>
  <c r="AB37" i="13"/>
  <c r="R6" i="13"/>
  <c r="R19" i="13"/>
  <c r="R7" i="13"/>
  <c r="R34" i="13"/>
  <c r="R30" i="13"/>
  <c r="AB27" i="13"/>
  <c r="R22" i="13"/>
  <c r="R15" i="13"/>
  <c r="R42" i="13"/>
  <c r="AB7" i="13"/>
  <c r="AB39" i="13"/>
  <c r="AB45" i="13"/>
  <c r="R40" i="13"/>
  <c r="R38" i="13"/>
  <c r="AB6" i="13"/>
  <c r="AB16" i="13"/>
  <c r="AB11" i="13"/>
  <c r="AB47" i="13"/>
  <c r="AB35" i="13"/>
  <c r="R8" i="13"/>
  <c r="R12" i="13"/>
  <c r="R23" i="13"/>
  <c r="R28" i="13"/>
  <c r="R46" i="13"/>
  <c r="AB22" i="13"/>
  <c r="AB9" i="13"/>
  <c r="AB19" i="13"/>
  <c r="AB24" i="13"/>
  <c r="AB43" i="13"/>
  <c r="R18" i="13"/>
  <c r="R17" i="13"/>
  <c r="R20" i="13"/>
  <c r="R24" i="13"/>
  <c r="R36" i="13"/>
  <c r="R31" i="13"/>
  <c r="AB25" i="13"/>
  <c r="AB17" i="13"/>
  <c r="AB13" i="13"/>
  <c r="AB32" i="13"/>
  <c r="AB28" i="13"/>
  <c r="R14" i="13"/>
  <c r="R32" i="13"/>
  <c r="R35" i="13"/>
  <c r="R25" i="13"/>
  <c r="R44" i="13"/>
  <c r="R39" i="13"/>
  <c r="AB38" i="13"/>
  <c r="AB46" i="13"/>
  <c r="AB21" i="13"/>
  <c r="AB40" i="13"/>
  <c r="R43" i="13"/>
  <c r="R10" i="13"/>
  <c r="R5" i="13"/>
  <c r="R33" i="13"/>
  <c r="R29" i="13"/>
  <c r="AM29" i="13"/>
  <c r="T45" i="13"/>
  <c r="AM22" i="13"/>
  <c r="AM23" i="13"/>
  <c r="AM21" i="13"/>
  <c r="AM7" i="13"/>
  <c r="AM39" i="13"/>
  <c r="AG8" i="13"/>
  <c r="AL48" i="13"/>
  <c r="AM15" i="13"/>
  <c r="AM19" i="13"/>
  <c r="AM8" i="13"/>
  <c r="AM32" i="13"/>
  <c r="AG29" i="13"/>
  <c r="AM17" i="13"/>
  <c r="AM5" i="13"/>
  <c r="AM18" i="13"/>
  <c r="AM33" i="13"/>
  <c r="AM47" i="13"/>
  <c r="AM12" i="13"/>
  <c r="AM28" i="13"/>
  <c r="AM26" i="13"/>
  <c r="AM35" i="13"/>
  <c r="AM36" i="13"/>
  <c r="AM34" i="13"/>
  <c r="AM11" i="13"/>
  <c r="AM43" i="13"/>
  <c r="AM27" i="13"/>
  <c r="AM31" i="13"/>
  <c r="AM41" i="13"/>
  <c r="Y32" i="13"/>
  <c r="AG35" i="13"/>
  <c r="AG36" i="13"/>
  <c r="AG31" i="13"/>
  <c r="AM30" i="13"/>
  <c r="AM20" i="13"/>
  <c r="AM38" i="13"/>
  <c r="AM44" i="13"/>
  <c r="AM24" i="13"/>
  <c r="AM42" i="13"/>
  <c r="AG17" i="13"/>
  <c r="AG47" i="13"/>
  <c r="AG12" i="13"/>
  <c r="AM9" i="13"/>
  <c r="AM6" i="13"/>
  <c r="AM16" i="13"/>
  <c r="AM37" i="13"/>
  <c r="AM40" i="13"/>
  <c r="AG33" i="13"/>
  <c r="AM46" i="13"/>
  <c r="AM14" i="13"/>
  <c r="AM10" i="13"/>
  <c r="AM45" i="13"/>
  <c r="X25" i="13"/>
  <c r="AG22" i="13"/>
  <c r="AH31" i="13"/>
  <c r="AH29" i="13"/>
  <c r="AH27" i="13"/>
  <c r="AI38" i="13"/>
  <c r="AH45" i="13"/>
  <c r="AH8" i="13"/>
  <c r="AH39" i="13"/>
  <c r="AH10" i="13"/>
  <c r="AH20" i="13"/>
  <c r="AH16" i="13"/>
  <c r="AC35" i="13"/>
  <c r="AH21" i="13"/>
  <c r="AH33" i="13"/>
  <c r="AH26" i="13"/>
  <c r="AH18" i="13"/>
  <c r="AH17" i="13"/>
  <c r="AH13" i="13"/>
  <c r="AH41" i="13"/>
  <c r="AH37" i="13"/>
  <c r="AH47" i="13"/>
  <c r="AH35" i="13"/>
  <c r="AH5" i="13"/>
  <c r="AH32" i="13"/>
  <c r="AH34" i="13"/>
  <c r="AH30" i="13"/>
  <c r="AH6" i="13"/>
  <c r="AH11" i="13"/>
  <c r="AH7" i="13"/>
  <c r="AH42" i="13"/>
  <c r="AH38" i="13"/>
  <c r="AH22" i="13"/>
  <c r="AH19" i="13"/>
  <c r="AH15" i="13"/>
  <c r="AH28" i="13"/>
  <c r="AH46" i="13"/>
  <c r="AH9" i="13"/>
  <c r="AH24" i="13"/>
  <c r="AH40" i="13"/>
  <c r="AH36" i="13"/>
  <c r="AH23" i="13"/>
  <c r="AH14" i="13"/>
  <c r="AH43" i="13"/>
  <c r="AH12" i="13"/>
  <c r="AH25" i="13"/>
  <c r="AH44" i="13"/>
  <c r="AD43" i="13"/>
  <c r="AG44" i="13"/>
  <c r="AG13" i="13"/>
  <c r="AG16" i="13"/>
  <c r="AG37" i="13"/>
  <c r="AG32" i="13"/>
  <c r="AG7" i="13"/>
  <c r="AG25" i="13"/>
  <c r="AG21" i="13"/>
  <c r="AG26" i="13"/>
  <c r="AG45" i="13"/>
  <c r="AG11" i="13"/>
  <c r="AG10" i="13"/>
  <c r="AG28" i="13"/>
  <c r="AG34" i="13"/>
  <c r="AG30" i="13"/>
  <c r="AG9" i="13"/>
  <c r="AG18" i="13"/>
  <c r="AG6" i="13"/>
  <c r="AG42" i="13"/>
  <c r="AG38" i="13"/>
  <c r="AG15" i="13"/>
  <c r="AG19" i="13"/>
  <c r="AG14" i="13"/>
  <c r="AG27" i="13"/>
  <c r="AG23" i="13"/>
  <c r="AG5" i="13"/>
  <c r="AG20" i="13"/>
  <c r="AG41" i="13"/>
  <c r="AG43" i="13"/>
  <c r="AG39" i="13"/>
  <c r="AG40" i="13"/>
  <c r="AG46" i="13"/>
  <c r="AQ48" i="13"/>
  <c r="T35" i="13"/>
  <c r="T47" i="13"/>
  <c r="T19" i="13"/>
  <c r="T46" i="13"/>
  <c r="T14" i="13"/>
  <c r="AD30" i="13"/>
  <c r="AD22" i="13"/>
  <c r="W48" i="13"/>
  <c r="AI46" i="13"/>
  <c r="AI30" i="13"/>
  <c r="AI45" i="13"/>
  <c r="AI37" i="13"/>
  <c r="AI44" i="13"/>
  <c r="AI36" i="13"/>
  <c r="AI28" i="13"/>
  <c r="AI35" i="13"/>
  <c r="AI27" i="13"/>
  <c r="AI41" i="13"/>
  <c r="AI25" i="13"/>
  <c r="AI40" i="13"/>
  <c r="AI32" i="13"/>
  <c r="AI31" i="13"/>
  <c r="AI22" i="13"/>
  <c r="AI14" i="13"/>
  <c r="AI23" i="13"/>
  <c r="AI20" i="13"/>
  <c r="AI12" i="13"/>
  <c r="AI19" i="13"/>
  <c r="AI11" i="13"/>
  <c r="AI5" i="13"/>
  <c r="AI10" i="13"/>
  <c r="AI47" i="13"/>
  <c r="AI34" i="13"/>
  <c r="AI39" i="13"/>
  <c r="AI8" i="13"/>
  <c r="AI16" i="13"/>
  <c r="AI15" i="13"/>
  <c r="AI13" i="13"/>
  <c r="AI7" i="13"/>
  <c r="AI21" i="13"/>
  <c r="S46" i="13"/>
  <c r="S38" i="13"/>
  <c r="S30" i="13"/>
  <c r="S45" i="13"/>
  <c r="S37" i="13"/>
  <c r="S29" i="13"/>
  <c r="S44" i="13"/>
  <c r="S36" i="13"/>
  <c r="S28" i="13"/>
  <c r="S43" i="13"/>
  <c r="S35" i="13"/>
  <c r="S27" i="13"/>
  <c r="S41" i="13"/>
  <c r="S33" i="13"/>
  <c r="S25" i="13"/>
  <c r="S40" i="13"/>
  <c r="S32" i="13"/>
  <c r="S24" i="13"/>
  <c r="S47" i="13"/>
  <c r="S22" i="13"/>
  <c r="S14" i="13"/>
  <c r="S6" i="13"/>
  <c r="S39" i="13"/>
  <c r="S20" i="13"/>
  <c r="S12" i="13"/>
  <c r="S26" i="13"/>
  <c r="S19" i="13"/>
  <c r="S11" i="13"/>
  <c r="S5" i="13"/>
  <c r="S31" i="13"/>
  <c r="S18" i="13"/>
  <c r="S10" i="13"/>
  <c r="S17" i="13"/>
  <c r="S16" i="13"/>
  <c r="S8" i="13"/>
  <c r="S42" i="13"/>
  <c r="S15" i="13"/>
  <c r="S34" i="13"/>
  <c r="S13" i="13"/>
  <c r="S23" i="13"/>
  <c r="S7" i="13"/>
  <c r="S21" i="13"/>
  <c r="S9" i="13"/>
  <c r="Y40" i="13"/>
  <c r="Y38" i="13"/>
  <c r="X33" i="13"/>
  <c r="X39" i="13"/>
  <c r="X23" i="13"/>
  <c r="X28" i="13"/>
  <c r="X35" i="13"/>
  <c r="X15" i="13"/>
  <c r="X45" i="13"/>
  <c r="X37" i="13"/>
  <c r="X42" i="13"/>
  <c r="X12" i="13"/>
  <c r="X10" i="13"/>
  <c r="Q14" i="14" l="1"/>
  <c r="P5" i="14"/>
  <c r="AF15" i="14"/>
  <c r="AE6" i="14"/>
  <c r="AF8" i="14"/>
  <c r="AG17" i="14"/>
  <c r="L14" i="14"/>
  <c r="K5" i="14"/>
  <c r="V16" i="14"/>
  <c r="U7" i="14"/>
  <c r="AN40" i="13"/>
  <c r="Q15" i="14"/>
  <c r="P6" i="14"/>
  <c r="Z5" i="14"/>
  <c r="AA14" i="14"/>
  <c r="L15" i="14"/>
  <c r="K6" i="14"/>
  <c r="AN12" i="13"/>
  <c r="Q17" i="14"/>
  <c r="P8" i="14"/>
  <c r="L13" i="14"/>
  <c r="K4" i="14"/>
  <c r="L16" i="14"/>
  <c r="K7" i="14"/>
  <c r="V17" i="14"/>
  <c r="U8" i="14"/>
  <c r="AF16" i="14"/>
  <c r="AE7" i="14"/>
  <c r="Q13" i="14"/>
  <c r="P4" i="14"/>
  <c r="V15" i="14"/>
  <c r="U6" i="14"/>
  <c r="AE9" i="14"/>
  <c r="Q16" i="14"/>
  <c r="P7" i="14"/>
  <c r="L17" i="14"/>
  <c r="K8" i="14"/>
  <c r="AF13" i="14"/>
  <c r="AE4" i="14"/>
  <c r="U5" i="14"/>
  <c r="V14" i="14"/>
  <c r="AF5" i="14"/>
  <c r="AG14" i="14"/>
  <c r="Y42" i="13"/>
  <c r="AN25" i="13"/>
  <c r="AN14" i="13"/>
  <c r="AN27" i="13"/>
  <c r="AN5" i="13"/>
  <c r="Y15" i="13"/>
  <c r="Y5" i="13"/>
  <c r="O8" i="2"/>
  <c r="E8" i="2"/>
  <c r="Z8" i="2"/>
  <c r="Y7" i="2"/>
  <c r="AO19" i="13" s="1"/>
  <c r="Z5" i="2"/>
  <c r="Z7" i="2" s="1"/>
  <c r="AP46" i="13" s="1"/>
  <c r="J7" i="2"/>
  <c r="K5" i="2"/>
  <c r="K7" i="2" s="1"/>
  <c r="AA46" i="13" s="1"/>
  <c r="N9" i="2"/>
  <c r="O4" i="2"/>
  <c r="K8" i="2"/>
  <c r="S9" i="2"/>
  <c r="T4" i="2"/>
  <c r="T8" i="2"/>
  <c r="D9" i="2"/>
  <c r="E4" i="2"/>
  <c r="Y9" i="2"/>
  <c r="Z4" i="2"/>
  <c r="J9" i="2"/>
  <c r="K4" i="2"/>
  <c r="K9" i="2" s="1"/>
  <c r="Y17" i="13"/>
  <c r="Y11" i="13"/>
  <c r="Y14" i="13"/>
  <c r="Y27" i="13"/>
  <c r="Y46" i="13"/>
  <c r="AN8" i="13"/>
  <c r="AN11" i="13"/>
  <c r="AN22" i="13"/>
  <c r="AN35" i="13"/>
  <c r="AN23" i="13"/>
  <c r="AN33" i="13"/>
  <c r="AN31" i="13"/>
  <c r="Y44" i="13"/>
  <c r="Y22" i="13"/>
  <c r="AN37" i="13"/>
  <c r="AN43" i="13"/>
  <c r="Y8" i="13"/>
  <c r="AN20" i="13"/>
  <c r="AN28" i="13"/>
  <c r="Y41" i="13"/>
  <c r="Y16" i="13"/>
  <c r="Y39" i="13"/>
  <c r="AN10" i="13"/>
  <c r="AN13" i="13"/>
  <c r="AN15" i="13"/>
  <c r="AN36" i="13"/>
  <c r="AN47" i="13"/>
  <c r="AD7" i="13"/>
  <c r="Y12" i="13"/>
  <c r="Y23" i="13"/>
  <c r="AN29" i="13"/>
  <c r="AN41" i="13"/>
  <c r="Y20" i="13"/>
  <c r="Y43" i="13"/>
  <c r="Y31" i="13"/>
  <c r="AN19" i="13"/>
  <c r="AN7" i="13"/>
  <c r="AN39" i="13"/>
  <c r="Y9" i="13"/>
  <c r="Y29" i="13"/>
  <c r="Y18" i="13"/>
  <c r="Y13" i="13"/>
  <c r="Y25" i="13"/>
  <c r="Y37" i="13"/>
  <c r="Y47" i="13"/>
  <c r="AN45" i="13"/>
  <c r="AN21" i="13"/>
  <c r="AN42" i="13"/>
  <c r="AN44" i="13"/>
  <c r="AN24" i="13"/>
  <c r="AD36" i="13"/>
  <c r="Y7" i="13"/>
  <c r="Y35" i="13"/>
  <c r="AN26" i="13"/>
  <c r="Y19" i="13"/>
  <c r="Y26" i="13"/>
  <c r="AN30" i="13"/>
  <c r="Y10" i="13"/>
  <c r="Y21" i="13"/>
  <c r="Y45" i="13"/>
  <c r="Y24" i="13"/>
  <c r="AN16" i="13"/>
  <c r="AN34" i="13"/>
  <c r="AN9" i="13"/>
  <c r="AN32" i="13"/>
  <c r="Y28" i="13"/>
  <c r="Y33" i="13"/>
  <c r="Y36" i="13"/>
  <c r="Y34" i="13"/>
  <c r="Y30" i="13"/>
  <c r="AN18" i="13"/>
  <c r="AN6" i="13"/>
  <c r="AN17" i="13"/>
  <c r="AN38" i="13"/>
  <c r="AD33" i="13"/>
  <c r="T7" i="13"/>
  <c r="T5" i="13"/>
  <c r="T13" i="13"/>
  <c r="T32" i="13"/>
  <c r="T28" i="13"/>
  <c r="T30" i="13"/>
  <c r="AC21" i="13"/>
  <c r="T16" i="13"/>
  <c r="T9" i="13"/>
  <c r="T21" i="13"/>
  <c r="T40" i="13"/>
  <c r="T36" i="13"/>
  <c r="T33" i="13"/>
  <c r="T24" i="13"/>
  <c r="AC37" i="13"/>
  <c r="T20" i="13"/>
  <c r="T17" i="13"/>
  <c r="T38" i="13"/>
  <c r="T26" i="13"/>
  <c r="T44" i="13"/>
  <c r="AC20" i="13"/>
  <c r="T12" i="13"/>
  <c r="T6" i="13"/>
  <c r="T10" i="13"/>
  <c r="T23" i="13"/>
  <c r="T34" i="13"/>
  <c r="T29" i="13"/>
  <c r="AC25" i="13"/>
  <c r="T25" i="13"/>
  <c r="T22" i="13"/>
  <c r="T18" i="13"/>
  <c r="T31" i="13"/>
  <c r="T42" i="13"/>
  <c r="T37" i="13"/>
  <c r="AB48" i="13"/>
  <c r="T8" i="13"/>
  <c r="T43" i="13"/>
  <c r="AC43" i="13"/>
  <c r="T41" i="13"/>
  <c r="T15" i="13"/>
  <c r="T11" i="13"/>
  <c r="T39" i="13"/>
  <c r="T27" i="13"/>
  <c r="R48" i="13"/>
  <c r="AO15" i="13"/>
  <c r="AI26" i="13"/>
  <c r="AI18" i="13"/>
  <c r="AI6" i="13"/>
  <c r="AI33" i="13"/>
  <c r="AI29" i="13"/>
  <c r="AJ43" i="13"/>
  <c r="AI9" i="13"/>
  <c r="AI17" i="13"/>
  <c r="AI42" i="13"/>
  <c r="AI24" i="13"/>
  <c r="AI43" i="13"/>
  <c r="X16" i="13"/>
  <c r="X20" i="13"/>
  <c r="X7" i="13"/>
  <c r="X43" i="13"/>
  <c r="X31" i="13"/>
  <c r="X41" i="13"/>
  <c r="AD20" i="13"/>
  <c r="AD15" i="13"/>
  <c r="AD5" i="13"/>
  <c r="AD38" i="13"/>
  <c r="AD41" i="13"/>
  <c r="AD10" i="13"/>
  <c r="AD28" i="13"/>
  <c r="AD11" i="13"/>
  <c r="AD46" i="13"/>
  <c r="AD26" i="13"/>
  <c r="X18" i="13"/>
  <c r="X13" i="13"/>
  <c r="X26" i="13"/>
  <c r="X36" i="13"/>
  <c r="X47" i="13"/>
  <c r="AD31" i="13"/>
  <c r="AD8" i="13"/>
  <c r="AD19" i="13"/>
  <c r="AD47" i="13"/>
  <c r="AD34" i="13"/>
  <c r="X29" i="13"/>
  <c r="AD12" i="13"/>
  <c r="AD16" i="13"/>
  <c r="AD44" i="13"/>
  <c r="AD24" i="13"/>
  <c r="AD42" i="13"/>
  <c r="X21" i="13"/>
  <c r="X44" i="13"/>
  <c r="X19" i="13"/>
  <c r="X17" i="13"/>
  <c r="X32" i="13"/>
  <c r="AD18" i="13"/>
  <c r="AD39" i="13"/>
  <c r="AD23" i="13"/>
  <c r="AD29" i="13"/>
  <c r="AD27" i="13"/>
  <c r="X9" i="13"/>
  <c r="X24" i="13"/>
  <c r="X6" i="13"/>
  <c r="X30" i="13"/>
  <c r="AD32" i="13"/>
  <c r="X5" i="13"/>
  <c r="X14" i="13"/>
  <c r="X34" i="13"/>
  <c r="X38" i="13"/>
  <c r="X40" i="13"/>
  <c r="AD13" i="13"/>
  <c r="AD21" i="13"/>
  <c r="AD9" i="13"/>
  <c r="AD37" i="13"/>
  <c r="AD40" i="13"/>
  <c r="AD35" i="13"/>
  <c r="X8" i="13"/>
  <c r="X11" i="13"/>
  <c r="X22" i="13"/>
  <c r="X27" i="13"/>
  <c r="X46" i="13"/>
  <c r="AD6" i="13"/>
  <c r="AD14" i="13"/>
  <c r="AD17" i="13"/>
  <c r="AD45" i="13"/>
  <c r="AD25" i="13"/>
  <c r="AM48" i="13"/>
  <c r="AC5" i="13"/>
  <c r="AC14" i="13"/>
  <c r="AC9" i="13"/>
  <c r="AC30" i="13"/>
  <c r="AC33" i="13"/>
  <c r="AC28" i="13"/>
  <c r="AC11" i="13"/>
  <c r="AC29" i="13"/>
  <c r="AC17" i="13"/>
  <c r="AC38" i="13"/>
  <c r="AC41" i="13"/>
  <c r="AC36" i="13"/>
  <c r="AC40" i="13"/>
  <c r="AC6" i="13"/>
  <c r="AC32" i="13"/>
  <c r="AC46" i="13"/>
  <c r="AC26" i="13"/>
  <c r="AC44" i="13"/>
  <c r="AC15" i="13"/>
  <c r="AC7" i="13"/>
  <c r="AC10" i="13"/>
  <c r="AC23" i="13"/>
  <c r="AC34" i="13"/>
  <c r="AC13" i="13"/>
  <c r="AC24" i="13"/>
  <c r="AC18" i="13"/>
  <c r="AC31" i="13"/>
  <c r="AC42" i="13"/>
  <c r="AC19" i="13"/>
  <c r="AC8" i="13"/>
  <c r="AC45" i="13"/>
  <c r="AC39" i="13"/>
  <c r="AC27" i="13"/>
  <c r="AC22" i="13"/>
  <c r="AC16" i="13"/>
  <c r="AC12" i="13"/>
  <c r="AC47" i="13"/>
  <c r="AH48" i="13"/>
  <c r="AG48" i="13"/>
  <c r="AF14" i="13"/>
  <c r="AA38" i="13"/>
  <c r="AA37" i="13"/>
  <c r="AA29" i="13"/>
  <c r="AA44" i="13"/>
  <c r="AA36" i="13"/>
  <c r="AA43" i="13"/>
  <c r="AA41" i="13"/>
  <c r="AA33" i="13"/>
  <c r="AA25" i="13"/>
  <c r="AA40" i="13"/>
  <c r="AA24" i="13"/>
  <c r="AA14" i="13"/>
  <c r="AA6" i="13"/>
  <c r="AA31" i="13"/>
  <c r="AA20" i="13"/>
  <c r="AA19" i="13"/>
  <c r="AA23" i="13"/>
  <c r="AA18" i="13"/>
  <c r="AA10" i="13"/>
  <c r="AA42" i="13"/>
  <c r="AA47" i="13"/>
  <c r="AA34" i="13"/>
  <c r="AA7" i="13"/>
  <c r="AA26" i="13"/>
  <c r="AA21" i="13"/>
  <c r="AA17" i="13"/>
  <c r="AJ45" i="13"/>
  <c r="AJ37" i="13"/>
  <c r="AJ36" i="13"/>
  <c r="AJ28" i="13"/>
  <c r="AJ27" i="13"/>
  <c r="AJ42" i="13"/>
  <c r="AJ40" i="13"/>
  <c r="AJ32" i="13"/>
  <c r="AJ39" i="13"/>
  <c r="AJ31" i="13"/>
  <c r="AJ13" i="13"/>
  <c r="AJ46" i="13"/>
  <c r="AJ11" i="13"/>
  <c r="AJ5" i="13"/>
  <c r="AJ33" i="13"/>
  <c r="AJ38" i="13"/>
  <c r="AJ17" i="13"/>
  <c r="AJ15" i="13"/>
  <c r="AJ22" i="13"/>
  <c r="AJ30" i="13"/>
  <c r="AJ41" i="13"/>
  <c r="AJ20" i="13"/>
  <c r="AJ12" i="13"/>
  <c r="AJ16" i="13"/>
  <c r="S48" i="13"/>
  <c r="AP43" i="13"/>
  <c r="AF40" i="13"/>
  <c r="AF32" i="13"/>
  <c r="AF39" i="13"/>
  <c r="AF26" i="13"/>
  <c r="AF17" i="13"/>
  <c r="AF7" i="13"/>
  <c r="AF10" i="13"/>
  <c r="AF8" i="13"/>
  <c r="AF18" i="13"/>
  <c r="M13" i="14" l="1"/>
  <c r="M4" i="14" s="1"/>
  <c r="L4" i="14"/>
  <c r="AG5" i="14"/>
  <c r="AH14" i="14"/>
  <c r="W15" i="14"/>
  <c r="W6" i="14" s="1"/>
  <c r="V6" i="14"/>
  <c r="W16" i="14"/>
  <c r="W7" i="14" s="1"/>
  <c r="V7" i="14"/>
  <c r="AF9" i="14"/>
  <c r="K9" i="14"/>
  <c r="AP33" i="13"/>
  <c r="AP36" i="13"/>
  <c r="W14" i="14"/>
  <c r="W5" i="14" s="1"/>
  <c r="W9" i="14" s="1"/>
  <c r="V5" i="14"/>
  <c r="R13" i="14"/>
  <c r="R4" i="14" s="1"/>
  <c r="Q4" i="14"/>
  <c r="R17" i="14"/>
  <c r="R8" i="14" s="1"/>
  <c r="Q8" i="14"/>
  <c r="M14" i="14"/>
  <c r="M5" i="14" s="1"/>
  <c r="L5" i="14"/>
  <c r="U9" i="14"/>
  <c r="AH17" i="14"/>
  <c r="AG8" i="14"/>
  <c r="AF7" i="14"/>
  <c r="AG16" i="14"/>
  <c r="AP32" i="13"/>
  <c r="AP29" i="13"/>
  <c r="AP40" i="13"/>
  <c r="AP23" i="13"/>
  <c r="AG13" i="14"/>
  <c r="AF4" i="14"/>
  <c r="M15" i="14"/>
  <c r="L6" i="14"/>
  <c r="AP6" i="13"/>
  <c r="AP16" i="13"/>
  <c r="W17" i="14"/>
  <c r="W8" i="14" s="1"/>
  <c r="V8" i="14"/>
  <c r="AB14" i="14"/>
  <c r="AB5" i="14" s="1"/>
  <c r="AA5" i="14"/>
  <c r="AP31" i="13"/>
  <c r="AP10" i="13"/>
  <c r="AP39" i="13"/>
  <c r="M17" i="14"/>
  <c r="L8" i="14"/>
  <c r="AF6" i="14"/>
  <c r="AG15" i="14"/>
  <c r="AP25" i="13"/>
  <c r="AP12" i="13"/>
  <c r="P9" i="14"/>
  <c r="AP44" i="13"/>
  <c r="AP22" i="13"/>
  <c r="AP20" i="13"/>
  <c r="R16" i="14"/>
  <c r="R7" i="14" s="1"/>
  <c r="Q7" i="14"/>
  <c r="M16" i="14"/>
  <c r="L7" i="14"/>
  <c r="R15" i="14"/>
  <c r="R6" i="14" s="1"/>
  <c r="Q6" i="14"/>
  <c r="Q5" i="14"/>
  <c r="R14" i="14"/>
  <c r="R5" i="14" s="1"/>
  <c r="R9" i="14" s="1"/>
  <c r="AP41" i="13"/>
  <c r="AP37" i="13"/>
  <c r="AP27" i="13"/>
  <c r="AP18" i="13"/>
  <c r="AP21" i="13"/>
  <c r="AP26" i="13"/>
  <c r="AP45" i="13"/>
  <c r="AA8" i="13"/>
  <c r="AA5" i="13"/>
  <c r="AA22" i="13"/>
  <c r="AA27" i="13"/>
  <c r="AA45" i="13"/>
  <c r="AO9" i="13"/>
  <c r="AP35" i="13"/>
  <c r="AP5" i="13"/>
  <c r="AP24" i="13"/>
  <c r="AP34" i="13"/>
  <c r="AP30" i="13"/>
  <c r="AA13" i="13"/>
  <c r="AA16" i="13"/>
  <c r="AA11" i="13"/>
  <c r="AA39" i="13"/>
  <c r="AA35" i="13"/>
  <c r="AA30" i="13"/>
  <c r="AO42" i="13"/>
  <c r="AP9" i="13"/>
  <c r="Z9" i="2"/>
  <c r="AP8" i="13"/>
  <c r="AP13" i="13"/>
  <c r="AP47" i="13"/>
  <c r="AP14" i="13"/>
  <c r="AP11" i="13"/>
  <c r="AP7" i="13"/>
  <c r="AP42" i="13"/>
  <c r="AP38" i="13"/>
  <c r="AO5" i="13"/>
  <c r="AP17" i="13"/>
  <c r="AP19" i="13"/>
  <c r="AP15" i="13"/>
  <c r="AP28" i="13"/>
  <c r="AA15" i="13"/>
  <c r="AA9" i="13"/>
  <c r="AA12" i="13"/>
  <c r="AA32" i="13"/>
  <c r="AA28" i="13"/>
  <c r="AO46" i="13"/>
  <c r="AO14" i="13"/>
  <c r="AO37" i="13"/>
  <c r="AO12" i="13"/>
  <c r="AO29" i="13"/>
  <c r="AO10" i="13"/>
  <c r="AO16" i="13"/>
  <c r="AO47" i="13"/>
  <c r="AO23" i="13"/>
  <c r="AO31" i="13"/>
  <c r="AO35" i="13"/>
  <c r="AO36" i="13"/>
  <c r="AO41" i="13"/>
  <c r="AO28" i="13"/>
  <c r="AO33" i="13"/>
  <c r="AO25" i="13"/>
  <c r="AO39" i="13"/>
  <c r="AO13" i="13"/>
  <c r="AO27" i="13"/>
  <c r="AO11" i="13"/>
  <c r="AO22" i="13"/>
  <c r="AO17" i="13"/>
  <c r="AO24" i="13"/>
  <c r="U8" i="2"/>
  <c r="O9" i="2"/>
  <c r="P4" i="2"/>
  <c r="P9" i="2" s="1"/>
  <c r="P8" i="2"/>
  <c r="AO44" i="13"/>
  <c r="AO32" i="13"/>
  <c r="AO45" i="13"/>
  <c r="T9" i="2"/>
  <c r="U4" i="2"/>
  <c r="U9" i="2" s="1"/>
  <c r="AO43" i="13"/>
  <c r="AO7" i="13"/>
  <c r="AO30" i="13"/>
  <c r="AO26" i="13"/>
  <c r="E9" i="2"/>
  <c r="F4" i="2"/>
  <c r="F9" i="2" s="1"/>
  <c r="AO8" i="13"/>
  <c r="AO40" i="13"/>
  <c r="AO34" i="13"/>
  <c r="AO21" i="13"/>
  <c r="Z47" i="13"/>
  <c r="Z37" i="13"/>
  <c r="Z41" i="13"/>
  <c r="Z27" i="13"/>
  <c r="Z24" i="13"/>
  <c r="Z22" i="13"/>
  <c r="Z26" i="13"/>
  <c r="Z39" i="13"/>
  <c r="Z29" i="13"/>
  <c r="Z33" i="13"/>
  <c r="Z20" i="13"/>
  <c r="Z9" i="13"/>
  <c r="Z6" i="13"/>
  <c r="Z45" i="13"/>
  <c r="Z35" i="13"/>
  <c r="Z31" i="13"/>
  <c r="Z44" i="13"/>
  <c r="Z25" i="13"/>
  <c r="Z12" i="13"/>
  <c r="Z16" i="13"/>
  <c r="Z10" i="13"/>
  <c r="Z23" i="13"/>
  <c r="Z36" i="13"/>
  <c r="Z15" i="13"/>
  <c r="Z32" i="13"/>
  <c r="Z14" i="13"/>
  <c r="Z46" i="13"/>
  <c r="Z28" i="13"/>
  <c r="Z7" i="13"/>
  <c r="Z19" i="13"/>
  <c r="Z17" i="13"/>
  <c r="Z38" i="13"/>
  <c r="Z42" i="13"/>
  <c r="Z40" i="13"/>
  <c r="Z11" i="13"/>
  <c r="Z43" i="13"/>
  <c r="Z13" i="13"/>
  <c r="Z30" i="13"/>
  <c r="Z34" i="13"/>
  <c r="Z21" i="13"/>
  <c r="Z5" i="13"/>
  <c r="Z8" i="13"/>
  <c r="Z18" i="13"/>
  <c r="F8" i="2"/>
  <c r="AO20" i="13"/>
  <c r="AO38" i="13"/>
  <c r="AO6" i="13"/>
  <c r="AO18" i="13"/>
  <c r="AN48" i="13"/>
  <c r="Y48" i="13"/>
  <c r="AF43" i="13"/>
  <c r="AF29" i="13"/>
  <c r="AF28" i="13"/>
  <c r="AF41" i="13"/>
  <c r="AF42" i="13"/>
  <c r="AF30" i="13"/>
  <c r="AF6" i="13"/>
  <c r="AF12" i="13"/>
  <c r="AF38" i="13"/>
  <c r="AF45" i="13"/>
  <c r="AF37" i="13"/>
  <c r="AF31" i="13"/>
  <c r="T48" i="13"/>
  <c r="AD48" i="13"/>
  <c r="X48" i="13"/>
  <c r="AI48" i="13"/>
  <c r="X8" i="14"/>
  <c r="X6" i="14"/>
  <c r="X7" i="14"/>
  <c r="AF20" i="13"/>
  <c r="AF19" i="13"/>
  <c r="AF27" i="13"/>
  <c r="AF46" i="13"/>
  <c r="AF25" i="13"/>
  <c r="AJ10" i="13"/>
  <c r="AJ21" i="13"/>
  <c r="AJ26" i="13"/>
  <c r="AJ44" i="13"/>
  <c r="AF16" i="13"/>
  <c r="AF34" i="13"/>
  <c r="AF22" i="13"/>
  <c r="AF35" i="13"/>
  <c r="AF23" i="13"/>
  <c r="AF33" i="13"/>
  <c r="AJ7" i="13"/>
  <c r="AJ6" i="13"/>
  <c r="AJ18" i="13"/>
  <c r="AJ23" i="13"/>
  <c r="AJ34" i="13"/>
  <c r="AJ29" i="13"/>
  <c r="AK35" i="13"/>
  <c r="AF47" i="13"/>
  <c r="AF5" i="13"/>
  <c r="AF13" i="13"/>
  <c r="AF15" i="13"/>
  <c r="AF36" i="13"/>
  <c r="AJ25" i="13"/>
  <c r="AJ8" i="13"/>
  <c r="AJ47" i="13"/>
  <c r="AJ35" i="13"/>
  <c r="AF11" i="13"/>
  <c r="AF21" i="13"/>
  <c r="AF9" i="13"/>
  <c r="AF44" i="13"/>
  <c r="AF24" i="13"/>
  <c r="AJ14" i="13"/>
  <c r="AJ9" i="13"/>
  <c r="AJ19" i="13"/>
  <c r="AJ24" i="13"/>
  <c r="AC48" i="13"/>
  <c r="AE40" i="13"/>
  <c r="AE37" i="13"/>
  <c r="AE27" i="13"/>
  <c r="AE6" i="13"/>
  <c r="AE11" i="13"/>
  <c r="AE42" i="13"/>
  <c r="AE12" i="13"/>
  <c r="AE32" i="13"/>
  <c r="AE29" i="13"/>
  <c r="AE16" i="13"/>
  <c r="AE21" i="13"/>
  <c r="AE5" i="13"/>
  <c r="AE8" i="13"/>
  <c r="AE34" i="13"/>
  <c r="AE47" i="13"/>
  <c r="AE36" i="13"/>
  <c r="AE46" i="13"/>
  <c r="AE43" i="13"/>
  <c r="AE9" i="13"/>
  <c r="AE31" i="13"/>
  <c r="AE7" i="13"/>
  <c r="AE26" i="13"/>
  <c r="AE39" i="13"/>
  <c r="AE28" i="13"/>
  <c r="AE15" i="13"/>
  <c r="AE20" i="13"/>
  <c r="AE38" i="13"/>
  <c r="AE41" i="13"/>
  <c r="AE35" i="13"/>
  <c r="AE19" i="13"/>
  <c r="AE33" i="13"/>
  <c r="AE23" i="13"/>
  <c r="AE18" i="13"/>
  <c r="AE22" i="13"/>
  <c r="AE17" i="13"/>
  <c r="AE44" i="13"/>
  <c r="AE25" i="13"/>
  <c r="AE45" i="13"/>
  <c r="AE10" i="13"/>
  <c r="AE14" i="13"/>
  <c r="AE30" i="13"/>
  <c r="AE24" i="13"/>
  <c r="AE13" i="13"/>
  <c r="U43" i="13"/>
  <c r="U25" i="13"/>
  <c r="U29" i="13"/>
  <c r="U45" i="13"/>
  <c r="U24" i="13"/>
  <c r="U35" i="13"/>
  <c r="U47" i="13"/>
  <c r="U20" i="13"/>
  <c r="U16" i="13"/>
  <c r="U13" i="13"/>
  <c r="U40" i="13"/>
  <c r="U27" i="13"/>
  <c r="U39" i="13"/>
  <c r="U12" i="13"/>
  <c r="U8" i="13"/>
  <c r="U14" i="13"/>
  <c r="U46" i="13"/>
  <c r="U21" i="13"/>
  <c r="U42" i="13"/>
  <c r="U31" i="13"/>
  <c r="U18" i="13"/>
  <c r="U32" i="13"/>
  <c r="U11" i="13"/>
  <c r="U26" i="13"/>
  <c r="U37" i="13"/>
  <c r="U34" i="13"/>
  <c r="U23" i="13"/>
  <c r="U10" i="13"/>
  <c r="U15" i="13"/>
  <c r="U5" i="13"/>
  <c r="U36" i="13"/>
  <c r="U41" i="13"/>
  <c r="U38" i="13"/>
  <c r="U17" i="13"/>
  <c r="U22" i="13"/>
  <c r="U19" i="13"/>
  <c r="U28" i="13"/>
  <c r="U33" i="13"/>
  <c r="U30" i="13"/>
  <c r="U9" i="13"/>
  <c r="U6" i="13"/>
  <c r="U7" i="13"/>
  <c r="U44" i="13"/>
  <c r="AK36" i="13"/>
  <c r="AK43" i="13"/>
  <c r="AK41" i="13"/>
  <c r="AK25" i="13"/>
  <c r="AK38" i="13"/>
  <c r="AK45" i="13"/>
  <c r="AK24" i="13"/>
  <c r="AK9" i="13"/>
  <c r="AK22" i="13"/>
  <c r="AK13" i="13"/>
  <c r="AK32" i="13"/>
  <c r="Q9" i="14" l="1"/>
  <c r="AH15" i="14"/>
  <c r="AG6" i="14"/>
  <c r="AH16" i="14"/>
  <c r="AG7" i="14"/>
  <c r="AG9" i="14" s="1"/>
  <c r="M7" i="14"/>
  <c r="V9" i="14"/>
  <c r="AH5" i="14"/>
  <c r="AI14" i="14"/>
  <c r="M8" i="14"/>
  <c r="M6" i="14"/>
  <c r="AH8" i="14"/>
  <c r="AI17" i="14"/>
  <c r="AI8" i="14" s="1"/>
  <c r="AG4" i="14"/>
  <c r="AH13" i="14"/>
  <c r="L9" i="14"/>
  <c r="X9" i="14"/>
  <c r="X4" i="14"/>
  <c r="AA48" i="13"/>
  <c r="AP48" i="13"/>
  <c r="AO48" i="13"/>
  <c r="Z48" i="13"/>
  <c r="AK19" i="13"/>
  <c r="AK6" i="13"/>
  <c r="AK17" i="13"/>
  <c r="AK30" i="13"/>
  <c r="AK33" i="13"/>
  <c r="AK28" i="13"/>
  <c r="AK10" i="13"/>
  <c r="AK46" i="13"/>
  <c r="AK44" i="13"/>
  <c r="AK40" i="13"/>
  <c r="AK18" i="13"/>
  <c r="AK34" i="13"/>
  <c r="AK21" i="13"/>
  <c r="AK15" i="13"/>
  <c r="AK23" i="13"/>
  <c r="AK7" i="13"/>
  <c r="AK8" i="13"/>
  <c r="AK37" i="13"/>
  <c r="AK31" i="13"/>
  <c r="AK42" i="13"/>
  <c r="AK14" i="13"/>
  <c r="AK26" i="13"/>
  <c r="AK5" i="13"/>
  <c r="AK16" i="13"/>
  <c r="AK12" i="13"/>
  <c r="AK39" i="13"/>
  <c r="AK27" i="13"/>
  <c r="AK11" i="13"/>
  <c r="AK29" i="13"/>
  <c r="AK20" i="13"/>
  <c r="AK47" i="13"/>
  <c r="AJ48" i="13"/>
  <c r="AF48" i="13"/>
  <c r="Y7" i="14"/>
  <c r="Y6" i="14"/>
  <c r="Y8" i="14"/>
  <c r="AE48" i="13"/>
  <c r="V29" i="13"/>
  <c r="V41" i="13"/>
  <c r="V27" i="13"/>
  <c r="V32" i="13"/>
  <c r="V19" i="13"/>
  <c r="V8" i="13"/>
  <c r="V21" i="13"/>
  <c r="V23" i="13"/>
  <c r="V22" i="13"/>
  <c r="V42" i="13"/>
  <c r="V24" i="13"/>
  <c r="V11" i="13"/>
  <c r="V36" i="13"/>
  <c r="V13" i="13"/>
  <c r="V46" i="13"/>
  <c r="V15" i="13"/>
  <c r="V47" i="13"/>
  <c r="V34" i="13"/>
  <c r="V5" i="13"/>
  <c r="V17" i="13"/>
  <c r="V26" i="13"/>
  <c r="V38" i="13"/>
  <c r="V44" i="13"/>
  <c r="V7" i="13"/>
  <c r="V20" i="13"/>
  <c r="V30" i="13"/>
  <c r="V33" i="13"/>
  <c r="V45" i="13"/>
  <c r="V9" i="13"/>
  <c r="V6" i="13"/>
  <c r="V18" i="13"/>
  <c r="V14" i="13"/>
  <c r="V35" i="13"/>
  <c r="V16" i="13"/>
  <c r="V39" i="13"/>
  <c r="V43" i="13"/>
  <c r="V25" i="13"/>
  <c r="V37" i="13"/>
  <c r="V31" i="13"/>
  <c r="V12" i="13"/>
  <c r="V40" i="13"/>
  <c r="V28" i="13"/>
  <c r="V10" i="13"/>
  <c r="U48" i="13"/>
  <c r="AH6" i="14" l="1"/>
  <c r="AI15" i="14"/>
  <c r="B17" i="14"/>
  <c r="C17" i="14" s="1"/>
  <c r="M9" i="14"/>
  <c r="AI16" i="14"/>
  <c r="AH7" i="14"/>
  <c r="B14" i="14"/>
  <c r="C14" i="14" s="1"/>
  <c r="AI5" i="14"/>
  <c r="AI13" i="14"/>
  <c r="AI4" i="14" s="1"/>
  <c r="AH17" i="3" s="1"/>
  <c r="AH4" i="14"/>
  <c r="B13" i="14"/>
  <c r="C13" i="14" s="1"/>
  <c r="AH9" i="14"/>
  <c r="B5" i="14"/>
  <c r="Y9" i="14"/>
  <c r="Y4" i="14"/>
  <c r="AK48" i="13"/>
  <c r="Z8" i="14"/>
  <c r="Z6" i="14"/>
  <c r="Z7" i="14"/>
  <c r="V48" i="13"/>
  <c r="AI7" i="14" l="1"/>
  <c r="B16" i="14"/>
  <c r="C16" i="14" s="1"/>
  <c r="AI6" i="14"/>
  <c r="AI9" i="14" s="1"/>
  <c r="AH18" i="3" s="1"/>
  <c r="B15" i="14"/>
  <c r="C15" i="14" s="1"/>
  <c r="Z9" i="14"/>
  <c r="Z4" i="14"/>
  <c r="AA6" i="14"/>
  <c r="AA8" i="14"/>
  <c r="AA7" i="14"/>
  <c r="AH13" i="1"/>
  <c r="AH17" i="1" s="1"/>
  <c r="AH11" i="3" s="1"/>
  <c r="AG13" i="1"/>
  <c r="AG17" i="1" s="1"/>
  <c r="AF13" i="1"/>
  <c r="AF17" i="1" s="1"/>
  <c r="AE13" i="1"/>
  <c r="AE17" i="1" s="1"/>
  <c r="AD13" i="1"/>
  <c r="AD17" i="1" s="1"/>
  <c r="AC13" i="1"/>
  <c r="AC17" i="1" s="1"/>
  <c r="AB13" i="1"/>
  <c r="AB17" i="1" s="1"/>
  <c r="AA13" i="1"/>
  <c r="AA17" i="1" s="1"/>
  <c r="Z13" i="1"/>
  <c r="Z17" i="1" s="1"/>
  <c r="Y13" i="1"/>
  <c r="Y17" i="1" s="1"/>
  <c r="X13" i="1"/>
  <c r="X17" i="1" s="1"/>
  <c r="W13" i="1"/>
  <c r="W17" i="1" s="1"/>
  <c r="V13" i="1"/>
  <c r="V17" i="1" s="1"/>
  <c r="U13" i="1"/>
  <c r="U17" i="1" s="1"/>
  <c r="T13" i="1"/>
  <c r="T17" i="1" s="1"/>
  <c r="S13" i="1"/>
  <c r="S17" i="1" s="1"/>
  <c r="R13" i="1"/>
  <c r="R17" i="1" s="1"/>
  <c r="Q13" i="1"/>
  <c r="Q17" i="1" s="1"/>
  <c r="P13" i="1"/>
  <c r="P17" i="1" s="1"/>
  <c r="O13" i="1"/>
  <c r="O17" i="1" s="1"/>
  <c r="N13" i="1"/>
  <c r="N17" i="1" s="1"/>
  <c r="M13" i="1"/>
  <c r="M17" i="1" s="1"/>
  <c r="L13" i="1"/>
  <c r="L17" i="1" s="1"/>
  <c r="K13" i="1"/>
  <c r="K17" i="1" s="1"/>
  <c r="J13" i="1"/>
  <c r="J17" i="1" s="1"/>
  <c r="I13" i="1"/>
  <c r="I17" i="1" s="1"/>
  <c r="H13" i="1"/>
  <c r="H17" i="1" s="1"/>
  <c r="G13" i="1"/>
  <c r="G17" i="1" s="1"/>
  <c r="F13" i="1"/>
  <c r="F17" i="1" s="1"/>
  <c r="E13" i="1"/>
  <c r="E17" i="1" s="1"/>
  <c r="D13" i="1"/>
  <c r="D17" i="1" s="1"/>
  <c r="C13" i="1"/>
  <c r="C17" i="1" s="1"/>
  <c r="B13" i="1"/>
  <c r="B17" i="1" s="1"/>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A9" i="14" l="1"/>
  <c r="AA4" i="14"/>
  <c r="AB7" i="14"/>
  <c r="B7" i="14" s="1"/>
  <c r="AB8" i="14"/>
  <c r="B8" i="14" s="1"/>
  <c r="AB6" i="14"/>
  <c r="B6" i="14" s="1"/>
  <c r="B9" i="14" s="1"/>
  <c r="G12" i="2"/>
  <c r="D12" i="2"/>
  <c r="V12" i="2"/>
  <c r="AA12" i="2"/>
  <c r="C12" i="2"/>
  <c r="L12" i="2"/>
  <c r="Q12" i="2"/>
  <c r="W12" i="2"/>
  <c r="N12" i="2"/>
  <c r="R12" i="2"/>
  <c r="I12" i="2"/>
  <c r="M12" i="2"/>
  <c r="E12" i="2"/>
  <c r="H12" i="2"/>
  <c r="J12" i="2"/>
  <c r="S12" i="2"/>
  <c r="X12" i="2"/>
  <c r="O12" i="2"/>
  <c r="F12" i="2"/>
  <c r="P12" i="2"/>
  <c r="T12" i="2"/>
  <c r="Y12" i="2"/>
  <c r="K12" i="2"/>
  <c r="U12" i="2"/>
  <c r="Z12" i="2"/>
  <c r="AB4" i="14" l="1"/>
  <c r="AB9" i="14"/>
  <c r="V14" i="2"/>
  <c r="G14" i="2"/>
  <c r="Q14" i="2"/>
  <c r="R14" i="2"/>
  <c r="V13" i="2"/>
  <c r="V15" i="2" s="1"/>
  <c r="AA14" i="2"/>
  <c r="L14" i="2"/>
  <c r="AA13" i="2"/>
  <c r="H14" i="2"/>
  <c r="Q13" i="2"/>
  <c r="W14" i="2"/>
  <c r="C14" i="2"/>
  <c r="S14" i="2"/>
  <c r="G13" i="2"/>
  <c r="R13" i="2"/>
  <c r="W13" i="2"/>
  <c r="L13" i="2"/>
  <c r="M14" i="2"/>
  <c r="D14" i="2"/>
  <c r="J14" i="2"/>
  <c r="H13" i="2"/>
  <c r="X13" i="2"/>
  <c r="D13" i="2"/>
  <c r="Z13" i="2"/>
  <c r="N14" i="2"/>
  <c r="I14" i="2"/>
  <c r="O14" i="2"/>
  <c r="I13" i="2"/>
  <c r="S13" i="2"/>
  <c r="S15" i="2" s="1"/>
  <c r="E14" i="2"/>
  <c r="M13" i="2"/>
  <c r="X14" i="2"/>
  <c r="P13" i="2"/>
  <c r="C13" i="2"/>
  <c r="T14" i="2"/>
  <c r="Y13" i="2"/>
  <c r="N13" i="2"/>
  <c r="Y14" i="2"/>
  <c r="O13" i="2"/>
  <c r="J13" i="2"/>
  <c r="U14" i="2"/>
  <c r="Z14" i="2"/>
  <c r="K14" i="2"/>
  <c r="P14" i="2"/>
  <c r="K13" i="2"/>
  <c r="T13" i="2"/>
  <c r="F14" i="2"/>
  <c r="E13" i="2"/>
  <c r="U13" i="2"/>
  <c r="F13" i="2"/>
  <c r="F15" i="2" s="1"/>
  <c r="F34" i="5"/>
  <c r="G34" i="5" s="1"/>
  <c r="H34" i="5" s="1"/>
  <c r="I34" i="5" s="1"/>
  <c r="J34" i="5" s="1"/>
  <c r="K34" i="5" s="1"/>
  <c r="L34" i="5" s="1"/>
  <c r="M34" i="5" s="1"/>
  <c r="N34" i="5" s="1"/>
  <c r="O34" i="5" s="1"/>
  <c r="P34" i="5" s="1"/>
  <c r="Q34" i="5" s="1"/>
  <c r="R34" i="5" s="1"/>
  <c r="S34" i="5" s="1"/>
  <c r="T34" i="5" s="1"/>
  <c r="U34" i="5" s="1"/>
  <c r="V34" i="5" s="1"/>
  <c r="W34" i="5" s="1"/>
  <c r="X34" i="5" s="1"/>
  <c r="Y34" i="5" s="1"/>
  <c r="Z34" i="5" s="1"/>
  <c r="AA34" i="5" s="1"/>
  <c r="AB34" i="5" s="1"/>
  <c r="AC34" i="5" s="1"/>
  <c r="AD34" i="5" s="1"/>
  <c r="AE34" i="5" s="1"/>
  <c r="AF34" i="5" s="1"/>
  <c r="AG34" i="5" s="1"/>
  <c r="AH34" i="5" s="1"/>
  <c r="AI34" i="5" s="1"/>
  <c r="AJ34" i="5" s="1"/>
  <c r="AV34" i="5" s="1"/>
  <c r="F33" i="5"/>
  <c r="G33" i="5" s="1"/>
  <c r="H33" i="5" s="1"/>
  <c r="I33" i="5" s="1"/>
  <c r="J33" i="5" s="1"/>
  <c r="K33" i="5" s="1"/>
  <c r="L33" i="5" s="1"/>
  <c r="M33" i="5" s="1"/>
  <c r="N33" i="5" s="1"/>
  <c r="O33" i="5" s="1"/>
  <c r="P33" i="5" s="1"/>
  <c r="Q33" i="5" s="1"/>
  <c r="R33" i="5" s="1"/>
  <c r="S33" i="5" s="1"/>
  <c r="T33" i="5" s="1"/>
  <c r="U33" i="5" s="1"/>
  <c r="V33" i="5" s="1"/>
  <c r="W33" i="5" s="1"/>
  <c r="X33" i="5" s="1"/>
  <c r="Y33" i="5" s="1"/>
  <c r="Z33" i="5" s="1"/>
  <c r="AA33" i="5" s="1"/>
  <c r="AB33" i="5" s="1"/>
  <c r="AC33" i="5" s="1"/>
  <c r="AD33" i="5" s="1"/>
  <c r="AE33" i="5" s="1"/>
  <c r="AF33" i="5" s="1"/>
  <c r="AG33" i="5" s="1"/>
  <c r="AH33" i="5" s="1"/>
  <c r="AI33" i="5" s="1"/>
  <c r="AJ33" i="5" s="1"/>
  <c r="AV33" i="5" s="1"/>
  <c r="C11" i="2"/>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I15" i="2" l="1"/>
  <c r="U15" i="2"/>
  <c r="Q15" i="2"/>
  <c r="X15" i="2"/>
  <c r="G15" i="2"/>
  <c r="T15" i="2"/>
  <c r="K15" i="2"/>
  <c r="N15" i="2"/>
  <c r="H15" i="2"/>
  <c r="Y15" i="2"/>
  <c r="C15" i="2"/>
  <c r="P15" i="2"/>
  <c r="L15" i="2"/>
  <c r="E15" i="2"/>
  <c r="J15" i="2"/>
  <c r="Z15" i="2"/>
  <c r="W15" i="2"/>
  <c r="AA15" i="2"/>
  <c r="AH16" i="3" s="1"/>
  <c r="O15" i="2"/>
  <c r="M15" i="2"/>
  <c r="D15" i="2"/>
  <c r="R15" i="2"/>
  <c r="B15" i="2"/>
  <c r="B16" i="2"/>
  <c r="L16" i="2"/>
  <c r="F28" i="5"/>
  <c r="G28" i="5" s="1"/>
  <c r="H28" i="5" s="1"/>
  <c r="I28" i="5" s="1"/>
  <c r="J28" i="5" s="1"/>
  <c r="K28" i="5" s="1"/>
  <c r="L28" i="5" s="1"/>
  <c r="M28" i="5" s="1"/>
  <c r="N28" i="5" s="1"/>
  <c r="O28" i="5" s="1"/>
  <c r="P28" i="5" s="1"/>
  <c r="Q28" i="5" s="1"/>
  <c r="R28" i="5" s="1"/>
  <c r="S28" i="5" s="1"/>
  <c r="T28" i="5" s="1"/>
  <c r="U28" i="5" s="1"/>
  <c r="V28" i="5" s="1"/>
  <c r="W28" i="5" s="1"/>
  <c r="X28" i="5" s="1"/>
  <c r="Y28" i="5" s="1"/>
  <c r="Z28" i="5" s="1"/>
  <c r="AA28" i="5" s="1"/>
  <c r="AB28" i="5" s="1"/>
  <c r="AC28" i="5" s="1"/>
  <c r="AD28" i="5" s="1"/>
  <c r="AE28" i="5" s="1"/>
  <c r="AF28" i="5" s="1"/>
  <c r="AG28" i="5" s="1"/>
  <c r="AH28" i="5" s="1"/>
  <c r="AI28" i="5" s="1"/>
  <c r="AJ28" i="5" s="1"/>
  <c r="F27" i="5"/>
  <c r="G27" i="5" s="1"/>
  <c r="H27" i="5" s="1"/>
  <c r="I27" i="5" s="1"/>
  <c r="J27" i="5" s="1"/>
  <c r="K27" i="5" s="1"/>
  <c r="L27" i="5" s="1"/>
  <c r="M27" i="5" s="1"/>
  <c r="N27" i="5" s="1"/>
  <c r="O27" i="5" s="1"/>
  <c r="P27" i="5" s="1"/>
  <c r="Q27" i="5" s="1"/>
  <c r="R27" i="5" s="1"/>
  <c r="S27" i="5" s="1"/>
  <c r="T27" i="5" s="1"/>
  <c r="U27" i="5" s="1"/>
  <c r="V27" i="5" s="1"/>
  <c r="W27" i="5" s="1"/>
  <c r="X27" i="5" s="1"/>
  <c r="Y27" i="5" s="1"/>
  <c r="Z27" i="5" s="1"/>
  <c r="AA27" i="5" s="1"/>
  <c r="AB27" i="5" s="1"/>
  <c r="AC27" i="5" s="1"/>
  <c r="AD27" i="5" s="1"/>
  <c r="AE27" i="5" s="1"/>
  <c r="AF27" i="5" s="1"/>
  <c r="AG27" i="5" s="1"/>
  <c r="AH27" i="5" s="1"/>
  <c r="AI27" i="5" s="1"/>
  <c r="AJ27" i="5" s="1"/>
  <c r="F30" i="5"/>
  <c r="G30" i="5" s="1"/>
  <c r="H30" i="5" s="1"/>
  <c r="I30" i="5" s="1"/>
  <c r="J30" i="5" s="1"/>
  <c r="K30" i="5" s="1"/>
  <c r="L30" i="5" s="1"/>
  <c r="M30" i="5" s="1"/>
  <c r="N30" i="5" s="1"/>
  <c r="O30" i="5" s="1"/>
  <c r="P30" i="5" s="1"/>
  <c r="Q30" i="5" s="1"/>
  <c r="R30" i="5" s="1"/>
  <c r="S30" i="5" s="1"/>
  <c r="T30" i="5" s="1"/>
  <c r="U30" i="5" s="1"/>
  <c r="V30" i="5" s="1"/>
  <c r="W30" i="5" s="1"/>
  <c r="X30" i="5" s="1"/>
  <c r="Y30" i="5" s="1"/>
  <c r="Z30" i="5" s="1"/>
  <c r="AA30" i="5" s="1"/>
  <c r="AB30" i="5" s="1"/>
  <c r="AC30" i="5" s="1"/>
  <c r="AD30" i="5" s="1"/>
  <c r="AE30" i="5" s="1"/>
  <c r="AF30" i="5" s="1"/>
  <c r="AG30" i="5" s="1"/>
  <c r="AH30" i="5" s="1"/>
  <c r="AI30" i="5" s="1"/>
  <c r="AJ30" i="5" s="1"/>
  <c r="F29" i="5"/>
  <c r="G29" i="5" s="1"/>
  <c r="H29" i="5" s="1"/>
  <c r="I29" i="5" s="1"/>
  <c r="F26" i="5"/>
  <c r="G26" i="5" s="1"/>
  <c r="H26" i="5" s="1"/>
  <c r="I26" i="5" s="1"/>
  <c r="C46" i="6" s="1"/>
  <c r="J26" i="5" l="1"/>
  <c r="K26" i="5" s="1"/>
  <c r="L26" i="5" s="1"/>
  <c r="M26" i="5" s="1"/>
  <c r="N26" i="5" s="1"/>
  <c r="O26" i="5" s="1"/>
  <c r="P26" i="5" s="1"/>
  <c r="Q26" i="5" s="1"/>
  <c r="R26" i="5" s="1"/>
  <c r="S26" i="5" s="1"/>
  <c r="T26" i="5" s="1"/>
  <c r="U26" i="5" s="1"/>
  <c r="V26" i="5" s="1"/>
  <c r="W26" i="5" s="1"/>
  <c r="X26" i="5" s="1"/>
  <c r="Y26" i="5" s="1"/>
  <c r="Z26" i="5" s="1"/>
  <c r="AA26" i="5" s="1"/>
  <c r="AB26" i="5" s="1"/>
  <c r="AC26" i="5" s="1"/>
  <c r="AD26" i="5" s="1"/>
  <c r="AE26" i="5" s="1"/>
  <c r="AF26" i="5" s="1"/>
  <c r="AG26" i="5" s="1"/>
  <c r="AH26" i="5" s="1"/>
  <c r="AI26" i="5" s="1"/>
  <c r="AJ26" i="5" s="1"/>
  <c r="B13" i="6"/>
  <c r="J29" i="5"/>
  <c r="K29" i="5" s="1"/>
  <c r="L29" i="5" s="1"/>
  <c r="M29" i="5" s="1"/>
  <c r="N29" i="5" s="1"/>
  <c r="B19" i="6"/>
  <c r="B30" i="6"/>
  <c r="C30" i="6" s="1"/>
  <c r="B31" i="6"/>
  <c r="C31" i="6" s="1"/>
  <c r="B33" i="6"/>
  <c r="C33" i="6" s="1"/>
  <c r="B32" i="6"/>
  <c r="C32" i="6" s="1"/>
  <c r="D32" i="6" s="1"/>
  <c r="E32" i="6" s="1"/>
  <c r="F32" i="6" s="1"/>
  <c r="G32" i="6" s="1"/>
  <c r="H32" i="6" s="1"/>
  <c r="I32" i="6" s="1"/>
  <c r="D16" i="2" l="1"/>
  <c r="D33" i="6"/>
  <c r="E33" i="6" s="1"/>
  <c r="F33" i="6" s="1"/>
  <c r="G33" i="6" s="1"/>
  <c r="H33" i="6" s="1"/>
  <c r="I33" i="6" s="1"/>
  <c r="C40" i="6"/>
  <c r="C50" i="6" s="1"/>
  <c r="D31" i="6"/>
  <c r="E31" i="6" s="1"/>
  <c r="F31" i="6" s="1"/>
  <c r="G31" i="6" s="1"/>
  <c r="H31" i="6" s="1"/>
  <c r="C38" i="6"/>
  <c r="C48" i="6" s="1"/>
  <c r="D30" i="6"/>
  <c r="E30" i="6" s="1"/>
  <c r="F30" i="6" s="1"/>
  <c r="G30" i="6" s="1"/>
  <c r="H30" i="6" s="1"/>
  <c r="C37" i="6"/>
  <c r="C47" i="6" s="1"/>
  <c r="F39" i="6"/>
  <c r="O29" i="5"/>
  <c r="P29" i="5" s="1"/>
  <c r="Q29" i="5" s="1"/>
  <c r="R29" i="5" s="1"/>
  <c r="S29" i="5" s="1"/>
  <c r="T29" i="5" s="1"/>
  <c r="U29" i="5" s="1"/>
  <c r="V29" i="5" s="1"/>
  <c r="W29" i="5" s="1"/>
  <c r="X29" i="5" s="1"/>
  <c r="I30" i="6" l="1"/>
  <c r="I31" i="6"/>
  <c r="R49" i="6"/>
  <c r="F40" i="6"/>
  <c r="R50" i="6" s="1"/>
  <c r="C39" i="6"/>
  <c r="C49" i="6" s="1"/>
  <c r="C51" i="6" s="1"/>
  <c r="H38" i="6"/>
  <c r="AB48" i="6" s="1"/>
  <c r="F36" i="6"/>
  <c r="R46" i="6" s="1"/>
  <c r="G36" i="6"/>
  <c r="H37" i="6"/>
  <c r="AB47" i="6" s="1"/>
  <c r="D40" i="6"/>
  <c r="H50" i="6" s="1"/>
  <c r="H39" i="6"/>
  <c r="Y29" i="5"/>
  <c r="Z29" i="5" s="1"/>
  <c r="AA29" i="5" s="1"/>
  <c r="AB29" i="5" s="1"/>
  <c r="AC29" i="5" s="1"/>
  <c r="Q16" i="2"/>
  <c r="F38" i="6"/>
  <c r="R48" i="6" s="1"/>
  <c r="D37" i="6"/>
  <c r="H47" i="6" s="1"/>
  <c r="F37" i="6"/>
  <c r="R47" i="6" s="1"/>
  <c r="G40" i="6"/>
  <c r="W50" i="6" s="1"/>
  <c r="D39" i="6"/>
  <c r="H49" i="6" s="1"/>
  <c r="D36" i="6"/>
  <c r="H46" i="6" s="1"/>
  <c r="D46" i="6" s="1"/>
  <c r="D47" i="6" l="1"/>
  <c r="E47" i="6" s="1"/>
  <c r="F47" i="6" s="1"/>
  <c r="G47" i="6" s="1"/>
  <c r="R51" i="6"/>
  <c r="D50" i="6"/>
  <c r="E50" i="6" s="1"/>
  <c r="F50" i="6" s="1"/>
  <c r="G50" i="6" s="1"/>
  <c r="D49" i="6"/>
  <c r="E49" i="6" s="1"/>
  <c r="F49" i="6" s="1"/>
  <c r="G49" i="6" s="1"/>
  <c r="S50" i="6"/>
  <c r="T50" i="6" s="1"/>
  <c r="U50" i="6" s="1"/>
  <c r="V50" i="6" s="1"/>
  <c r="W46" i="6"/>
  <c r="G38" i="6"/>
  <c r="W48" i="6" s="1"/>
  <c r="AC48" i="6" s="1"/>
  <c r="G37" i="6"/>
  <c r="W47" i="6" s="1"/>
  <c r="AC47" i="6" s="1"/>
  <c r="D38" i="6"/>
  <c r="H48" i="6" s="1"/>
  <c r="H36" i="6"/>
  <c r="E40" i="6"/>
  <c r="M50" i="6" s="1"/>
  <c r="N50" i="6" s="1"/>
  <c r="G39" i="6"/>
  <c r="W49" i="6" s="1"/>
  <c r="E37" i="6"/>
  <c r="M47" i="6" s="1"/>
  <c r="N47" i="6" s="1"/>
  <c r="G16" i="2"/>
  <c r="H16" i="2"/>
  <c r="C16" i="2"/>
  <c r="H40" i="6"/>
  <c r="AB50" i="6" s="1"/>
  <c r="AC50" i="6" s="1"/>
  <c r="AD29" i="5"/>
  <c r="AE29" i="5" s="1"/>
  <c r="AF29" i="5" s="1"/>
  <c r="AG29" i="5" s="1"/>
  <c r="AH29" i="5" s="1"/>
  <c r="AB49" i="6" s="1"/>
  <c r="V16" i="2"/>
  <c r="M16" i="2"/>
  <c r="E36" i="6"/>
  <c r="M46" i="6" s="1"/>
  <c r="N46" i="6" s="1"/>
  <c r="E39" i="6"/>
  <c r="M49" i="6" s="1"/>
  <c r="I39" i="6"/>
  <c r="J39" i="6" s="1"/>
  <c r="I37" i="6"/>
  <c r="J37" i="6" s="1"/>
  <c r="I38" i="6"/>
  <c r="J38" i="6" s="1"/>
  <c r="N39" i="6" l="1"/>
  <c r="N40" i="6"/>
  <c r="AC49" i="6"/>
  <c r="X49" i="6"/>
  <c r="Y49" i="6" s="1"/>
  <c r="Z49" i="6" s="1"/>
  <c r="AA49" i="6" s="1"/>
  <c r="X47" i="6"/>
  <c r="Y47" i="6" s="1"/>
  <c r="Z47" i="6" s="1"/>
  <c r="AA47" i="6" s="1"/>
  <c r="I36" i="6"/>
  <c r="J36" i="6" s="1"/>
  <c r="AB46" i="6"/>
  <c r="AC46" i="6" s="1"/>
  <c r="AC51" i="6" s="1"/>
  <c r="AH20" i="3" s="1"/>
  <c r="O47" i="6"/>
  <c r="P47" i="6" s="1"/>
  <c r="Q47" i="6" s="1"/>
  <c r="X50" i="6"/>
  <c r="Y50" i="6" s="1"/>
  <c r="Z50" i="6" s="1"/>
  <c r="AA50" i="6" s="1"/>
  <c r="O50" i="6"/>
  <c r="P50" i="6" s="1"/>
  <c r="Q50" i="6" s="1"/>
  <c r="O46" i="6"/>
  <c r="D48" i="6"/>
  <c r="E48" i="6" s="1"/>
  <c r="F48" i="6" s="1"/>
  <c r="G48" i="6" s="1"/>
  <c r="S47" i="6"/>
  <c r="T47" i="6" s="1"/>
  <c r="U47" i="6" s="1"/>
  <c r="V47" i="6" s="1"/>
  <c r="I50" i="6"/>
  <c r="J50" i="6" s="1"/>
  <c r="K50" i="6" s="1"/>
  <c r="L50" i="6" s="1"/>
  <c r="I49" i="6"/>
  <c r="J49" i="6" s="1"/>
  <c r="K49" i="6" s="1"/>
  <c r="L49" i="6" s="1"/>
  <c r="N49" i="6"/>
  <c r="O49" i="6" s="1"/>
  <c r="P49" i="6" s="1"/>
  <c r="Q49" i="6" s="1"/>
  <c r="S46" i="6"/>
  <c r="T46" i="6" s="1"/>
  <c r="W51" i="6"/>
  <c r="S48" i="6"/>
  <c r="T48" i="6" s="1"/>
  <c r="U48" i="6" s="1"/>
  <c r="V48" i="6" s="1"/>
  <c r="I46" i="6"/>
  <c r="J46" i="6" s="1"/>
  <c r="K46" i="6" s="1"/>
  <c r="I47" i="6"/>
  <c r="J47" i="6" s="1"/>
  <c r="K47" i="6" s="1"/>
  <c r="L47" i="6" s="1"/>
  <c r="S49" i="6"/>
  <c r="T49" i="6" s="1"/>
  <c r="U49" i="6" s="1"/>
  <c r="V49" i="6" s="1"/>
  <c r="H51" i="6"/>
  <c r="X48" i="6"/>
  <c r="Y48" i="6" s="1"/>
  <c r="Z48" i="6" s="1"/>
  <c r="AA48" i="6" s="1"/>
  <c r="E38" i="6"/>
  <c r="M48" i="6" s="1"/>
  <c r="I40" i="6"/>
  <c r="J40" i="6" s="1"/>
  <c r="I16" i="2"/>
  <c r="N16" i="2"/>
  <c r="R16" i="2"/>
  <c r="AI29" i="5"/>
  <c r="AJ29" i="5" s="1"/>
  <c r="AA16" i="2"/>
  <c r="D2" i="3"/>
  <c r="E2" i="3" s="1"/>
  <c r="F2" i="3" s="1"/>
  <c r="G2" i="3" s="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D5" i="3"/>
  <c r="D7" i="3" s="1"/>
  <c r="K4" i="3"/>
  <c r="L4" i="3" s="1"/>
  <c r="M4" i="3" s="1"/>
  <c r="N4" i="3" s="1"/>
  <c r="O4" i="3" s="1"/>
  <c r="P4" i="3" s="1"/>
  <c r="Q4" i="3" s="1"/>
  <c r="R4" i="3" s="1"/>
  <c r="S4" i="3" s="1"/>
  <c r="T4" i="3" s="1"/>
  <c r="U4" i="3" s="1"/>
  <c r="V4" i="3" s="1"/>
  <c r="W4" i="3" s="1"/>
  <c r="X4" i="3" s="1"/>
  <c r="Y4" i="3" s="1"/>
  <c r="Z4" i="3" s="1"/>
  <c r="AA4" i="3" s="1"/>
  <c r="AB4" i="3" s="1"/>
  <c r="AC4" i="3" s="1"/>
  <c r="AD4" i="3" s="1"/>
  <c r="AE4" i="3" s="1"/>
  <c r="AF4" i="3" s="1"/>
  <c r="AG4" i="3" s="1"/>
  <c r="C2" i="1"/>
  <c r="D2" i="1" s="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E5" i="3" l="1"/>
  <c r="D6" i="3"/>
  <c r="D10" i="3" s="1"/>
  <c r="L46" i="6"/>
  <c r="D51" i="6"/>
  <c r="E46" i="6"/>
  <c r="S51" i="6"/>
  <c r="I48" i="6"/>
  <c r="I51" i="6" s="1"/>
  <c r="N48" i="6"/>
  <c r="N51" i="6" s="1"/>
  <c r="AB51" i="6"/>
  <c r="X46" i="6"/>
  <c r="X51" i="6" s="1"/>
  <c r="P46" i="6"/>
  <c r="M51" i="6"/>
  <c r="T51" i="6"/>
  <c r="U46" i="6"/>
  <c r="E16" i="2"/>
  <c r="J16" i="2"/>
  <c r="S16" i="2"/>
  <c r="O16" i="2"/>
  <c r="F5" i="3" l="1"/>
  <c r="F6" i="3" s="1"/>
  <c r="F10" i="3" s="1"/>
  <c r="E7" i="3"/>
  <c r="C11" i="3"/>
  <c r="D11" i="3"/>
  <c r="E6" i="3"/>
  <c r="E10" i="3" s="1"/>
  <c r="Y46" i="6"/>
  <c r="Y51" i="6" s="1"/>
  <c r="J48" i="6"/>
  <c r="O48" i="6"/>
  <c r="U51" i="6"/>
  <c r="V46" i="6"/>
  <c r="V51" i="6" s="1"/>
  <c r="Q46" i="6"/>
  <c r="E51" i="6"/>
  <c r="F46" i="6"/>
  <c r="W16" i="2"/>
  <c r="T16" i="2"/>
  <c r="G5" i="3" l="1"/>
  <c r="F7" i="3"/>
  <c r="E11" i="3"/>
  <c r="F11" i="3"/>
  <c r="Z46" i="6"/>
  <c r="Z51" i="6" s="1"/>
  <c r="J51" i="6"/>
  <c r="K48" i="6"/>
  <c r="O51" i="6"/>
  <c r="P48" i="6"/>
  <c r="F51" i="6"/>
  <c r="G46" i="6"/>
  <c r="G51" i="6" s="1"/>
  <c r="F16" i="2"/>
  <c r="P16" i="2"/>
  <c r="Y16" i="2"/>
  <c r="X16" i="2"/>
  <c r="K16" i="2"/>
  <c r="H5" i="3" l="1"/>
  <c r="G7" i="3"/>
  <c r="G6" i="3"/>
  <c r="G10" i="3" s="1"/>
  <c r="AA46" i="6"/>
  <c r="AA51" i="6" s="1"/>
  <c r="K51" i="6"/>
  <c r="L48" i="6"/>
  <c r="L51" i="6" s="1"/>
  <c r="Q48" i="6"/>
  <c r="Q51" i="6" s="1"/>
  <c r="P51" i="6"/>
  <c r="U16" i="2"/>
  <c r="G11" i="3" l="1"/>
  <c r="H7" i="3"/>
  <c r="H6" i="3"/>
  <c r="H10" i="3" s="1"/>
  <c r="I5" i="3"/>
  <c r="Z16" i="2"/>
  <c r="I6" i="3" l="1"/>
  <c r="I10" i="3" s="1"/>
  <c r="I7" i="3"/>
  <c r="J5" i="3"/>
  <c r="H11" i="3"/>
  <c r="J7" i="3" l="1"/>
  <c r="J6" i="3"/>
  <c r="K5" i="3"/>
  <c r="I11" i="3"/>
  <c r="J10" i="3" l="1"/>
  <c r="J19" i="3"/>
  <c r="J18" i="3"/>
  <c r="J15" i="3"/>
  <c r="J20" i="3"/>
  <c r="J17" i="3"/>
  <c r="J16" i="3"/>
  <c r="K7" i="3"/>
  <c r="L5" i="3"/>
  <c r="K6" i="3"/>
  <c r="J11" i="3"/>
  <c r="K10" i="3" l="1"/>
  <c r="K19" i="3"/>
  <c r="K18" i="3"/>
  <c r="K15" i="3"/>
  <c r="K20" i="3"/>
  <c r="K17" i="3"/>
  <c r="K16" i="3"/>
  <c r="K11" i="3"/>
  <c r="L7" i="3"/>
  <c r="M5" i="3"/>
  <c r="L6" i="3"/>
  <c r="L17" i="3" l="1"/>
  <c r="L16" i="3"/>
  <c r="L10" i="3"/>
  <c r="L18" i="3"/>
  <c r="L19" i="3"/>
  <c r="L20" i="3"/>
  <c r="L15" i="3"/>
  <c r="M7" i="3"/>
  <c r="M6" i="3"/>
  <c r="N5" i="3"/>
  <c r="L11" i="3"/>
  <c r="M10" i="3" l="1"/>
  <c r="M19" i="3"/>
  <c r="M18" i="3"/>
  <c r="M15" i="3"/>
  <c r="M20" i="3"/>
  <c r="M17" i="3"/>
  <c r="M16" i="3"/>
  <c r="N7" i="3"/>
  <c r="O5" i="3"/>
  <c r="N6" i="3"/>
  <c r="M11" i="3"/>
  <c r="N17" i="3" l="1"/>
  <c r="N16" i="3"/>
  <c r="N10" i="3"/>
  <c r="N18" i="3"/>
  <c r="N19" i="3"/>
  <c r="N15" i="3"/>
  <c r="N20" i="3"/>
  <c r="N11" i="3"/>
  <c r="O7" i="3"/>
  <c r="O6" i="3"/>
  <c r="P5" i="3"/>
  <c r="O10" i="3" l="1"/>
  <c r="O19" i="3"/>
  <c r="O18" i="3"/>
  <c r="O15" i="3"/>
  <c r="O20" i="3"/>
  <c r="O17" i="3"/>
  <c r="O16" i="3"/>
  <c r="O11" i="3"/>
  <c r="P7" i="3"/>
  <c r="Q5" i="3"/>
  <c r="P6" i="3"/>
  <c r="P17" i="3" l="1"/>
  <c r="P16" i="3"/>
  <c r="P10" i="3"/>
  <c r="P19" i="3"/>
  <c r="P18" i="3"/>
  <c r="P15" i="3"/>
  <c r="P20" i="3"/>
  <c r="Q7" i="3"/>
  <c r="Q6" i="3"/>
  <c r="R5" i="3"/>
  <c r="P11" i="3"/>
  <c r="Q10" i="3" l="1"/>
  <c r="Q19" i="3"/>
  <c r="Q18" i="3"/>
  <c r="Q15" i="3"/>
  <c r="Q20" i="3"/>
  <c r="Q17" i="3"/>
  <c r="Q16" i="3"/>
  <c r="R7" i="3"/>
  <c r="S5" i="3"/>
  <c r="R6" i="3"/>
  <c r="Q11" i="3"/>
  <c r="R17" i="3" l="1"/>
  <c r="R16" i="3"/>
  <c r="R10" i="3"/>
  <c r="R18" i="3"/>
  <c r="R19" i="3"/>
  <c r="R15" i="3"/>
  <c r="R20" i="3"/>
  <c r="R11" i="3"/>
  <c r="S7" i="3"/>
  <c r="S16" i="3" s="1"/>
  <c r="S6" i="3"/>
  <c r="T5" i="3"/>
  <c r="S10" i="3" l="1"/>
  <c r="S19" i="3"/>
  <c r="S18" i="3"/>
  <c r="S15" i="3"/>
  <c r="S20" i="3"/>
  <c r="S11" i="3"/>
  <c r="T7" i="3"/>
  <c r="T16" i="3" s="1"/>
  <c r="U5" i="3"/>
  <c r="T6" i="3"/>
  <c r="T10" i="3" l="1"/>
  <c r="T19" i="3"/>
  <c r="T18" i="3"/>
  <c r="T15" i="3"/>
  <c r="T20" i="3"/>
  <c r="U7" i="3"/>
  <c r="U16" i="3" s="1"/>
  <c r="V5" i="3"/>
  <c r="U6" i="3"/>
  <c r="T11" i="3"/>
  <c r="U10" i="3" l="1"/>
  <c r="U19" i="3"/>
  <c r="U18" i="3"/>
  <c r="U15" i="3"/>
  <c r="U20" i="3"/>
  <c r="U11" i="3"/>
  <c r="V7" i="3"/>
  <c r="V16" i="3" s="1"/>
  <c r="V6" i="3"/>
  <c r="W5" i="3"/>
  <c r="V10" i="3" l="1"/>
  <c r="V19" i="3"/>
  <c r="V18" i="3"/>
  <c r="V15" i="3"/>
  <c r="V20" i="3"/>
  <c r="V11" i="3"/>
  <c r="W7" i="3"/>
  <c r="X5" i="3"/>
  <c r="W6" i="3"/>
  <c r="W10" i="3" l="1"/>
  <c r="W19" i="3"/>
  <c r="W18" i="3"/>
  <c r="W15" i="3"/>
  <c r="W20" i="3"/>
  <c r="W17" i="3"/>
  <c r="W16" i="3"/>
  <c r="X7" i="3"/>
  <c r="Y5" i="3"/>
  <c r="X6" i="3"/>
  <c r="W11" i="3"/>
  <c r="X17" i="3" l="1"/>
  <c r="X16" i="3"/>
  <c r="X10" i="3"/>
  <c r="X19" i="3"/>
  <c r="X18" i="3"/>
  <c r="X15" i="3"/>
  <c r="X20" i="3"/>
  <c r="X11" i="3"/>
  <c r="Y7" i="3"/>
  <c r="Z5" i="3"/>
  <c r="Y6" i="3"/>
  <c r="Y10" i="3" l="1"/>
  <c r="Y19" i="3"/>
  <c r="Y18" i="3"/>
  <c r="Y15" i="3"/>
  <c r="Y20" i="3"/>
  <c r="Y17" i="3"/>
  <c r="Y16" i="3"/>
  <c r="Z7" i="3"/>
  <c r="AA5" i="3"/>
  <c r="Z6" i="3"/>
  <c r="Y11" i="3"/>
  <c r="Z10" i="3" l="1"/>
  <c r="Z19" i="3"/>
  <c r="Z18" i="3"/>
  <c r="Z15" i="3"/>
  <c r="Z20" i="3"/>
  <c r="Z17" i="3"/>
  <c r="Z16" i="3"/>
  <c r="Z11" i="3"/>
  <c r="AA7" i="3"/>
  <c r="AB5" i="3"/>
  <c r="AA6" i="3"/>
  <c r="AA10" i="3" l="1"/>
  <c r="AA19" i="3"/>
  <c r="AA18" i="3"/>
  <c r="AA20" i="3"/>
  <c r="AA15" i="3"/>
  <c r="AA17" i="3"/>
  <c r="AA16" i="3"/>
  <c r="AB7" i="3"/>
  <c r="AB6" i="3"/>
  <c r="AC5" i="3"/>
  <c r="AA11" i="3"/>
  <c r="AB10" i="3" l="1"/>
  <c r="AB18" i="3"/>
  <c r="AB19" i="3"/>
  <c r="AB15" i="3"/>
  <c r="AB20" i="3"/>
  <c r="AB17" i="3"/>
  <c r="AB16" i="3"/>
  <c r="AC7" i="3"/>
  <c r="AD5" i="3"/>
  <c r="AC6" i="3"/>
  <c r="AB11" i="3"/>
  <c r="AC10" i="3" l="1"/>
  <c r="AC19" i="3"/>
  <c r="AC18" i="3"/>
  <c r="AC20" i="3"/>
  <c r="AC15" i="3"/>
  <c r="AC17" i="3"/>
  <c r="AC16" i="3"/>
  <c r="AC11" i="3"/>
  <c r="AD7" i="3"/>
  <c r="AD6" i="3"/>
  <c r="AE5" i="3"/>
  <c r="AD10" i="3" l="1"/>
  <c r="AD19" i="3"/>
  <c r="AD18" i="3"/>
  <c r="AD20" i="3"/>
  <c r="AD15" i="3"/>
  <c r="AD17" i="3"/>
  <c r="AD16" i="3"/>
  <c r="AD11" i="3"/>
  <c r="AE7" i="3"/>
  <c r="AE6" i="3"/>
  <c r="AF5" i="3"/>
  <c r="AE10" i="3" l="1"/>
  <c r="AE19" i="3"/>
  <c r="AE20" i="3"/>
  <c r="AE15" i="3"/>
  <c r="AE17" i="3"/>
  <c r="AE16" i="3"/>
  <c r="AE18" i="3"/>
  <c r="AE11" i="3"/>
  <c r="AF7" i="3"/>
  <c r="AF6" i="3"/>
  <c r="AG5" i="3"/>
  <c r="AF10" i="3" l="1"/>
  <c r="AF19" i="3"/>
  <c r="AF20" i="3"/>
  <c r="AF15" i="3"/>
  <c r="AF17" i="3"/>
  <c r="AF16" i="3"/>
  <c r="AF18" i="3"/>
  <c r="AF11" i="3"/>
  <c r="AG7" i="3"/>
  <c r="AG6" i="3"/>
  <c r="AG17" i="3" l="1"/>
  <c r="AG16" i="3"/>
  <c r="B16" i="3" s="1"/>
  <c r="AG10" i="3"/>
  <c r="B10" i="3" s="1"/>
  <c r="AG19" i="3"/>
  <c r="B19" i="3" s="1"/>
  <c r="AG15" i="3"/>
  <c r="AG20" i="3"/>
  <c r="B20" i="3" s="1"/>
  <c r="B15" i="3"/>
  <c r="AG18" i="3"/>
  <c r="B18" i="3" s="1"/>
  <c r="AG11" i="3"/>
  <c r="B11" i="3" s="1"/>
  <c r="B12" i="3" l="1"/>
  <c r="T4" i="14"/>
  <c r="U4" i="14"/>
  <c r="T17" i="3" s="1"/>
  <c r="S17" i="3" l="1"/>
  <c r="W4" i="14"/>
  <c r="V17" i="3" s="1"/>
  <c r="V4" i="14"/>
  <c r="U17" i="3" s="1"/>
  <c r="B17" i="3" s="1"/>
  <c r="B4" i="14" l="1"/>
  <c r="B10" i="14" s="1"/>
  <c r="B21" i="3"/>
  <c r="B24" i="3" l="1"/>
  <c r="B33" i="3"/>
  <c r="B28" i="3"/>
  <c r="B25" i="3"/>
  <c r="B31" i="3"/>
  <c r="B30" i="3"/>
  <c r="B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tc={11090D3A-577A-48B4-B21E-3194C95BD869}</author>
  </authors>
  <commentList>
    <comment ref="A18" authorId="0" shapeId="0" xr:uid="{11090D3A-577A-48B4-B21E-3194C95BD86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from tredis6</t>
        </r>
      </text>
    </comment>
  </commentList>
</comments>
</file>

<file path=xl/sharedStrings.xml><?xml version="1.0" encoding="utf-8"?>
<sst xmlns="http://schemas.openxmlformats.org/spreadsheetml/2006/main" count="779" uniqueCount="341">
  <si>
    <t>Year</t>
  </si>
  <si>
    <t>Year of Construction</t>
  </si>
  <si>
    <t>-</t>
  </si>
  <si>
    <t>Year of Operation</t>
  </si>
  <si>
    <t>Base Year Y for Discounting</t>
  </si>
  <si>
    <t>Discount Factor (7% Disc.)</t>
  </si>
  <si>
    <t>Discount Factor(3% Disc.)</t>
  </si>
  <si>
    <t>Discounted Costs</t>
  </si>
  <si>
    <t>Subtotal</t>
  </si>
  <si>
    <t>Capital Costs</t>
  </si>
  <si>
    <t>Annual Cost Savings (Build - No Build)</t>
  </si>
  <si>
    <t>Total</t>
  </si>
  <si>
    <t>Discounted Benefits</t>
  </si>
  <si>
    <t>Total Travel Delay Savings (truck and auto)</t>
  </si>
  <si>
    <t>Travel Delay Savings (Trucks Only)</t>
  </si>
  <si>
    <t>Emissions Benefits (CO2) - @ 3% discount rate</t>
  </si>
  <si>
    <t>Emissions Benefits (All Other)</t>
  </si>
  <si>
    <t>Shipper/Logistic Cost Savings</t>
  </si>
  <si>
    <t>Crash Reductions Benefits</t>
  </si>
  <si>
    <t>Summary</t>
  </si>
  <si>
    <t>Benefit Cost Ratio</t>
  </si>
  <si>
    <t>Net Present Value ($M)</t>
  </si>
  <si>
    <t>Share of Benefits</t>
  </si>
  <si>
    <t>`</t>
  </si>
  <si>
    <t>Travel Time Delay Savings</t>
  </si>
  <si>
    <t>Emissions Benefits</t>
  </si>
  <si>
    <t>Share of Benefits (Freight):</t>
  </si>
  <si>
    <t>Travel Time Delay Benefits</t>
  </si>
  <si>
    <t>Hours of Delay Saved</t>
  </si>
  <si>
    <t>Passengers</t>
  </si>
  <si>
    <t>Small commercial vehicles</t>
  </si>
  <si>
    <t>Large commercial vehicles</t>
  </si>
  <si>
    <t>All commercial vehicles</t>
  </si>
  <si>
    <t>Total (Vehicle Hours)</t>
  </si>
  <si>
    <t>Total (Person Hours)</t>
  </si>
  <si>
    <t>Benefits start this year</t>
  </si>
  <si>
    <t>Emissions Benefit (Undiscounted $2020)</t>
  </si>
  <si>
    <r>
      <t>CO</t>
    </r>
    <r>
      <rPr>
        <vertAlign val="subscript"/>
        <sz val="11"/>
        <color theme="1"/>
        <rFont val="Calibri"/>
        <family val="2"/>
        <scheme val="minor"/>
      </rPr>
      <t>2</t>
    </r>
    <r>
      <rPr>
        <sz val="11"/>
        <color theme="1"/>
        <rFont val="Calibri"/>
        <family val="2"/>
        <scheme val="minor"/>
      </rPr>
      <t xml:space="preserve"> Benefit</t>
    </r>
  </si>
  <si>
    <t>VOC Benefit</t>
  </si>
  <si>
    <t>Nox Benefit</t>
  </si>
  <si>
    <t>PM Benefit</t>
  </si>
  <si>
    <t>SOx Benefit</t>
  </si>
  <si>
    <t>Total (Non-CO2)</t>
  </si>
  <si>
    <t>Total (all emissions)</t>
  </si>
  <si>
    <t>Emissions Tons Savings Per Hour of Delay</t>
  </si>
  <si>
    <t>average annual 2027-2051</t>
  </si>
  <si>
    <r>
      <t>CO</t>
    </r>
    <r>
      <rPr>
        <vertAlign val="subscript"/>
        <sz val="11"/>
        <color theme="1"/>
        <rFont val="Calibri"/>
        <family val="2"/>
        <scheme val="minor"/>
      </rPr>
      <t>2</t>
    </r>
    <r>
      <rPr>
        <sz val="11"/>
        <color theme="1"/>
        <rFont val="Calibri"/>
        <family val="2"/>
        <scheme val="minor"/>
      </rPr>
      <t xml:space="preserve"> Savings</t>
    </r>
  </si>
  <si>
    <t xml:space="preserve">NOx Savings </t>
  </si>
  <si>
    <t>PM Savings</t>
  </si>
  <si>
    <t>SOx Savings</t>
  </si>
  <si>
    <r>
      <t>In 10</t>
    </r>
    <r>
      <rPr>
        <vertAlign val="superscript"/>
        <sz val="11"/>
        <color rgb="FF000000"/>
        <rFont val="Arial"/>
        <family val="2"/>
      </rPr>
      <t xml:space="preserve">-6 </t>
    </r>
    <r>
      <rPr>
        <sz val="11"/>
        <color rgb="FF000000"/>
        <rFont val="Arial"/>
        <family val="2"/>
      </rPr>
      <t>x US Tons per vehicle hour travelled.</t>
    </r>
  </si>
  <si>
    <t>CO2 Savings</t>
  </si>
  <si>
    <t xml:space="preserve">Car </t>
  </si>
  <si>
    <t>Light Truck</t>
  </si>
  <si>
    <t>Heay Truck</t>
  </si>
  <si>
    <t>Fixed Factors</t>
  </si>
  <si>
    <t>Source: US DOT BCA Guidance (2022)</t>
  </si>
  <si>
    <t>Source: TREDIS Data Sources and Default Values (2021); US EPA Motor Vehicle Emission Simulator (MOVES3) (2021)</t>
  </si>
  <si>
    <t>Emissions decrease adjustment factor over time to account for vehicle fleet transition</t>
  </si>
  <si>
    <t>Value of Reduced Fatalities and Injuries:</t>
  </si>
  <si>
    <t>Emissions (g) per VMT:</t>
  </si>
  <si>
    <t>Emissions Values by Year, 2020 Dollars per Metric Ton</t>
  </si>
  <si>
    <t>Emission Rate Change (2021-2025)</t>
  </si>
  <si>
    <t>KABCO Level</t>
  </si>
  <si>
    <t>Mode</t>
  </si>
  <si>
    <t>PM 2.5</t>
  </si>
  <si>
    <t>SO2</t>
  </si>
  <si>
    <t>VOCs</t>
  </si>
  <si>
    <t>NOx</t>
  </si>
  <si>
    <t>CO2</t>
  </si>
  <si>
    <t>PM2.5</t>
  </si>
  <si>
    <t>NOX</t>
  </si>
  <si>
    <t>VOC</t>
  </si>
  <si>
    <t>Pollutant</t>
  </si>
  <si>
    <t>Average Annual % Pollutant Decrease</t>
  </si>
  <si>
    <t>O - No Injury</t>
  </si>
  <si>
    <t>Passenger Car</t>
  </si>
  <si>
    <t>C - Possible Injury</t>
  </si>
  <si>
    <t>Light/Medium Truck</t>
  </si>
  <si>
    <t>B - Non-incapacitating</t>
  </si>
  <si>
    <t>Heavy Truck</t>
  </si>
  <si>
    <t>A - Incapacitating</t>
  </si>
  <si>
    <t>K - Killed</t>
  </si>
  <si>
    <t>Emissions (Metric Tons) per VMT:</t>
  </si>
  <si>
    <t>U - Injured (Severity Unknown)</t>
  </si>
  <si>
    <r>
      <rPr>
        <b/>
        <sz val="11"/>
        <color theme="1"/>
        <rFont val="Calibri"/>
        <family val="2"/>
        <scheme val="minor"/>
      </rPr>
      <t xml:space="preserve">Source:  </t>
    </r>
    <r>
      <rPr>
        <sz val="11"/>
        <color theme="1"/>
        <rFont val="Calibri"/>
        <family val="2"/>
        <scheme val="minor"/>
      </rPr>
      <t>Calculated using TREDIS Data Sources and Default Values (2021); US EPA Motor Vehicle Emission Simulator (MOVES3) (2021)</t>
    </r>
  </si>
  <si>
    <t># Accidents Reported (Unknown if Injured)</t>
  </si>
  <si>
    <t>Vehicle Operating Costs (Including Fuel Costs):</t>
  </si>
  <si>
    <t>Vehicle Type</t>
  </si>
  <si>
    <t>Value / Mile ($2020)</t>
  </si>
  <si>
    <t>Grams to Metric Tons Conversion Rate</t>
  </si>
  <si>
    <t>Light Duty Vehicles</t>
  </si>
  <si>
    <t xml:space="preserve">Turn on Fleet efficiency </t>
  </si>
  <si>
    <t>y</t>
  </si>
  <si>
    <t>n</t>
  </si>
  <si>
    <t>Combination Trucks</t>
  </si>
  <si>
    <t>CO2 Per Gallon of Fuel Burned:</t>
  </si>
  <si>
    <t>Medium Duty Trucks</t>
  </si>
  <si>
    <t>lbs per gallon of gasoline</t>
  </si>
  <si>
    <t>g per lb</t>
  </si>
  <si>
    <t>Average Vehicle Occupancy Rates for Highway Passenger Vehicles:</t>
  </si>
  <si>
    <t>g per gallon</t>
  </si>
  <si>
    <t>Average Occupancy</t>
  </si>
  <si>
    <t>Passenger Vehicles (Weekday Peak)</t>
  </si>
  <si>
    <t>lbs per gallon of diesel</t>
  </si>
  <si>
    <t>Passenger Vehicles (Weekday Off-Peak)</t>
  </si>
  <si>
    <t>Passenger Vehicles (Weekend)</t>
  </si>
  <si>
    <t>g per gallon of diesel</t>
  </si>
  <si>
    <t>Passenger Vehicles (All Travel)</t>
  </si>
  <si>
    <t>All Trucks</t>
  </si>
  <si>
    <t>Fuel Burn Per Mile</t>
  </si>
  <si>
    <t>Value of Travel Time Savings:</t>
  </si>
  <si>
    <t>Fuel Per Mile</t>
  </si>
  <si>
    <t>Recommended Hourly Values of Travel Time Savings (2020 US $ per Person-Hour)</t>
  </si>
  <si>
    <t>Gasoline</t>
  </si>
  <si>
    <t>Category</t>
  </si>
  <si>
    <t xml:space="preserve">Hourly Value </t>
  </si>
  <si>
    <t>Diesel</t>
  </si>
  <si>
    <t>In-Vehicle Travel</t>
  </si>
  <si>
    <t>Tractor Trailer</t>
  </si>
  <si>
    <t>Personal</t>
  </si>
  <si>
    <t>Light/Medium Duty Truck</t>
  </si>
  <si>
    <t>Business</t>
  </si>
  <si>
    <t>All Purposes</t>
  </si>
  <si>
    <t>Commercial Vehicle Operators</t>
  </si>
  <si>
    <t>Truck Drivers</t>
  </si>
  <si>
    <t>Bus Drivers</t>
  </si>
  <si>
    <t>Transit Rail Operators</t>
  </si>
  <si>
    <t>Locomotive Engineers</t>
  </si>
  <si>
    <t>Source:  Benefit Cost Analysis Guidance for Discretionary Grant Programs, Table A-6: Damage Costs for Emissions per Metric Ton*, March 2022 Revised &amp; TREDIS® Technical Documentation: Data Sources and Default Values Appendix B</t>
  </si>
  <si>
    <t xml:space="preserve"> Applicable Age Range3</t>
  </si>
  <si>
    <t xml:space="preserve"> Recommended Value per Induced Trip (2020 $)4</t>
  </si>
  <si>
    <t>Walking1</t>
  </si>
  <si>
    <t>Ages 20-74</t>
  </si>
  <si>
    <t>Cycling2</t>
  </si>
  <si>
    <t>Ages 20-64</t>
  </si>
  <si>
    <t xml:space="preserve">Facility Type </t>
  </si>
  <si>
    <t>Recommended Value per Cycling Mile (2020 $)1</t>
  </si>
  <si>
    <t>Cycling Path with At-Grade Crossings</t>
  </si>
  <si>
    <t>Cycling Path with no At-Grade Crossings2</t>
  </si>
  <si>
    <t>Dedicated Cycling Lane</t>
  </si>
  <si>
    <t>Cycling Boulevard/“Sharrow”</t>
  </si>
  <si>
    <t>Separated Cycle Track</t>
  </si>
  <si>
    <t xml:space="preserve">Improvement Type </t>
  </si>
  <si>
    <t>Recommended Value per Person-Mile Walked (2020 $)1</t>
  </si>
  <si>
    <t>Expand Sidewalk (per foot of added Width)2</t>
  </si>
  <si>
    <t>Improvement Type</t>
  </si>
  <si>
    <t>Recommended Value per Use (2020 $)1</t>
  </si>
  <si>
    <t>Install Marked-Crosswalk on Roadway with Volumes ≥10,000 Vehicles per Day</t>
  </si>
  <si>
    <t>Install Signal for Pedestrian Crossing on Roadway with Volumes ≥13,000 Vehicles per Day</t>
  </si>
  <si>
    <t>Base year of Nominal Dollar</t>
  </si>
  <si>
    <t>Multiplier to Adj to Real 2020$</t>
  </si>
  <si>
    <t xml:space="preserve">Bureau of Economic Analysis, National Income and Product Accounts, Table 1.1.9, “Implicit Price Deflators for Gross Domestic Product” (October 2021) </t>
  </si>
  <si>
    <t>2020 Values</t>
  </si>
  <si>
    <t>SOx</t>
  </si>
  <si>
    <t>PM</t>
  </si>
  <si>
    <t>Co2</t>
  </si>
  <si>
    <t>Grams to US Tons</t>
  </si>
  <si>
    <t>Bus &amp; BRT</t>
  </si>
  <si>
    <t>Passenger Rail and Transit Rail - Diesel</t>
  </si>
  <si>
    <t>Passenger Rail and Transit Rail - Electric</t>
  </si>
  <si>
    <t>Rail Freight</t>
  </si>
  <si>
    <t>Water</t>
  </si>
  <si>
    <t>Aircraft</t>
  </si>
  <si>
    <t xml:space="preserve">For passenger cars and light trucks, medium-duty trucks, heavy-duty trucks, and buses the TREDIS team performed an analysis of the years 2020-2025 using MOVES at the national level. Emissions rates were aggregated for each year, and the final rates took the average of the five evaluation years. MOVES default model year distributions were used for each evaluation year, and default rural/urban restricted/unrestricted activity distributions were used. Running, starting, and extended idle (including crankcase) emissions processes were all included and aggregated. (Annual start and and extended idle emissions were included in these aggregations, though in practice they would depend on the number of trips and congestion; in aggregate regional analysis generalized over time, this assumption is not inappropriate.)
Rail (Diesel) are based on factors used by the Surface Transportation Board’s Section on Environmental Analysis’ in a 2008 draft environmental impact statement concerning CN’s proposal to acquire control of EJ&amp;E West Company. 
Rail (Transit &amp; Electric) are represented with zero emissions due to the inappropriateness of making assumptions on emissions from the electrical generation process which vary based on fuel mix and geography in ways that TREDIS cannot represent. If local information is available, these factors should be updated.
Marine vehicles are based on ICF International. 2009. Current Methodologies in Preparing Mobile Source Port-Related Emission Inventories, prepared for the US EPA Office of Policy, Economics, and Innovation, Sector Strategies Program, April 2009.
Air modes have default emissions of zero since the 4 criteria air pollutants are most damaging at local levels rather than when emitted at altitude. 
Emissions factors are based on per hour emission rates produced using the same methodology as emissions rates that are mileage-based. Marine engine data is available as emissions per hour and scaled to mileage-based rates. </t>
  </si>
  <si>
    <t>Annual Crashes (2014-2018)</t>
  </si>
  <si>
    <t>Average</t>
  </si>
  <si>
    <t xml:space="preserve">PDO </t>
  </si>
  <si>
    <t>Injury Severity 2</t>
  </si>
  <si>
    <t>Injury Severity 3</t>
  </si>
  <si>
    <t>Injury Severity 4</t>
  </si>
  <si>
    <t>Fatal</t>
  </si>
  <si>
    <t>2016 VMT</t>
  </si>
  <si>
    <t>WP2</t>
  </si>
  <si>
    <t>WP3</t>
  </si>
  <si>
    <t>WP5</t>
  </si>
  <si>
    <t>2040 Projected VMT</t>
  </si>
  <si>
    <t>Average Project-wide Crashes/MVMT</t>
  </si>
  <si>
    <t>Projected Annual Crashes (No Build)</t>
  </si>
  <si>
    <t>Projected Annual Crash Reduction (Build)</t>
  </si>
  <si>
    <t>n/a</t>
  </si>
  <si>
    <t>Assumed Crash Reduction Factor</t>
  </si>
  <si>
    <t>Source</t>
  </si>
  <si>
    <t>http://www.cmfclearinghouse.org/results.cfm</t>
  </si>
  <si>
    <t>Monetized Safety Benefit</t>
  </si>
  <si>
    <t>Annual Cost Savings</t>
  </si>
  <si>
    <t>From Tulsa FAF Region (2020)</t>
  </si>
  <si>
    <t>Freight Vehicle Commodity Mix Breakout</t>
  </si>
  <si>
    <t>Assumptions</t>
  </si>
  <si>
    <t>Bump Factor to change commodity sensitivity</t>
  </si>
  <si>
    <t>SCTG2</t>
  </si>
  <si>
    <t>SCTG Description</t>
  </si>
  <si>
    <t>Truck-Commodity Mix</t>
  </si>
  <si>
    <t>Freight Tons Per Veh*</t>
  </si>
  <si>
    <t>Truck</t>
  </si>
  <si>
    <t>Live animals/fish</t>
  </si>
  <si>
    <t>Cost Per Freight Ton Hour**</t>
  </si>
  <si>
    <t>SCTG</t>
  </si>
  <si>
    <t>Cereal grains</t>
  </si>
  <si>
    <t>Other ag prods.</t>
  </si>
  <si>
    <t>Animal feed</t>
  </si>
  <si>
    <t>Meat/seafood</t>
  </si>
  <si>
    <t>Inventory Costs Per Ton-Hour**</t>
  </si>
  <si>
    <t>Cost</t>
  </si>
  <si>
    <t>Milled grain prods.</t>
  </si>
  <si>
    <t>High-value manufacturing</t>
  </si>
  <si>
    <t>Other foodstuffs</t>
  </si>
  <si>
    <t>Low-/modererate-value manufacturing</t>
  </si>
  <si>
    <t>Alcoholic beverages</t>
  </si>
  <si>
    <t>Low-value bulk commodities</t>
  </si>
  <si>
    <t>Tobacco prods.</t>
  </si>
  <si>
    <t>Perishable agriculture</t>
  </si>
  <si>
    <t>Building stone</t>
  </si>
  <si>
    <t>Average (2009 dollars)</t>
  </si>
  <si>
    <t>Natural sands</t>
  </si>
  <si>
    <t>Average (2020 dollars)</t>
  </si>
  <si>
    <t>Gravel</t>
  </si>
  <si>
    <t>Nonmetallic minerals</t>
  </si>
  <si>
    <t>Metallic ores</t>
  </si>
  <si>
    <t>*Source: Hernandez, S. (2017).</t>
  </si>
  <si>
    <t>Coal</t>
  </si>
  <si>
    <t>**Inventory costs per ton-hour (does not include direct trnasport costs). Source: NHCPR Report 732: Methodologies to Estimate the Economic Impacts of Distruptions to the Goods Movement System</t>
  </si>
  <si>
    <t>Crude petroleum</t>
  </si>
  <si>
    <t>Fuel oils</t>
  </si>
  <si>
    <t>Coal-n.e.c.</t>
  </si>
  <si>
    <t>Basic chemicals</t>
  </si>
  <si>
    <t>Pharmaceuticals</t>
  </si>
  <si>
    <t>Fertilizers</t>
  </si>
  <si>
    <t>Chemical prods.</t>
  </si>
  <si>
    <t>Plastics/rubber</t>
  </si>
  <si>
    <t>Logs</t>
  </si>
  <si>
    <t>Wood prods.</t>
  </si>
  <si>
    <t>Newsprint/paper</t>
  </si>
  <si>
    <t>Paper articles</t>
  </si>
  <si>
    <t>Printed prods.</t>
  </si>
  <si>
    <t>Textiles/leather</t>
  </si>
  <si>
    <t>Nonmetal min. prods.</t>
  </si>
  <si>
    <t>Baseline metals</t>
  </si>
  <si>
    <t>Articles-Baseline metal</t>
  </si>
  <si>
    <t>Machinery</t>
  </si>
  <si>
    <t>Electronics</t>
  </si>
  <si>
    <t>Motorized vehicles</t>
  </si>
  <si>
    <t>Transport equip.</t>
  </si>
  <si>
    <t>Precision instruments</t>
  </si>
  <si>
    <t>Furniture</t>
  </si>
  <si>
    <t>Misc. mfg. prods.</t>
  </si>
  <si>
    <t>Waste/scrap</t>
  </si>
  <si>
    <t>Mixed freight</t>
  </si>
  <si>
    <t>Unknown</t>
  </si>
  <si>
    <t>Undiscounted Costs ($2020M)</t>
  </si>
  <si>
    <t xml:space="preserve">Build Capital Cost </t>
  </si>
  <si>
    <t>In 2019$</t>
  </si>
  <si>
    <t>In 2020$</t>
  </si>
  <si>
    <t>Annual Maintenance and Rehab/Repair Costs (2019$)</t>
  </si>
  <si>
    <t>No Build (avoided cost)</t>
  </si>
  <si>
    <t>Maintenance and  Rehab Costs for I-44 and I-75</t>
  </si>
  <si>
    <t>Bridge Rehab</t>
  </si>
  <si>
    <t>Bridge Damage Repair</t>
  </si>
  <si>
    <t>Build</t>
  </si>
  <si>
    <t>Maintenance</t>
  </si>
  <si>
    <t>Annual Incremental Cost (Build - No Build in 2020$)</t>
  </si>
  <si>
    <t>Total cost</t>
  </si>
  <si>
    <t>Tables for Report</t>
  </si>
  <si>
    <t>2020$ totals</t>
  </si>
  <si>
    <t>Totals</t>
  </si>
  <si>
    <t>Cpaital Costs by WP</t>
  </si>
  <si>
    <t>2019$</t>
  </si>
  <si>
    <t>2020$</t>
  </si>
  <si>
    <t>WP 2</t>
  </si>
  <si>
    <t>WP 5</t>
  </si>
  <si>
    <t>No build prior expenditures</t>
  </si>
  <si>
    <t>total</t>
  </si>
  <si>
    <t>Project Travel Delay Simulation (VISSIM)</t>
  </si>
  <si>
    <t>AM Period</t>
  </si>
  <si>
    <t>DelayTot (Seconds)</t>
  </si>
  <si>
    <t>All</t>
  </si>
  <si>
    <t>Auto</t>
  </si>
  <si>
    <t>Single Axle Truck</t>
  </si>
  <si>
    <t>Multi-Axle Truck</t>
  </si>
  <si>
    <t>Existing AM (2016)</t>
  </si>
  <si>
    <t>2045 AM - No Action</t>
  </si>
  <si>
    <t>Ult Build AM 2045</t>
  </si>
  <si>
    <t>Ult Build 2045 AM - Added NB lane on US 75 beyond study area</t>
  </si>
  <si>
    <t>PM Period</t>
  </si>
  <si>
    <t>Existing PM (2016)</t>
  </si>
  <si>
    <t>2045 PM - No Action</t>
  </si>
  <si>
    <t>Ult Build PM 2045</t>
  </si>
  <si>
    <t>Ult Build 2045 PM - Added NB lane on US 75 beyond study area</t>
  </si>
  <si>
    <t>Daily Vehicle Hours</t>
  </si>
  <si>
    <t>Annual Vehicle Hours</t>
  </si>
  <si>
    <t>Annual passenger hours saved</t>
  </si>
  <si>
    <t>NOTES</t>
  </si>
  <si>
    <t>DelayTot - Total delay of all vehicles that are in the network or have already left it. The delay of a vehicle in a time step is the part of the time step that must also be used because the actual speed is less than the desired speed. For the calculation, the quotient is obtained by subtracting the actual distance traveled in this time step and desired speed from the duration of the time step. The following are taken into account: (1) Passenger service times, (2) Stop times at stop signs, (3) StopDelay.</t>
  </si>
  <si>
    <t>DelayAvg - Average delay per vehicle: Total delay / (Number of veh in the network + number of veh that have arrived)</t>
  </si>
  <si>
    <t>SpeedAvg - Average speed: Total distance DistTot / Total travel time TravTmTot</t>
  </si>
  <si>
    <t>DistTot - Total distance of all vehicles that are in the network or have already left it.</t>
  </si>
  <si>
    <t>Delay savings for years other than 2045 based on CAGR for project VMT.  Delay savings reduced for years prior to 2045 by compound growth factor of (1 - CAGR)</t>
  </si>
  <si>
    <t>Look Up Table</t>
  </si>
  <si>
    <t>Discount Rate</t>
  </si>
  <si>
    <t>USDOT 2022 BCA Guidance</t>
  </si>
  <si>
    <t>Discount Rate (Carbon Emissions)</t>
  </si>
  <si>
    <t>CAGR (for VMT)</t>
  </si>
  <si>
    <t>Annualization factor</t>
  </si>
  <si>
    <t>Average passenger vehicle occupancy</t>
  </si>
  <si>
    <t>Fuel penalty, congested mile (cars)</t>
  </si>
  <si>
    <t>USDOT 2021 BCA Guidance</t>
  </si>
  <si>
    <t>Fuel penalty, congested mile (trucks)</t>
  </si>
  <si>
    <t>Fuel per mile (auto)</t>
  </si>
  <si>
    <t>Fuel per mile (light/medium truck)</t>
  </si>
  <si>
    <t>Fuel per mile (heavy truck)</t>
  </si>
  <si>
    <t>Carbon emissions (ton/gal)</t>
  </si>
  <si>
    <t>NYSDOT Truck BCA Model</t>
  </si>
  <si>
    <t>Seconds to hours conversion</t>
  </si>
  <si>
    <t>Grams to tons conversion</t>
  </si>
  <si>
    <t>Unit</t>
  </si>
  <si>
    <t>Sox</t>
  </si>
  <si>
    <r>
      <t>CO</t>
    </r>
    <r>
      <rPr>
        <vertAlign val="subscript"/>
        <sz val="11"/>
        <color theme="1"/>
        <rFont val="Calibri"/>
        <family val="2"/>
        <scheme val="minor"/>
      </rPr>
      <t>2</t>
    </r>
  </si>
  <si>
    <t>Nox</t>
  </si>
  <si>
    <t xml:space="preserve">Emissions Costs Per Ton </t>
  </si>
  <si>
    <t>$/Metric Ton</t>
  </si>
  <si>
    <t>Value of Accidents KABCO Values ($2020)</t>
  </si>
  <si>
    <t>No injury (PDO equivalent)</t>
  </si>
  <si>
    <t>$/Crash</t>
  </si>
  <si>
    <t>Possible Injury (=OK Severity 2)</t>
  </si>
  <si>
    <t>Non-incapacitating Injury (=OK Severity 3)</t>
  </si>
  <si>
    <t>Incapacitating Injury (=OK Severity 4)</t>
  </si>
  <si>
    <t xml:space="preserve">Fatal </t>
  </si>
  <si>
    <t>Hourly Value of Time ($2020)</t>
  </si>
  <si>
    <t>Passengers (All Purposes)</t>
  </si>
  <si>
    <t/>
  </si>
  <si>
    <t>Fatat/severity</t>
  </si>
  <si>
    <t>Total change</t>
  </si>
  <si>
    <t>Estimates for report table</t>
  </si>
  <si>
    <t>Difference</t>
  </si>
  <si>
    <t>Total AM and PM Delay Savings (Work Phase 2, 3, and 5 Only)</t>
  </si>
  <si>
    <t>Monetized Value ($2020)</t>
  </si>
  <si>
    <t>Delay savings attributable to Work Phasess 2,3, and 5</t>
  </si>
  <si>
    <t>Cost (Undiscounted $2020)</t>
  </si>
  <si>
    <t>Discounted Summary Results ($2020M)</t>
  </si>
  <si>
    <t>Crash Reductions for Work Phases 2, 3, and 5</t>
  </si>
  <si>
    <t>Delay savings attributable to Work Phases 2,3, and 5 equal 75% of total project-wide VISSIM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</si>
</sst>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000_);\(#,##0.0000\);&quot;-  &quot;;&quot; &quot;@"/>
    <numFmt numFmtId="165" formatCode="#,##0.00_);\(#,##0.00\);&quot;-  &quot;;&quot; &quot;@"/>
    <numFmt numFmtId="166" formatCode="0_);\(0\)"/>
    <numFmt numFmtId="167" formatCode="0.000"/>
    <numFmt numFmtId="168" formatCode="0.0"/>
    <numFmt numFmtId="169" formatCode="_(* #,##0_);_(* \(#,##0\);_(* &quot;-&quot;??_);_(@_)"/>
    <numFmt numFmtId="170" formatCode="_(* #,##0.00000000_);_(* \(#,##0.00000000\);_(* &quot;-&quot;??_);_(@_)"/>
    <numFmt numFmtId="171" formatCode="0.0%"/>
    <numFmt numFmtId="172" formatCode="#,##0.0"/>
    <numFmt numFmtId="173" formatCode="&quot;$&quot;#,##0.0"/>
    <numFmt numFmtId="174" formatCode="&quot;$&quot;#,##0"/>
    <numFmt numFmtId="175" formatCode="&quot;$&quot;#,##0.00"/>
    <numFmt numFmtId="176" formatCode="#,##0.0000_);\(#,##0.0000\)"/>
    <numFmt numFmtId="177" formatCode="0.0000"/>
    <numFmt numFmtId="178" formatCode="#,##0.000_);\(#,##0.000\)"/>
    <numFmt numFmtId="179" formatCode="_(* #,##0.0_);_(* \(#,##0.0\);_(* &quot;-&quot;??_);_(@_)"/>
    <numFmt numFmtId="180" formatCode="_([$$-409]* #,##0.00_);_([$$-409]* \(#,##0.00\);_([$$-409]* &quot;-&quot;??_);_(@_)"/>
    <numFmt numFmtId="181" formatCode="_(* #,##0.0000000_);_(* \(#,##0.0000000\);_(*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0"/>
      <color theme="1"/>
      <name val="Calibri"/>
      <family val="2"/>
      <scheme val="minor"/>
    </font>
    <font>
      <b/>
      <u/>
      <sz val="11"/>
      <color theme="1"/>
      <name val="Calibri"/>
      <family val="2"/>
      <scheme val="minor"/>
    </font>
    <font>
      <u/>
      <sz val="11"/>
      <color theme="10"/>
      <name val="Calibri"/>
      <family val="2"/>
      <scheme val="minor"/>
    </font>
    <font>
      <sz val="10"/>
      <name val="Arial"/>
      <family val="2"/>
    </font>
    <font>
      <u/>
      <sz val="11"/>
      <color theme="1"/>
      <name val="Calibri"/>
      <family val="2"/>
      <scheme val="minor"/>
    </font>
    <font>
      <vertAlign val="subscript"/>
      <sz val="11"/>
      <color theme="1"/>
      <name val="Calibri"/>
      <family val="2"/>
      <scheme val="minor"/>
    </font>
    <font>
      <u/>
      <sz val="10"/>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9"/>
      <color theme="1"/>
      <name val="Calibri"/>
      <family val="2"/>
      <scheme val="minor"/>
    </font>
    <font>
      <i/>
      <sz val="11"/>
      <color theme="1"/>
      <name val="Calibri"/>
      <family val="2"/>
      <scheme val="minor"/>
    </font>
    <font>
      <i/>
      <sz val="10"/>
      <color theme="1"/>
      <name val="Calibri"/>
      <family val="2"/>
      <scheme val="minor"/>
    </font>
    <font>
      <b/>
      <sz val="9"/>
      <color theme="1"/>
      <name val="Calibri"/>
      <family val="2"/>
      <scheme val="minor"/>
    </font>
    <font>
      <b/>
      <sz val="11"/>
      <color rgb="FFFF0000"/>
      <name val="Calibri"/>
      <family val="2"/>
      <scheme val="minor"/>
    </font>
    <font>
      <b/>
      <sz val="11"/>
      <color rgb="FF000000"/>
      <name val="Calibri"/>
      <family val="2"/>
    </font>
    <font>
      <b/>
      <sz val="11"/>
      <color theme="0"/>
      <name val="Calibri"/>
      <family val="2"/>
      <scheme val="minor"/>
    </font>
    <font>
      <sz val="11"/>
      <name val="Calibri"/>
      <family val="2"/>
      <scheme val="minor"/>
    </font>
    <font>
      <sz val="11"/>
      <color theme="0" tint="-0.249977111117893"/>
      <name val="Calibri"/>
      <family val="2"/>
      <scheme val="minor"/>
    </font>
    <font>
      <sz val="8.5"/>
      <name val="Microsoft Sans Serif"/>
      <family val="2"/>
    </font>
    <font>
      <sz val="11"/>
      <color theme="4"/>
      <name val="Calibri"/>
      <family val="2"/>
      <scheme val="minor"/>
    </font>
    <font>
      <b/>
      <sz val="11"/>
      <color theme="4"/>
      <name val="Calibri"/>
      <family val="2"/>
      <scheme val="minor"/>
    </font>
    <font>
      <sz val="11"/>
      <color rgb="FF000000"/>
      <name val="Arial"/>
      <family val="2"/>
    </font>
    <font>
      <b/>
      <sz val="10"/>
      <color rgb="FF000000"/>
      <name val="Arial"/>
      <family val="2"/>
    </font>
    <font>
      <sz val="10"/>
      <color rgb="FF000000"/>
      <name val="Arial"/>
      <family val="2"/>
    </font>
    <font>
      <vertAlign val="superscript"/>
      <sz val="11"/>
      <color rgb="FF000000"/>
      <name val="Arial"/>
      <family val="2"/>
    </font>
    <font>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D9D9D9"/>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14999847407452621"/>
      </right>
      <top/>
      <bottom/>
      <diagonal/>
    </border>
    <border>
      <left/>
      <right style="thin">
        <color theme="1"/>
      </right>
      <top/>
      <bottom/>
      <diagonal/>
    </border>
    <border>
      <left/>
      <right style="thin">
        <color theme="0" tint="-0.249977111117893"/>
      </right>
      <top style="medium">
        <color indexed="64"/>
      </top>
      <bottom/>
      <diagonal/>
    </border>
    <border>
      <left/>
      <right style="medium">
        <color indexed="64"/>
      </right>
      <top/>
      <bottom/>
      <diagonal/>
    </border>
    <border>
      <left/>
      <right style="thin">
        <color theme="0" tint="-0.14999847407452621"/>
      </right>
      <top style="medium">
        <color indexed="64"/>
      </top>
      <bottom style="thin">
        <color theme="0" tint="-0.14999847407452621"/>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right style="thin">
        <color theme="0" tint="-0.14999847407452621"/>
      </right>
      <top style="thin">
        <color theme="0" tint="-0.14999847407452621"/>
      </top>
      <bottom style="thin">
        <color theme="0" tint="-0.14999847407452621"/>
      </bottom>
      <diagonal/>
    </border>
    <border>
      <left style="medium">
        <color indexed="64"/>
      </left>
      <right/>
      <top/>
      <bottom style="medium">
        <color indexed="64"/>
      </bottom>
      <diagonal/>
    </border>
    <border>
      <left/>
      <right style="thin">
        <color theme="0" tint="-0.249977111117893"/>
      </right>
      <top/>
      <bottom style="medium">
        <color indexed="64"/>
      </bottom>
      <diagonal/>
    </border>
    <border>
      <left/>
      <right style="medium">
        <color indexed="64"/>
      </right>
      <top/>
      <bottom style="medium">
        <color indexed="64"/>
      </bottom>
      <diagonal/>
    </border>
    <border>
      <left/>
      <right style="thin">
        <color theme="0" tint="-0.14999847407452621"/>
      </right>
      <top style="thin">
        <color theme="0" tint="-0.149998474074526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style="medium">
        <color indexed="64"/>
      </top>
      <bottom style="thin">
        <color theme="4" tint="0.39997558519241921"/>
      </bottom>
      <diagonal/>
    </border>
    <border>
      <left/>
      <right style="medium">
        <color indexed="64"/>
      </right>
      <top style="medium">
        <color indexed="64"/>
      </top>
      <bottom style="thin">
        <color theme="4" tint="0.39997558519241921"/>
      </bottom>
      <diagonal/>
    </border>
    <border>
      <left style="medium">
        <color indexed="64"/>
      </left>
      <right style="thin">
        <color theme="1"/>
      </right>
      <top style="thin">
        <color theme="4" tint="0.39997558519241921"/>
      </top>
      <bottom style="thin">
        <color theme="4" tint="0.39997558519241921"/>
      </bottom>
      <diagonal/>
    </border>
    <border>
      <left/>
      <right style="medium">
        <color indexed="64"/>
      </right>
      <top style="thin">
        <color theme="4" tint="0.39997558519241921"/>
      </top>
      <bottom style="thin">
        <color theme="4" tint="0.39997558519241921"/>
      </bottom>
      <diagonal/>
    </border>
    <border>
      <left style="medium">
        <color indexed="64"/>
      </left>
      <right style="thin">
        <color theme="1"/>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6" fillId="0" borderId="0" applyNumberFormat="0" applyFill="0" applyBorder="0" applyAlignment="0" applyProtection="0"/>
    <xf numFmtId="164"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alignment vertical="top" wrapText="1"/>
      <protection locked="0"/>
    </xf>
  </cellStyleXfs>
  <cellXfs count="352">
    <xf numFmtId="0" fontId="0" fillId="0" borderId="0" xfId="0"/>
    <xf numFmtId="0" fontId="0" fillId="0" borderId="0" xfId="0" applyAlignment="1">
      <alignment horizontal="right"/>
    </xf>
    <xf numFmtId="0" fontId="3" fillId="0" borderId="0" xfId="0" applyFont="1" applyAlignment="1">
      <alignment horizontal="right"/>
    </xf>
    <xf numFmtId="0" fontId="6" fillId="0" borderId="0" xfId="2"/>
    <xf numFmtId="0" fontId="5" fillId="0" borderId="0" xfId="0" applyFont="1"/>
    <xf numFmtId="167" fontId="0" fillId="0" borderId="0" xfId="0" applyNumberFormat="1"/>
    <xf numFmtId="0" fontId="11" fillId="0" borderId="0" xfId="0" applyFont="1"/>
    <xf numFmtId="44" fontId="0" fillId="0" borderId="0" xfId="4" applyFont="1"/>
    <xf numFmtId="44" fontId="0" fillId="0" borderId="0" xfId="0" applyNumberFormat="1"/>
    <xf numFmtId="0" fontId="0" fillId="0" borderId="0" xfId="0" applyFill="1"/>
    <xf numFmtId="2" fontId="0" fillId="0" borderId="0" xfId="0" applyNumberFormat="1" applyFill="1"/>
    <xf numFmtId="2" fontId="3" fillId="0" borderId="0" xfId="0" applyNumberFormat="1" applyFont="1" applyFill="1" applyAlignment="1">
      <alignment horizontal="right"/>
    </xf>
    <xf numFmtId="0" fontId="3" fillId="0" borderId="0" xfId="0" applyFont="1" applyFill="1" applyAlignment="1">
      <alignment horizontal="right"/>
    </xf>
    <xf numFmtId="0" fontId="2" fillId="0" borderId="0" xfId="0" applyFont="1" applyAlignment="1">
      <alignment horizontal="left"/>
    </xf>
    <xf numFmtId="169" fontId="0" fillId="0" borderId="0" xfId="1" applyNumberFormat="1" applyFont="1"/>
    <xf numFmtId="0" fontId="2" fillId="0" borderId="0" xfId="0" applyFont="1" applyAlignment="1">
      <alignment horizontal="right"/>
    </xf>
    <xf numFmtId="169" fontId="2" fillId="0" borderId="0" xfId="0" applyNumberFormat="1" applyFont="1"/>
    <xf numFmtId="169" fontId="0" fillId="0" borderId="0" xfId="0" applyNumberFormat="1"/>
    <xf numFmtId="169" fontId="2" fillId="0" borderId="0" xfId="1" applyNumberFormat="1" applyFont="1"/>
    <xf numFmtId="0" fontId="2" fillId="0" borderId="0" xfId="0" applyFont="1" applyAlignment="1">
      <alignment wrapText="1"/>
    </xf>
    <xf numFmtId="170" fontId="0" fillId="0" borderId="0" xfId="0" applyNumberFormat="1"/>
    <xf numFmtId="0" fontId="13" fillId="0" borderId="2" xfId="0" applyFont="1" applyBorder="1" applyAlignment="1">
      <alignment horizontal="right" vertical="center"/>
    </xf>
    <xf numFmtId="0" fontId="13" fillId="0" borderId="0" xfId="0" applyFont="1" applyBorder="1" applyAlignment="1">
      <alignment horizontal="right" vertical="center"/>
    </xf>
    <xf numFmtId="43" fontId="13" fillId="0" borderId="0" xfId="0" applyNumberFormat="1" applyFont="1" applyFill="1" applyBorder="1" applyAlignment="1">
      <alignment vertical="center"/>
    </xf>
    <xf numFmtId="0" fontId="0" fillId="0" borderId="0" xfId="0" applyFill="1" applyBorder="1" applyAlignment="1">
      <alignment horizontal="right"/>
    </xf>
    <xf numFmtId="0" fontId="13" fillId="0" borderId="0" xfId="0" applyFont="1" applyFill="1" applyBorder="1" applyAlignment="1">
      <alignment horizontal="right" vertical="center"/>
    </xf>
    <xf numFmtId="0" fontId="4" fillId="0" borderId="0" xfId="0" applyFont="1" applyFill="1" applyAlignment="1">
      <alignment horizontal="right"/>
    </xf>
    <xf numFmtId="44" fontId="0" fillId="0" borderId="0" xfId="4" applyFont="1" applyFill="1"/>
    <xf numFmtId="44" fontId="0" fillId="0" borderId="0" xfId="0" applyNumberFormat="1" applyFill="1"/>
    <xf numFmtId="0" fontId="10" fillId="0" borderId="0" xfId="0" applyFont="1" applyFill="1" applyAlignment="1">
      <alignment horizontal="right"/>
    </xf>
    <xf numFmtId="0" fontId="0" fillId="0" borderId="0" xfId="0" applyFill="1" applyAlignment="1">
      <alignment horizontal="right"/>
    </xf>
    <xf numFmtId="0" fontId="8" fillId="0" borderId="0" xfId="0" applyFont="1" applyFill="1" applyAlignment="1">
      <alignment horizontal="right"/>
    </xf>
    <xf numFmtId="167" fontId="0" fillId="0" borderId="0" xfId="0" applyNumberFormat="1" applyFill="1"/>
    <xf numFmtId="0" fontId="0" fillId="0" borderId="0" xfId="0" applyFont="1" applyFill="1" applyAlignment="1">
      <alignment horizontal="right"/>
    </xf>
    <xf numFmtId="0" fontId="5" fillId="0" borderId="0" xfId="0" applyFont="1" applyFill="1" applyAlignment="1">
      <alignment horizontal="right"/>
    </xf>
    <xf numFmtId="44" fontId="0" fillId="0" borderId="0" xfId="4" applyFont="1" applyFill="1" applyBorder="1"/>
    <xf numFmtId="0" fontId="12" fillId="0" borderId="0" xfId="0" applyFont="1" applyFill="1" applyBorder="1" applyAlignment="1">
      <alignment horizontal="right" vertical="center"/>
    </xf>
    <xf numFmtId="169" fontId="0" fillId="0" borderId="0" xfId="1" applyNumberFormat="1" applyFont="1" applyFill="1"/>
    <xf numFmtId="0" fontId="0" fillId="0" borderId="0" xfId="0" applyBorder="1"/>
    <xf numFmtId="0" fontId="0" fillId="0" borderId="0" xfId="0" applyBorder="1" applyAlignment="1">
      <alignment horizontal="right"/>
    </xf>
    <xf numFmtId="169" fontId="0" fillId="0" borderId="0" xfId="1" applyNumberFormat="1" applyFont="1" applyBorder="1"/>
    <xf numFmtId="0" fontId="16" fillId="0" borderId="0" xfId="0" applyFont="1" applyAlignment="1">
      <alignment horizontal="left" vertical="top"/>
    </xf>
    <xf numFmtId="0" fontId="3" fillId="0" borderId="0" xfId="0" applyFont="1" applyAlignment="1">
      <alignment horizontal="left" vertical="top"/>
    </xf>
    <xf numFmtId="0" fontId="5" fillId="0" borderId="0" xfId="0" applyFont="1" applyAlignment="1">
      <alignment horizontal="left" vertical="top"/>
    </xf>
    <xf numFmtId="0" fontId="17" fillId="0" borderId="0" xfId="0" applyFont="1" applyAlignment="1">
      <alignment horizontal="left" vertical="top"/>
    </xf>
    <xf numFmtId="168" fontId="3" fillId="0" borderId="0" xfId="0" applyNumberFormat="1" applyFont="1" applyAlignment="1">
      <alignment horizontal="right"/>
    </xf>
    <xf numFmtId="168" fontId="3" fillId="0" borderId="0" xfId="0" applyNumberFormat="1" applyFont="1" applyFill="1" applyAlignment="1">
      <alignment horizontal="right"/>
    </xf>
    <xf numFmtId="168" fontId="0" fillId="0" borderId="0" xfId="0" applyNumberFormat="1"/>
    <xf numFmtId="0" fontId="11" fillId="0" borderId="0" xfId="0" applyFont="1" applyBorder="1"/>
    <xf numFmtId="0" fontId="0" fillId="0" borderId="0" xfId="0" applyFont="1" applyBorder="1"/>
    <xf numFmtId="165" fontId="0" fillId="0" borderId="0" xfId="3" applyNumberFormat="1" applyFont="1" applyBorder="1"/>
    <xf numFmtId="44" fontId="0" fillId="0" borderId="0" xfId="0" applyNumberFormat="1" applyBorder="1"/>
    <xf numFmtId="0" fontId="2" fillId="0" borderId="0" xfId="0" applyFont="1" applyBorder="1"/>
    <xf numFmtId="0" fontId="0" fillId="0" borderId="0" xfId="0" quotePrefix="1" applyBorder="1"/>
    <xf numFmtId="0" fontId="0" fillId="0" borderId="0" xfId="0" applyFill="1" applyBorder="1"/>
    <xf numFmtId="0" fontId="0" fillId="0" borderId="0" xfId="0" applyBorder="1" applyAlignment="1">
      <alignment horizontal="left" vertical="top"/>
    </xf>
    <xf numFmtId="2" fontId="0" fillId="0" borderId="0" xfId="0" applyNumberFormat="1" applyFill="1" applyBorder="1"/>
    <xf numFmtId="43" fontId="0" fillId="0" borderId="0" xfId="0" applyNumberFormat="1" applyFill="1" applyBorder="1"/>
    <xf numFmtId="0" fontId="5" fillId="0" borderId="0" xfId="0" applyFont="1" applyFill="1" applyBorder="1"/>
    <xf numFmtId="0" fontId="11" fillId="0" borderId="0" xfId="0" applyFont="1" applyFill="1" applyBorder="1" applyAlignment="1">
      <alignment vertical="top"/>
    </xf>
    <xf numFmtId="0" fontId="0" fillId="0" borderId="0" xfId="0" applyFill="1" applyBorder="1" applyAlignment="1">
      <alignment vertical="top"/>
    </xf>
    <xf numFmtId="0" fontId="14" fillId="0" borderId="0" xfId="0" applyFont="1" applyFill="1" applyBorder="1" applyAlignment="1">
      <alignment vertical="top"/>
    </xf>
    <xf numFmtId="0" fontId="0" fillId="0" borderId="0" xfId="0" applyFill="1" applyBorder="1" applyAlignment="1">
      <alignment horizontal="center" vertical="top" wrapText="1"/>
    </xf>
    <xf numFmtId="0" fontId="5" fillId="0" borderId="0" xfId="0" applyFont="1" applyFill="1" applyBorder="1" applyAlignment="1">
      <alignment vertical="top"/>
    </xf>
    <xf numFmtId="0" fontId="15" fillId="0" borderId="0" xfId="0" applyFont="1" applyFill="1" applyBorder="1" applyAlignment="1">
      <alignment vertical="top"/>
    </xf>
    <xf numFmtId="0" fontId="0" fillId="0" borderId="0" xfId="0" applyFill="1" applyBorder="1" applyAlignment="1">
      <alignment horizontal="left" vertical="top"/>
    </xf>
    <xf numFmtId="172" fontId="0" fillId="0" borderId="0" xfId="0" applyNumberFormat="1" applyFill="1" applyBorder="1" applyAlignment="1">
      <alignment horizontal="center" vertical="center"/>
    </xf>
    <xf numFmtId="3" fontId="0" fillId="0" borderId="0" xfId="0" applyNumberFormat="1" applyFill="1" applyBorder="1" applyAlignment="1">
      <alignment vertical="top"/>
    </xf>
    <xf numFmtId="0" fontId="18" fillId="0" borderId="0" xfId="0" applyFont="1" applyFill="1" applyBorder="1" applyAlignment="1">
      <alignment vertical="top"/>
    </xf>
    <xf numFmtId="0" fontId="2" fillId="0" borderId="0" xfId="0" applyFont="1" applyFill="1" applyBorder="1" applyAlignment="1">
      <alignment vertical="top"/>
    </xf>
    <xf numFmtId="3" fontId="2" fillId="0" borderId="0" xfId="0" applyNumberFormat="1" applyFont="1" applyFill="1" applyBorder="1" applyAlignment="1">
      <alignment vertical="top"/>
    </xf>
    <xf numFmtId="1" fontId="0" fillId="0" borderId="0" xfId="0" applyNumberFormat="1" applyFill="1" applyBorder="1"/>
    <xf numFmtId="9" fontId="0" fillId="0" borderId="0" xfId="0" applyNumberFormat="1" applyFill="1" applyBorder="1"/>
    <xf numFmtId="1" fontId="0" fillId="0" borderId="0" xfId="0" applyNumberFormat="1"/>
    <xf numFmtId="39" fontId="0" fillId="0" borderId="0" xfId="0" applyNumberFormat="1"/>
    <xf numFmtId="0" fontId="13" fillId="0" borderId="0" xfId="0" applyFont="1" applyFill="1" applyBorder="1" applyAlignment="1">
      <alignment vertical="center"/>
    </xf>
    <xf numFmtId="9" fontId="13" fillId="0" borderId="0" xfId="5" applyFont="1" applyFill="1" applyBorder="1" applyAlignment="1">
      <alignment horizontal="right" vertical="center"/>
    </xf>
    <xf numFmtId="166" fontId="12" fillId="0" borderId="0" xfId="0" applyNumberFormat="1" applyFont="1" applyFill="1" applyBorder="1" applyAlignment="1">
      <alignment horizontal="right" vertical="center"/>
    </xf>
    <xf numFmtId="166" fontId="13" fillId="0" borderId="0" xfId="0" applyNumberFormat="1" applyFont="1" applyFill="1" applyBorder="1" applyAlignment="1">
      <alignment horizontal="right" vertical="center"/>
    </xf>
    <xf numFmtId="0" fontId="6" fillId="0" borderId="0" xfId="2" applyFill="1" applyBorder="1" applyAlignment="1">
      <alignment horizontal="left" vertical="top"/>
    </xf>
    <xf numFmtId="0" fontId="2" fillId="0" borderId="0" xfId="0" applyFont="1" applyFill="1" applyBorder="1" applyAlignment="1">
      <alignment horizontal="right"/>
    </xf>
    <xf numFmtId="0" fontId="2" fillId="0" borderId="0" xfId="0" applyFont="1" applyFill="1" applyBorder="1" applyAlignment="1">
      <alignment horizontal="left" vertical="top" wrapText="1"/>
    </xf>
    <xf numFmtId="168" fontId="0" fillId="0" borderId="0" xfId="0" applyNumberFormat="1" applyFill="1" applyBorder="1"/>
    <xf numFmtId="0" fontId="0" fillId="0" borderId="0" xfId="0" applyFill="1" applyBorder="1" applyAlignment="1">
      <alignment horizontal="left"/>
    </xf>
    <xf numFmtId="0" fontId="0" fillId="0" borderId="0" xfId="0" applyFont="1" applyFill="1" applyBorder="1"/>
    <xf numFmtId="2" fontId="0" fillId="0" borderId="0" xfId="0" applyNumberFormat="1" applyFont="1" applyFill="1" applyBorder="1" applyAlignment="1">
      <alignment horizontal="right"/>
    </xf>
    <xf numFmtId="44" fontId="1" fillId="0" borderId="0" xfId="4" applyNumberFormat="1" applyFont="1" applyFill="1" applyBorder="1" applyAlignment="1">
      <alignment horizontal="right"/>
    </xf>
    <xf numFmtId="173" fontId="0" fillId="0" borderId="0" xfId="4" applyNumberFormat="1" applyFont="1" applyFill="1" applyBorder="1" applyAlignment="1">
      <alignment horizontal="right"/>
    </xf>
    <xf numFmtId="173" fontId="1" fillId="0" borderId="0" xfId="4" applyNumberFormat="1" applyFont="1" applyFill="1" applyBorder="1" applyAlignment="1">
      <alignment horizontal="right"/>
    </xf>
    <xf numFmtId="173" fontId="2" fillId="0" borderId="0" xfId="4" applyNumberFormat="1" applyFont="1" applyFill="1" applyBorder="1" applyAlignment="1">
      <alignment horizontal="right"/>
    </xf>
    <xf numFmtId="173" fontId="0" fillId="0" borderId="0" xfId="0" applyNumberFormat="1" applyFill="1" applyBorder="1" applyAlignment="1">
      <alignment horizontal="right"/>
    </xf>
    <xf numFmtId="173" fontId="0" fillId="0" borderId="0" xfId="0" applyNumberFormat="1" applyFont="1" applyFill="1" applyBorder="1" applyAlignment="1">
      <alignment horizontal="right"/>
    </xf>
    <xf numFmtId="171" fontId="0" fillId="0" borderId="0" xfId="0" applyNumberFormat="1" applyFill="1" applyBorder="1"/>
    <xf numFmtId="173" fontId="0" fillId="0" borderId="0" xfId="4" applyNumberFormat="1" applyFont="1" applyFill="1" applyBorder="1"/>
    <xf numFmtId="173" fontId="0" fillId="0" borderId="0" xfId="0" applyNumberFormat="1" applyFill="1" applyBorder="1"/>
    <xf numFmtId="0" fontId="19" fillId="2" borderId="0" xfId="0" applyFont="1" applyFill="1"/>
    <xf numFmtId="0" fontId="0" fillId="2" borderId="0" xfId="0" applyFill="1"/>
    <xf numFmtId="0" fontId="0" fillId="2" borderId="0" xfId="0" applyFill="1" applyAlignment="1">
      <alignment horizontal="left"/>
    </xf>
    <xf numFmtId="174" fontId="0" fillId="2" borderId="0" xfId="0" applyNumberFormat="1" applyFill="1"/>
    <xf numFmtId="0" fontId="0" fillId="2" borderId="1" xfId="0" applyFill="1" applyBorder="1"/>
    <xf numFmtId="0" fontId="0" fillId="2" borderId="1" xfId="0" applyFill="1" applyBorder="1" applyAlignment="1">
      <alignment wrapText="1"/>
    </xf>
    <xf numFmtId="0" fontId="2" fillId="2" borderId="1" xfId="0" applyFont="1" applyFill="1" applyBorder="1"/>
    <xf numFmtId="174" fontId="0" fillId="2" borderId="1" xfId="0" applyNumberFormat="1" applyFill="1" applyBorder="1"/>
    <xf numFmtId="174" fontId="0" fillId="2" borderId="0" xfId="1" applyNumberFormat="1" applyFont="1" applyFill="1"/>
    <xf numFmtId="175" fontId="0" fillId="2" borderId="1" xfId="0" applyNumberFormat="1" applyFill="1" applyBorder="1"/>
    <xf numFmtId="2" fontId="0" fillId="2" borderId="0" xfId="0" applyNumberFormat="1" applyFill="1"/>
    <xf numFmtId="2" fontId="0" fillId="0" borderId="1" xfId="5" applyNumberFormat="1" applyFont="1" applyFill="1" applyBorder="1"/>
    <xf numFmtId="0" fontId="0" fillId="2" borderId="1" xfId="0" applyFill="1" applyBorder="1" applyAlignment="1">
      <alignment vertical="center" wrapText="1"/>
    </xf>
    <xf numFmtId="0" fontId="13" fillId="0" borderId="2" xfId="0" applyFont="1" applyBorder="1" applyAlignment="1">
      <alignment horizontal="left" vertical="top"/>
    </xf>
    <xf numFmtId="0" fontId="12" fillId="0" borderId="0" xfId="0" applyFont="1" applyFill="1" applyBorder="1" applyAlignment="1">
      <alignment horizontal="left" vertical="top"/>
    </xf>
    <xf numFmtId="1" fontId="2" fillId="2" borderId="1" xfId="0" applyNumberFormat="1" applyFont="1" applyFill="1" applyBorder="1"/>
    <xf numFmtId="0" fontId="13" fillId="0" borderId="0" xfId="0" applyFont="1" applyBorder="1" applyAlignment="1">
      <alignment horizontal="left" vertical="top"/>
    </xf>
    <xf numFmtId="2" fontId="0" fillId="0" borderId="0" xfId="4" applyNumberFormat="1" applyFont="1" applyFill="1" applyBorder="1"/>
    <xf numFmtId="5" fontId="0" fillId="0" borderId="0" xfId="0" applyNumberFormat="1" applyBorder="1"/>
    <xf numFmtId="0" fontId="0" fillId="0" borderId="0" xfId="0" applyFont="1"/>
    <xf numFmtId="0" fontId="6" fillId="0" borderId="0" xfId="2" applyFont="1"/>
    <xf numFmtId="0" fontId="13" fillId="0" borderId="0" xfId="0" applyFont="1" applyBorder="1" applyAlignment="1">
      <alignment vertical="center"/>
    </xf>
    <xf numFmtId="177" fontId="2" fillId="0" borderId="0" xfId="1" applyNumberFormat="1" applyFont="1" applyFill="1"/>
    <xf numFmtId="177" fontId="0" fillId="0" borderId="0" xfId="1" applyNumberFormat="1" applyFont="1" applyFill="1"/>
    <xf numFmtId="176" fontId="1" fillId="0" borderId="0" xfId="1" applyNumberFormat="1" applyFont="1" applyFill="1"/>
    <xf numFmtId="5" fontId="1" fillId="0" borderId="0" xfId="1" applyNumberFormat="1" applyFont="1" applyFill="1"/>
    <xf numFmtId="5" fontId="2" fillId="0" borderId="0" xfId="1" applyNumberFormat="1" applyFont="1" applyFill="1"/>
    <xf numFmtId="0" fontId="0" fillId="0" borderId="0" xfId="0"/>
    <xf numFmtId="2" fontId="0" fillId="0" borderId="0" xfId="0" applyNumberFormat="1"/>
    <xf numFmtId="0" fontId="2" fillId="0" borderId="0" xfId="0" applyFont="1"/>
    <xf numFmtId="0" fontId="0" fillId="0" borderId="0" xfId="0" applyFill="1" applyBorder="1"/>
    <xf numFmtId="0" fontId="0" fillId="2" borderId="0" xfId="0" applyFill="1" applyAlignment="1"/>
    <xf numFmtId="0" fontId="0" fillId="0" borderId="0" xfId="0" applyAlignment="1">
      <alignment vertical="top"/>
    </xf>
    <xf numFmtId="0" fontId="5" fillId="0" borderId="0" xfId="0" applyFont="1" applyAlignment="1"/>
    <xf numFmtId="0" fontId="11" fillId="0" borderId="0" xfId="0" applyFont="1" applyAlignment="1">
      <alignment vertical="top"/>
    </xf>
    <xf numFmtId="0" fontId="12" fillId="0" borderId="0" xfId="0" applyFont="1" applyBorder="1" applyAlignment="1">
      <alignment horizontal="left" vertical="top"/>
    </xf>
    <xf numFmtId="169" fontId="2" fillId="0" borderId="0" xfId="1" applyNumberFormat="1" applyFont="1" applyFill="1"/>
    <xf numFmtId="178" fontId="2" fillId="0" borderId="0" xfId="0" applyNumberFormat="1" applyFont="1"/>
    <xf numFmtId="0" fontId="2" fillId="2" borderId="1" xfId="0" applyFont="1" applyFill="1" applyBorder="1" applyAlignment="1">
      <alignment vertical="center" wrapText="1"/>
    </xf>
    <xf numFmtId="0" fontId="0" fillId="3" borderId="0" xfId="0" applyFill="1" applyAlignment="1">
      <alignment vertical="top" wrapText="1"/>
    </xf>
    <xf numFmtId="0" fontId="21" fillId="3" borderId="6" xfId="0" applyFont="1" applyFill="1" applyBorder="1"/>
    <xf numFmtId="0" fontId="21" fillId="3" borderId="7" xfId="0" applyFont="1" applyFill="1" applyBorder="1"/>
    <xf numFmtId="0" fontId="21" fillId="3" borderId="8" xfId="0" applyFont="1" applyFill="1" applyBorder="1"/>
    <xf numFmtId="0" fontId="21" fillId="3" borderId="9" xfId="0" applyFont="1" applyFill="1" applyBorder="1"/>
    <xf numFmtId="0" fontId="21" fillId="3" borderId="0" xfId="0" applyFont="1" applyFill="1" applyAlignment="1">
      <alignment wrapText="1"/>
    </xf>
    <xf numFmtId="0" fontId="0" fillId="2" borderId="10" xfId="0" applyFill="1" applyBorder="1" applyAlignment="1">
      <alignment vertical="top" wrapText="1"/>
    </xf>
    <xf numFmtId="6" fontId="0" fillId="2" borderId="0" xfId="0" applyNumberFormat="1" applyFill="1" applyAlignment="1">
      <alignment vertical="top" wrapText="1"/>
    </xf>
    <xf numFmtId="0" fontId="0" fillId="0" borderId="6" xfId="0" applyBorder="1"/>
    <xf numFmtId="0" fontId="0" fillId="0" borderId="11" xfId="0" applyBorder="1"/>
    <xf numFmtId="0" fontId="0" fillId="0" borderId="7" xfId="0" applyBorder="1"/>
    <xf numFmtId="43" fontId="22" fillId="0" borderId="8" xfId="0" applyNumberFormat="1" applyFont="1" applyBorder="1"/>
    <xf numFmtId="0" fontId="0" fillId="0" borderId="2" xfId="0" applyBorder="1"/>
    <xf numFmtId="6" fontId="0" fillId="0" borderId="0" xfId="0" applyNumberFormat="1"/>
    <xf numFmtId="6" fontId="0" fillId="0" borderId="12" xfId="0" applyNumberFormat="1" applyBorder="1"/>
    <xf numFmtId="2" fontId="0" fillId="0" borderId="12" xfId="0" applyNumberFormat="1" applyBorder="1"/>
    <xf numFmtId="0" fontId="0" fillId="0" borderId="13" xfId="0" applyBorder="1" applyAlignment="1">
      <alignment horizontal="left"/>
    </xf>
    <xf numFmtId="10" fontId="0" fillId="0" borderId="7" xfId="0" applyNumberFormat="1" applyBorder="1"/>
    <xf numFmtId="0" fontId="0" fillId="0" borderId="14" xfId="0" applyBorder="1"/>
    <xf numFmtId="0" fontId="0" fillId="0" borderId="15" xfId="0" applyBorder="1"/>
    <xf numFmtId="43" fontId="0" fillId="0" borderId="16" xfId="0" applyNumberFormat="1" applyBorder="1"/>
    <xf numFmtId="0" fontId="0" fillId="0" borderId="17" xfId="0" applyBorder="1" applyAlignment="1">
      <alignment horizontal="left"/>
    </xf>
    <xf numFmtId="10" fontId="0" fillId="0" borderId="0" xfId="0" applyNumberFormat="1"/>
    <xf numFmtId="0" fontId="0" fillId="0" borderId="18" xfId="0" applyBorder="1"/>
    <xf numFmtId="0" fontId="0" fillId="0" borderId="19" xfId="0" applyBorder="1"/>
    <xf numFmtId="0" fontId="0" fillId="0" borderId="5" xfId="0" applyBorder="1"/>
    <xf numFmtId="43" fontId="0" fillId="0" borderId="20" xfId="0" applyNumberFormat="1" applyBorder="1"/>
    <xf numFmtId="0" fontId="0" fillId="0" borderId="21" xfId="0" applyBorder="1" applyAlignment="1">
      <alignment horizontal="left"/>
    </xf>
    <xf numFmtId="0" fontId="21" fillId="3" borderId="22" xfId="0" applyFont="1" applyFill="1" applyBorder="1"/>
    <xf numFmtId="0" fontId="21" fillId="3" borderId="23" xfId="0" applyFont="1" applyFill="1" applyBorder="1"/>
    <xf numFmtId="0" fontId="21" fillId="3" borderId="24" xfId="0" applyFont="1" applyFill="1" applyBorder="1"/>
    <xf numFmtId="11" fontId="0" fillId="0" borderId="25" xfId="0" applyNumberFormat="1" applyBorder="1"/>
    <xf numFmtId="11" fontId="0" fillId="0" borderId="26" xfId="0" applyNumberFormat="1" applyBorder="1"/>
    <xf numFmtId="0" fontId="0" fillId="0" borderId="0" xfId="0" applyAlignment="1">
      <alignment wrapText="1"/>
    </xf>
    <xf numFmtId="0" fontId="0" fillId="0" borderId="27" xfId="0" applyBorder="1"/>
    <xf numFmtId="11" fontId="0" fillId="0" borderId="15" xfId="0" applyNumberFormat="1" applyBorder="1"/>
    <xf numFmtId="11" fontId="0" fillId="0" borderId="16" xfId="0" applyNumberFormat="1" applyBorder="1"/>
    <xf numFmtId="11" fontId="0" fillId="0" borderId="28" xfId="0" applyNumberFormat="1" applyBorder="1"/>
    <xf numFmtId="11" fontId="0" fillId="0" borderId="29" xfId="0" applyNumberFormat="1" applyBorder="1"/>
    <xf numFmtId="0" fontId="21" fillId="3" borderId="30" xfId="0" applyFont="1" applyFill="1" applyBorder="1" applyAlignment="1">
      <alignment vertical="top" wrapText="1"/>
    </xf>
    <xf numFmtId="0" fontId="21" fillId="3" borderId="31" xfId="0" applyFont="1" applyFill="1" applyBorder="1" applyAlignment="1">
      <alignment vertical="top" wrapText="1"/>
    </xf>
    <xf numFmtId="11" fontId="0" fillId="0" borderId="0" xfId="0" applyNumberFormat="1"/>
    <xf numFmtId="0" fontId="0" fillId="2" borderId="32" xfId="0" applyFill="1" applyBorder="1" applyAlignment="1">
      <alignment vertical="top" wrapText="1"/>
    </xf>
    <xf numFmtId="8" fontId="0" fillId="2" borderId="33" xfId="0" applyNumberFormat="1" applyFill="1" applyBorder="1" applyAlignment="1">
      <alignment vertical="top" wrapText="1"/>
    </xf>
    <xf numFmtId="0" fontId="0" fillId="2" borderId="34" xfId="0" applyFill="1" applyBorder="1" applyAlignment="1">
      <alignment vertical="top" wrapText="1"/>
    </xf>
    <xf numFmtId="8" fontId="0" fillId="2" borderId="35" xfId="0" applyNumberFormat="1" applyFill="1" applyBorder="1" applyAlignment="1">
      <alignment vertical="top" wrapText="1"/>
    </xf>
    <xf numFmtId="0" fontId="0" fillId="0" borderId="1" xfId="0" applyBorder="1"/>
    <xf numFmtId="179" fontId="0" fillId="0" borderId="1" xfId="1" applyNumberFormat="1" applyFont="1" applyBorder="1"/>
    <xf numFmtId="2" fontId="0" fillId="2" borderId="33" xfId="0" applyNumberFormat="1" applyFill="1" applyBorder="1" applyAlignment="1">
      <alignment vertical="top" wrapText="1"/>
    </xf>
    <xf numFmtId="0" fontId="0" fillId="0" borderId="32" xfId="0" applyBorder="1" applyAlignment="1">
      <alignment vertical="top" wrapText="1"/>
    </xf>
    <xf numFmtId="2" fontId="0" fillId="0" borderId="33" xfId="0" applyNumberFormat="1" applyBorder="1" applyAlignment="1">
      <alignment vertical="top" wrapText="1"/>
    </xf>
    <xf numFmtId="2" fontId="0" fillId="2" borderId="35" xfId="0" applyNumberFormat="1" applyFill="1" applyBorder="1" applyAlignment="1">
      <alignment vertical="top" wrapText="1"/>
    </xf>
    <xf numFmtId="43" fontId="0" fillId="0" borderId="0" xfId="0" applyNumberFormat="1"/>
    <xf numFmtId="0" fontId="2" fillId="2" borderId="10" xfId="0" applyFont="1" applyFill="1" applyBorder="1" applyAlignment="1">
      <alignment vertical="top" wrapText="1"/>
    </xf>
    <xf numFmtId="8" fontId="0" fillId="2" borderId="0" xfId="0" applyNumberFormat="1" applyFill="1" applyAlignment="1">
      <alignment vertical="top" wrapText="1"/>
    </xf>
    <xf numFmtId="6" fontId="0" fillId="0" borderId="5" xfId="0" applyNumberFormat="1" applyBorder="1"/>
    <xf numFmtId="6" fontId="0" fillId="0" borderId="20" xfId="0" applyNumberFormat="1" applyBorder="1"/>
    <xf numFmtId="2" fontId="0" fillId="0" borderId="5" xfId="0" applyNumberFormat="1" applyBorder="1"/>
    <xf numFmtId="2" fontId="0" fillId="0" borderId="20" xfId="0" applyNumberFormat="1" applyBorder="1"/>
    <xf numFmtId="0" fontId="21" fillId="3" borderId="3" xfId="0" applyFont="1" applyFill="1" applyBorder="1"/>
    <xf numFmtId="0" fontId="21" fillId="3" borderId="36" xfId="0" applyFont="1" applyFill="1" applyBorder="1"/>
    <xf numFmtId="0" fontId="21" fillId="3" borderId="4" xfId="0" applyFont="1" applyFill="1" applyBorder="1" applyAlignment="1">
      <alignment wrapText="1"/>
    </xf>
    <xf numFmtId="0" fontId="0" fillId="0" borderId="37" xfId="0" applyBorder="1"/>
    <xf numFmtId="0" fontId="0" fillId="0" borderId="38" xfId="0" applyBorder="1"/>
    <xf numFmtId="8" fontId="0" fillId="0" borderId="39" xfId="0" applyNumberFormat="1" applyBorder="1"/>
    <xf numFmtId="0" fontId="0" fillId="0" borderId="40" xfId="0" applyBorder="1"/>
    <xf numFmtId="0" fontId="0" fillId="0" borderId="41" xfId="0" applyBorder="1"/>
    <xf numFmtId="8" fontId="0" fillId="0" borderId="42" xfId="0" applyNumberFormat="1" applyBorder="1"/>
    <xf numFmtId="0" fontId="0" fillId="0" borderId="43" xfId="0" applyBorder="1"/>
    <xf numFmtId="8" fontId="0" fillId="0" borderId="44" xfId="0" applyNumberFormat="1" applyBorder="1"/>
    <xf numFmtId="0" fontId="21" fillId="3" borderId="3" xfId="0" applyFont="1" applyFill="1" applyBorder="1" applyAlignment="1">
      <alignment vertical="top"/>
    </xf>
    <xf numFmtId="0" fontId="0" fillId="0" borderId="43" xfId="0" applyBorder="1" applyAlignment="1">
      <alignment wrapText="1"/>
    </xf>
    <xf numFmtId="0" fontId="0" fillId="0" borderId="40" xfId="0" applyBorder="1" applyAlignment="1">
      <alignment wrapText="1"/>
    </xf>
    <xf numFmtId="0" fontId="0" fillId="4" borderId="0" xfId="0" applyFill="1" applyAlignment="1">
      <alignment horizontal="center"/>
    </xf>
    <xf numFmtId="0" fontId="23" fillId="0" borderId="0" xfId="0" applyFont="1" applyAlignment="1">
      <alignment horizontal="center"/>
    </xf>
    <xf numFmtId="169" fontId="25" fillId="0" borderId="0" xfId="1" applyNumberFormat="1" applyFont="1" applyFill="1"/>
    <xf numFmtId="6" fontId="0" fillId="0" borderId="0" xfId="0" applyNumberFormat="1" applyBorder="1"/>
    <xf numFmtId="169" fontId="0" fillId="0" borderId="0" xfId="1" applyNumberFormat="1" applyFont="1" applyFill="1" applyBorder="1"/>
    <xf numFmtId="177" fontId="26" fillId="0" borderId="0" xfId="1" applyNumberFormat="1" applyFont="1" applyFill="1"/>
    <xf numFmtId="0" fontId="2" fillId="0" borderId="41" xfId="0" applyFont="1" applyBorder="1" applyAlignment="1">
      <alignment horizontal="right" vertical="top"/>
    </xf>
    <xf numFmtId="0" fontId="2" fillId="0" borderId="41" xfId="0" applyFont="1" applyBorder="1"/>
    <xf numFmtId="0" fontId="5" fillId="0" borderId="41" xfId="0" applyFont="1" applyBorder="1" applyAlignment="1">
      <alignment horizontal="left" vertical="top"/>
    </xf>
    <xf numFmtId="0" fontId="26" fillId="0" borderId="41" xfId="0" applyFont="1" applyBorder="1"/>
    <xf numFmtId="0" fontId="21" fillId="3" borderId="3" xfId="0" applyFont="1" applyFill="1" applyBorder="1" applyAlignment="1">
      <alignment vertical="top" wrapText="1"/>
    </xf>
    <xf numFmtId="0" fontId="0" fillId="0" borderId="39" xfId="0" applyBorder="1"/>
    <xf numFmtId="0" fontId="0" fillId="0" borderId="44" xfId="0" applyBorder="1"/>
    <xf numFmtId="0" fontId="0" fillId="0" borderId="42" xfId="0" applyBorder="1"/>
    <xf numFmtId="0" fontId="5" fillId="0" borderId="41" xfId="0" applyFont="1" applyBorder="1"/>
    <xf numFmtId="0" fontId="2" fillId="0" borderId="41" xfId="0" applyFont="1" applyFill="1" applyBorder="1"/>
    <xf numFmtId="0" fontId="5" fillId="0" borderId="0" xfId="0" applyFont="1" applyAlignment="1">
      <alignment horizontal="right"/>
    </xf>
    <xf numFmtId="173" fontId="25" fillId="0" borderId="0" xfId="4" applyNumberFormat="1" applyFont="1" applyFill="1" applyBorder="1" applyAlignment="1">
      <alignment horizontal="right"/>
    </xf>
    <xf numFmtId="0" fontId="28" fillId="6" borderId="45" xfId="0" applyFont="1" applyFill="1" applyBorder="1" applyAlignment="1">
      <alignment horizontal="center" vertical="center" wrapText="1"/>
    </xf>
    <xf numFmtId="0" fontId="28" fillId="6" borderId="46" xfId="0" applyFont="1" applyFill="1" applyBorder="1" applyAlignment="1">
      <alignment horizontal="center" vertical="center" wrapText="1"/>
    </xf>
    <xf numFmtId="0" fontId="29" fillId="0" borderId="12" xfId="0" applyFont="1" applyBorder="1" applyAlignment="1">
      <alignment horizontal="right" vertical="center" wrapText="1"/>
    </xf>
    <xf numFmtId="0" fontId="29" fillId="6" borderId="12" xfId="0" applyFont="1" applyFill="1" applyBorder="1" applyAlignment="1">
      <alignment horizontal="right" vertical="center" wrapText="1"/>
    </xf>
    <xf numFmtId="0" fontId="29" fillId="0" borderId="5" xfId="0" applyFont="1" applyBorder="1" applyAlignment="1">
      <alignment horizontal="right" vertical="center" wrapText="1"/>
    </xf>
    <xf numFmtId="0" fontId="29" fillId="0" borderId="20" xfId="0" applyFont="1" applyBorder="1" applyAlignment="1">
      <alignment horizontal="right" vertical="center" wrapText="1"/>
    </xf>
    <xf numFmtId="0" fontId="28" fillId="6" borderId="2" xfId="0" applyFont="1" applyFill="1" applyBorder="1" applyAlignment="1">
      <alignment horizontal="right" vertical="center" wrapText="1"/>
    </xf>
    <xf numFmtId="0" fontId="28" fillId="6" borderId="12" xfId="0" applyFont="1" applyFill="1" applyBorder="1" applyAlignment="1">
      <alignment horizontal="right" vertical="center" wrapText="1"/>
    </xf>
    <xf numFmtId="0" fontId="29" fillId="0" borderId="2" xfId="0" applyFont="1" applyBorder="1" applyAlignment="1">
      <alignment vertical="center" wrapText="1"/>
    </xf>
    <xf numFmtId="0" fontId="29" fillId="0" borderId="7" xfId="0" applyFont="1" applyBorder="1" applyAlignment="1">
      <alignment horizontal="right" vertical="center" wrapText="1"/>
    </xf>
    <xf numFmtId="0" fontId="29" fillId="6" borderId="2" xfId="0" applyFont="1" applyFill="1" applyBorder="1" applyAlignment="1">
      <alignment vertical="center" wrapText="1"/>
    </xf>
    <xf numFmtId="0" fontId="29" fillId="0" borderId="18" xfId="0" applyFont="1" applyBorder="1" applyAlignment="1">
      <alignment vertical="center" wrapText="1"/>
    </xf>
    <xf numFmtId="0" fontId="28" fillId="6" borderId="0" xfId="0" applyFont="1" applyFill="1" applyBorder="1" applyAlignment="1">
      <alignment horizontal="right" vertical="center" wrapText="1"/>
    </xf>
    <xf numFmtId="0" fontId="27" fillId="0" borderId="0" xfId="0" applyFont="1" applyAlignment="1">
      <alignment vertical="center"/>
    </xf>
    <xf numFmtId="0" fontId="20" fillId="0" borderId="0" xfId="0" applyFont="1" applyBorder="1" applyAlignment="1">
      <alignment vertical="center" wrapText="1"/>
    </xf>
    <xf numFmtId="0" fontId="0" fillId="0" borderId="3" xfId="0" applyBorder="1"/>
    <xf numFmtId="0" fontId="0" fillId="0" borderId="36" xfId="0" applyBorder="1"/>
    <xf numFmtId="0" fontId="0" fillId="0" borderId="4" xfId="0" applyBorder="1"/>
    <xf numFmtId="0" fontId="0" fillId="0" borderId="43" xfId="0" applyFont="1" applyBorder="1"/>
    <xf numFmtId="0" fontId="0" fillId="0" borderId="40" xfId="0" applyFont="1" applyBorder="1"/>
    <xf numFmtId="177" fontId="25" fillId="0" borderId="0" xfId="1" applyNumberFormat="1" applyFont="1" applyFill="1"/>
    <xf numFmtId="0" fontId="2" fillId="5" borderId="41" xfId="0" applyFont="1" applyFill="1" applyBorder="1"/>
    <xf numFmtId="5" fontId="1" fillId="5" borderId="0" xfId="1" applyNumberFormat="1" applyFont="1" applyFill="1"/>
    <xf numFmtId="5" fontId="2" fillId="5" borderId="0" xfId="1" applyNumberFormat="1" applyFont="1" applyFill="1"/>
    <xf numFmtId="0" fontId="0" fillId="5" borderId="0" xfId="0" applyFill="1"/>
    <xf numFmtId="177" fontId="0" fillId="5" borderId="0" xfId="1" applyNumberFormat="1" applyFont="1" applyFill="1"/>
    <xf numFmtId="180" fontId="0" fillId="0" borderId="0" xfId="0" applyNumberFormat="1"/>
    <xf numFmtId="0" fontId="29" fillId="6" borderId="0" xfId="0" applyFont="1" applyFill="1" applyBorder="1" applyAlignment="1">
      <alignment horizontal="right" vertical="center" wrapText="1"/>
    </xf>
    <xf numFmtId="0" fontId="29" fillId="0" borderId="0" xfId="0" applyFont="1" applyBorder="1" applyAlignment="1">
      <alignment horizontal="right" vertical="center" wrapText="1"/>
    </xf>
    <xf numFmtId="2" fontId="25" fillId="0" borderId="0" xfId="1" applyNumberFormat="1" applyFont="1" applyFill="1"/>
    <xf numFmtId="2" fontId="0" fillId="0" borderId="0" xfId="1" applyNumberFormat="1" applyFont="1" applyFill="1"/>
    <xf numFmtId="2" fontId="0" fillId="5" borderId="0" xfId="1" applyNumberFormat="1" applyFont="1" applyFill="1"/>
    <xf numFmtId="169" fontId="29" fillId="0" borderId="8" xfId="1" applyNumberFormat="1" applyFont="1" applyBorder="1" applyAlignment="1">
      <alignment horizontal="right" vertical="center" wrapText="1"/>
    </xf>
    <xf numFmtId="169" fontId="29" fillId="6" borderId="12" xfId="1" applyNumberFormat="1" applyFont="1" applyFill="1" applyBorder="1" applyAlignment="1">
      <alignment horizontal="right" vertical="center" wrapText="1"/>
    </xf>
    <xf numFmtId="181" fontId="0" fillId="0" borderId="0" xfId="1" applyNumberFormat="1" applyFont="1"/>
    <xf numFmtId="168" fontId="0" fillId="0" borderId="39" xfId="0" applyNumberFormat="1" applyBorder="1"/>
    <xf numFmtId="0" fontId="16" fillId="0" borderId="43" xfId="0" applyFont="1" applyBorder="1" applyAlignment="1">
      <alignment horizontal="left" vertical="top"/>
    </xf>
    <xf numFmtId="0" fontId="0" fillId="0" borderId="44" xfId="0" applyFont="1" applyBorder="1"/>
    <xf numFmtId="0" fontId="0" fillId="0" borderId="43" xfId="0" applyFont="1" applyBorder="1" applyAlignment="1">
      <alignment horizontal="left" vertical="top" indent="2"/>
    </xf>
    <xf numFmtId="180" fontId="0" fillId="0" borderId="44" xfId="0" applyNumberFormat="1" applyFont="1" applyBorder="1"/>
    <xf numFmtId="0" fontId="0" fillId="0" borderId="40" xfId="0" applyFont="1" applyBorder="1" applyAlignment="1">
      <alignment horizontal="left" vertical="top"/>
    </xf>
    <xf numFmtId="180" fontId="0" fillId="0" borderId="42" xfId="0" applyNumberFormat="1" applyFont="1" applyBorder="1"/>
    <xf numFmtId="0" fontId="0" fillId="0" borderId="37" xfId="0" applyFont="1" applyBorder="1"/>
    <xf numFmtId="0" fontId="0" fillId="0" borderId="39" xfId="0" applyFont="1" applyBorder="1"/>
    <xf numFmtId="0" fontId="0" fillId="0" borderId="43" xfId="0" applyFont="1" applyBorder="1" applyAlignment="1">
      <alignment horizontal="left" indent="2"/>
    </xf>
    <xf numFmtId="168" fontId="0" fillId="0" borderId="44" xfId="0" applyNumberFormat="1" applyFont="1" applyBorder="1"/>
    <xf numFmtId="0" fontId="14" fillId="0" borderId="3" xfId="0" applyFont="1" applyFill="1" applyBorder="1" applyAlignment="1">
      <alignment vertical="top"/>
    </xf>
    <xf numFmtId="0" fontId="14" fillId="0" borderId="37" xfId="0" applyFont="1" applyFill="1" applyBorder="1" applyAlignment="1">
      <alignment vertical="top"/>
    </xf>
    <xf numFmtId="0" fontId="0" fillId="0" borderId="43" xfId="0" applyFill="1" applyBorder="1" applyAlignment="1">
      <alignment horizontal="center" vertical="top" wrapText="1"/>
    </xf>
    <xf numFmtId="172" fontId="0" fillId="0" borderId="44" xfId="0" applyNumberFormat="1" applyFill="1" applyBorder="1" applyAlignment="1">
      <alignment horizontal="center" vertical="center"/>
    </xf>
    <xf numFmtId="0" fontId="0" fillId="0" borderId="40" xfId="0" applyFill="1" applyBorder="1" applyAlignment="1">
      <alignment horizontal="center" vertical="top" wrapText="1"/>
    </xf>
    <xf numFmtId="0" fontId="2" fillId="0" borderId="38" xfId="0" applyFont="1" applyFill="1" applyBorder="1" applyAlignment="1">
      <alignment horizontal="center" vertical="top"/>
    </xf>
    <xf numFmtId="0" fontId="2" fillId="0" borderId="39" xfId="0" applyFont="1" applyFill="1" applyBorder="1" applyAlignment="1">
      <alignment horizontal="center" vertical="top"/>
    </xf>
    <xf numFmtId="3" fontId="0" fillId="0" borderId="0" xfId="0" applyNumberFormat="1" applyFill="1" applyBorder="1" applyAlignment="1">
      <alignment horizontal="center" vertical="center"/>
    </xf>
    <xf numFmtId="3" fontId="0" fillId="0" borderId="44" xfId="0" applyNumberFormat="1" applyFill="1" applyBorder="1" applyAlignment="1">
      <alignment horizontal="center" vertical="center"/>
    </xf>
    <xf numFmtId="3" fontId="0" fillId="0" borderId="41" xfId="0" applyNumberFormat="1" applyFill="1" applyBorder="1" applyAlignment="1">
      <alignment horizontal="center" vertical="center"/>
    </xf>
    <xf numFmtId="3" fontId="0" fillId="0" borderId="42" xfId="0" applyNumberFormat="1" applyFill="1" applyBorder="1" applyAlignment="1">
      <alignment horizontal="center" vertical="center"/>
    </xf>
    <xf numFmtId="3" fontId="1" fillId="0" borderId="0" xfId="1" applyNumberFormat="1" applyFont="1" applyFill="1" applyBorder="1" applyAlignment="1">
      <alignment vertical="top"/>
    </xf>
    <xf numFmtId="3" fontId="0" fillId="0" borderId="0" xfId="0" applyNumberFormat="1" applyFont="1" applyFill="1" applyBorder="1" applyAlignment="1">
      <alignment vertical="top"/>
    </xf>
    <xf numFmtId="0" fontId="5" fillId="0" borderId="3" xfId="0" applyFont="1" applyFill="1" applyBorder="1" applyAlignment="1">
      <alignment vertical="top"/>
    </xf>
    <xf numFmtId="0" fontId="2" fillId="0" borderId="36" xfId="0" applyFont="1" applyFill="1" applyBorder="1" applyAlignment="1">
      <alignment vertical="top"/>
    </xf>
    <xf numFmtId="0" fontId="2" fillId="0" borderId="4" xfId="0" applyFont="1" applyFill="1" applyBorder="1" applyAlignment="1">
      <alignment vertical="top"/>
    </xf>
    <xf numFmtId="0" fontId="0" fillId="0" borderId="37" xfId="0" applyFill="1" applyBorder="1" applyAlignment="1">
      <alignment horizontal="left" vertical="top"/>
    </xf>
    <xf numFmtId="3" fontId="0" fillId="0" borderId="38" xfId="0" applyNumberFormat="1" applyFill="1" applyBorder="1" applyAlignment="1">
      <alignment vertical="top"/>
    </xf>
    <xf numFmtId="3" fontId="1" fillId="0" borderId="38" xfId="1" applyNumberFormat="1" applyFont="1" applyFill="1" applyBorder="1" applyAlignment="1">
      <alignment vertical="top"/>
    </xf>
    <xf numFmtId="3" fontId="0" fillId="0" borderId="39" xfId="0" applyNumberFormat="1" applyFill="1" applyBorder="1" applyAlignment="1">
      <alignment vertical="top"/>
    </xf>
    <xf numFmtId="0" fontId="0" fillId="0" borderId="43" xfId="0" applyFill="1" applyBorder="1" applyAlignment="1">
      <alignment horizontal="left" vertical="top"/>
    </xf>
    <xf numFmtId="3" fontId="0" fillId="0" borderId="44" xfId="0" applyNumberFormat="1" applyFill="1" applyBorder="1" applyAlignment="1">
      <alignment vertical="top"/>
    </xf>
    <xf numFmtId="0" fontId="0" fillId="0" borderId="40" xfId="0" applyFill="1" applyBorder="1" applyAlignment="1">
      <alignment horizontal="left" vertical="top"/>
    </xf>
    <xf numFmtId="3" fontId="0" fillId="0" borderId="41" xfId="0" applyNumberFormat="1" applyFill="1" applyBorder="1" applyAlignment="1">
      <alignment vertical="top"/>
    </xf>
    <xf numFmtId="3" fontId="0" fillId="0" borderId="41" xfId="0" applyNumberFormat="1" applyFont="1" applyFill="1" applyBorder="1" applyAlignment="1">
      <alignment vertical="top"/>
    </xf>
    <xf numFmtId="3" fontId="0" fillId="0" borderId="42" xfId="0" applyNumberFormat="1" applyFill="1" applyBorder="1" applyAlignment="1">
      <alignment vertical="top"/>
    </xf>
    <xf numFmtId="3" fontId="0" fillId="0" borderId="38" xfId="0" applyNumberFormat="1" applyFont="1" applyFill="1" applyBorder="1" applyAlignment="1">
      <alignment vertical="top"/>
    </xf>
    <xf numFmtId="0" fontId="0" fillId="0" borderId="3" xfId="0" applyFill="1" applyBorder="1" applyAlignment="1">
      <alignment vertical="top"/>
    </xf>
    <xf numFmtId="3" fontId="0" fillId="0" borderId="36" xfId="0" applyNumberFormat="1" applyFill="1" applyBorder="1" applyAlignment="1">
      <alignment vertical="top"/>
    </xf>
    <xf numFmtId="3" fontId="0" fillId="0" borderId="36" xfId="0" applyNumberFormat="1" applyFont="1" applyFill="1" applyBorder="1" applyAlignment="1">
      <alignment vertical="top"/>
    </xf>
    <xf numFmtId="3" fontId="0" fillId="0" borderId="4" xfId="0" applyNumberFormat="1" applyFill="1" applyBorder="1" applyAlignment="1">
      <alignment vertical="top"/>
    </xf>
    <xf numFmtId="39" fontId="0" fillId="0" borderId="0" xfId="1" applyNumberFormat="1" applyFont="1" applyBorder="1"/>
    <xf numFmtId="39" fontId="0" fillId="0" borderId="44" xfId="1" applyNumberFormat="1" applyFont="1" applyBorder="1"/>
    <xf numFmtId="39" fontId="0" fillId="0" borderId="41" xfId="1" applyNumberFormat="1" applyFont="1" applyBorder="1"/>
    <xf numFmtId="39" fontId="0" fillId="0" borderId="42" xfId="1" applyNumberFormat="1" applyFont="1" applyBorder="1"/>
    <xf numFmtId="39" fontId="0" fillId="0" borderId="0" xfId="1" applyNumberFormat="1" applyFont="1" applyFill="1" applyBorder="1" applyAlignment="1">
      <alignment horizontal="right" vertical="top"/>
    </xf>
    <xf numFmtId="0" fontId="2" fillId="2" borderId="47" xfId="0" applyFont="1" applyFill="1" applyBorder="1"/>
    <xf numFmtId="0" fontId="2" fillId="2" borderId="48" xfId="0" applyFont="1" applyFill="1" applyBorder="1"/>
    <xf numFmtId="1" fontId="2" fillId="2" borderId="48" xfId="0" applyNumberFormat="1" applyFont="1" applyFill="1" applyBorder="1"/>
    <xf numFmtId="1" fontId="2" fillId="2" borderId="49" xfId="0" applyNumberFormat="1" applyFont="1" applyFill="1" applyBorder="1"/>
    <xf numFmtId="0" fontId="0" fillId="2" borderId="50" xfId="0" applyFill="1" applyBorder="1"/>
    <xf numFmtId="0" fontId="0" fillId="2" borderId="51" xfId="0" applyFill="1" applyBorder="1"/>
    <xf numFmtId="174" fontId="0" fillId="2" borderId="51" xfId="0" applyNumberFormat="1" applyFill="1" applyBorder="1"/>
    <xf numFmtId="174" fontId="0" fillId="2" borderId="52" xfId="0" applyNumberFormat="1" applyFill="1" applyBorder="1"/>
    <xf numFmtId="0" fontId="0" fillId="2" borderId="53" xfId="0" applyFill="1" applyBorder="1"/>
    <xf numFmtId="174" fontId="0" fillId="2" borderId="54" xfId="0" applyNumberFormat="1" applyFill="1" applyBorder="1"/>
    <xf numFmtId="174" fontId="2" fillId="2" borderId="56" xfId="0" applyNumberFormat="1" applyFont="1" applyFill="1" applyBorder="1"/>
    <xf numFmtId="174" fontId="2" fillId="2" borderId="57" xfId="0" applyNumberFormat="1" applyFont="1" applyFill="1" applyBorder="1"/>
    <xf numFmtId="0" fontId="0" fillId="0" borderId="0" xfId="0" applyFill="1" applyBorder="1" applyAlignment="1">
      <alignment horizontal="left" indent="2"/>
    </xf>
    <xf numFmtId="5" fontId="0" fillId="0" borderId="0" xfId="0" applyNumberFormat="1" applyFill="1" applyBorder="1" applyAlignment="1">
      <alignment horizontal="left" vertical="top"/>
    </xf>
    <xf numFmtId="5" fontId="12" fillId="0" borderId="0" xfId="0" applyNumberFormat="1" applyFont="1" applyFill="1" applyBorder="1" applyAlignment="1">
      <alignment horizontal="left" vertical="top"/>
    </xf>
    <xf numFmtId="0" fontId="2" fillId="0" borderId="0" xfId="0" applyFont="1" applyFill="1"/>
    <xf numFmtId="0" fontId="31" fillId="0" borderId="0" xfId="0" applyFont="1"/>
    <xf numFmtId="175" fontId="0" fillId="0" borderId="1" xfId="0" applyNumberFormat="1" applyFill="1" applyBorder="1"/>
    <xf numFmtId="174" fontId="31" fillId="2" borderId="0" xfId="0" applyNumberFormat="1" applyFont="1" applyFill="1"/>
    <xf numFmtId="0" fontId="29" fillId="0" borderId="6" xfId="0" applyFont="1" applyBorder="1" applyAlignment="1">
      <alignment vertical="center" wrapText="1"/>
    </xf>
    <xf numFmtId="169" fontId="29" fillId="0" borderId="12" xfId="1" applyNumberFormat="1" applyFont="1" applyBorder="1" applyAlignment="1">
      <alignment horizontal="right" vertical="center" wrapText="1"/>
    </xf>
    <xf numFmtId="0" fontId="0" fillId="0" borderId="0" xfId="0" applyFill="1" applyBorder="1" applyAlignment="1">
      <alignment horizontal="center" vertical="top"/>
    </xf>
    <xf numFmtId="0" fontId="2" fillId="0" borderId="0" xfId="0" applyFont="1" applyFill="1" applyBorder="1"/>
    <xf numFmtId="166" fontId="0" fillId="0" borderId="0" xfId="0" applyNumberFormat="1" applyFill="1" applyBorder="1"/>
    <xf numFmtId="0" fontId="0" fillId="2" borderId="3"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left" vertical="top" wrapText="1"/>
    </xf>
    <xf numFmtId="0" fontId="19" fillId="2" borderId="0" xfId="0" applyFont="1" applyFill="1" applyAlignment="1">
      <alignment horizontal="center" vertical="center" wrapText="1"/>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0" fillId="0" borderId="0" xfId="0" applyFill="1" applyBorder="1" applyAlignment="1">
      <alignment horizontal="center" vertical="top"/>
    </xf>
    <xf numFmtId="0" fontId="2" fillId="0" borderId="36" xfId="0" applyFont="1" applyFill="1" applyBorder="1" applyAlignment="1">
      <alignment horizontal="center" vertical="top"/>
    </xf>
    <xf numFmtId="0" fontId="2" fillId="0" borderId="4" xfId="0" applyFont="1" applyFill="1" applyBorder="1"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center" wrapText="1"/>
    </xf>
    <xf numFmtId="0" fontId="2" fillId="0" borderId="5" xfId="0" applyFont="1" applyBorder="1" applyAlignment="1">
      <alignment horizontal="center" wrapText="1"/>
    </xf>
    <xf numFmtId="0" fontId="0" fillId="0" borderId="0" xfId="0" applyAlignment="1">
      <alignment horizontal="left" wrapText="1"/>
    </xf>
    <xf numFmtId="0" fontId="2" fillId="0" borderId="5" xfId="0" applyFont="1" applyBorder="1" applyAlignment="1">
      <alignment horizontal="center" vertical="top" wrapText="1"/>
    </xf>
    <xf numFmtId="0" fontId="21" fillId="3" borderId="0" xfId="0" applyFont="1" applyFill="1" applyAlignment="1">
      <alignment horizontal="center" vertical="top" wrapText="1"/>
    </xf>
    <xf numFmtId="0" fontId="28" fillId="6" borderId="6" xfId="0" applyFont="1" applyFill="1" applyBorder="1" applyAlignment="1">
      <alignment horizontal="center" vertical="center"/>
    </xf>
    <xf numFmtId="0" fontId="28" fillId="6" borderId="7" xfId="0" applyFont="1" applyFill="1" applyBorder="1" applyAlignment="1">
      <alignment horizontal="center" vertical="center"/>
    </xf>
    <xf numFmtId="0" fontId="28" fillId="6" borderId="8" xfId="0" applyFont="1" applyFill="1" applyBorder="1" applyAlignment="1">
      <alignment horizontal="center" vertical="center"/>
    </xf>
    <xf numFmtId="0" fontId="2" fillId="2" borderId="55" xfId="0" applyFont="1" applyFill="1" applyBorder="1" applyAlignment="1">
      <alignment horizontal="center"/>
    </xf>
    <xf numFmtId="0" fontId="2" fillId="2" borderId="56" xfId="0" applyFont="1" applyFill="1" applyBorder="1" applyAlignment="1">
      <alignment horizontal="center"/>
    </xf>
  </cellXfs>
  <cellStyles count="7">
    <cellStyle name="Comma" xfId="1" builtinId="3"/>
    <cellStyle name="Currency" xfId="4" builtinId="4"/>
    <cellStyle name="Factor" xfId="3" xr:uid="{70969E6C-ACDC-4A9A-A5DD-C81E6403A5F5}"/>
    <cellStyle name="Hyperlink" xfId="2" builtinId="8"/>
    <cellStyle name="Normal" xfId="0" builtinId="0"/>
    <cellStyle name="Normal 2 3" xfId="6" xr:uid="{3C592D2F-E993-4E9B-AE5F-1EBBD9AFB1A3}"/>
    <cellStyle name="Percent" xfId="5" builtinId="5"/>
  </cellStyles>
  <dxfs count="15">
    <dxf>
      <numFmt numFmtId="14" formatCode="0.00%"/>
      <fill>
        <patternFill patternType="none">
          <fgColor indexed="64"/>
          <bgColor auto="1"/>
        </patternFill>
      </fill>
    </dxf>
    <dxf>
      <fill>
        <patternFill patternType="none">
          <fgColor indexed="64"/>
          <bgColor auto="1"/>
        </patternFill>
      </fill>
      <alignment horizontal="left" vertical="bottom" textRotation="0" wrapText="0" indent="0" justifyLastLine="0" shrinkToFit="0" readingOrder="0"/>
      <border diagonalUp="0" diagonalDown="0" outline="0">
        <left/>
        <right/>
        <top style="thin">
          <color theme="0" tint="-0.14999847407452621"/>
        </top>
        <bottom style="thin">
          <color theme="0" tint="-0.14999847407452621"/>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solid">
          <fgColor indexed="64"/>
          <bgColor theme="0" tint="-0.499984740745262"/>
        </patternFill>
      </fill>
    </dxf>
    <dxf>
      <numFmt numFmtId="10" formatCode="&quot;$&quot;#,##0_);[Red]\(&quot;$&quot;#,##0\)"/>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border diagonalUp="0" diagonalDown="0" outline="0">
        <left/>
        <right style="thin">
          <color theme="1"/>
        </right>
        <top/>
        <bottom/>
      </border>
    </dxf>
    <dxf>
      <border diagonalUp="0" diagonalDown="0">
        <left style="medium">
          <color theme="1"/>
        </left>
        <right style="medium">
          <color theme="1"/>
        </right>
        <top style="medium">
          <color theme="1"/>
        </top>
        <bottom style="medium">
          <color theme="1"/>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tint="-0.499984740745262"/>
        </patternFill>
      </fill>
      <alignment horizontal="general" vertical="top" textRotation="0" wrapText="1" indent="0" justifyLastLine="0" shrinkToFit="0" readingOrder="0"/>
    </dxf>
    <dxf>
      <numFmt numFmtId="10" formatCode="&quot;$&quot;#,##0_);[Red]\(&quot;$&quot;#,##0\)"/>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border diagonalUp="0" diagonalDown="0" outline="0">
        <left/>
        <right style="thin">
          <color theme="1"/>
        </right>
        <top/>
        <bottom/>
      </border>
    </dxf>
    <dxf>
      <border diagonalUp="0" diagonalDown="0">
        <left style="medium">
          <color theme="1"/>
        </left>
        <right style="medium">
          <color theme="1"/>
        </right>
        <top style="medium">
          <color theme="1"/>
        </top>
        <bottom style="medium">
          <color theme="1"/>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tint="-0.499984740745262"/>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1330938</xdr:colOff>
      <xdr:row>0</xdr:row>
      <xdr:rowOff>173691</xdr:rowOff>
    </xdr:from>
    <xdr:to>
      <xdr:col>6</xdr:col>
      <xdr:colOff>554490</xdr:colOff>
      <xdr:row>0</xdr:row>
      <xdr:rowOff>173691</xdr:rowOff>
    </xdr:to>
    <xdr:cxnSp macro="">
      <xdr:nvCxnSpPr>
        <xdr:cNvPr id="2" name="Straight Arrow Connector 1">
          <a:extLst>
            <a:ext uri="{FF2B5EF4-FFF2-40B4-BE49-F238E27FC236}">
              <a16:creationId xmlns:a16="http://schemas.microsoft.com/office/drawing/2014/main" id="{EF906081-B425-4C77-8D1A-AFF26109A53B}"/>
            </a:ext>
          </a:extLst>
        </xdr:cNvPr>
        <xdr:cNvCxnSpPr/>
      </xdr:nvCxnSpPr>
      <xdr:spPr>
        <a:xfrm>
          <a:off x="5782288" y="173691"/>
          <a:ext cx="557052" cy="0"/>
        </a:xfrm>
        <a:prstGeom prst="straightConnector1">
          <a:avLst/>
        </a:prstGeom>
        <a:ln w="762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Lee, Jon" id="{7D3DFBA0-5E7F-43E5-939C-B69BDC178A32}" userId="S::jon.lee@ebp-us.com::6e9f5118-e38b-4f7d-9a6e-3b2b66e8570c"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8CB2E5-F1AC-4944-A9D1-C72316622EFF}" name="Table2" displayName="Table2" ref="A5:B12" totalsRowShown="0" headerRowDxfId="14" dataDxfId="13" tableBorderDxfId="12">
  <autoFilter ref="A5:B12" xr:uid="{B48CB2E5-F1AC-4944-A9D1-C72316622EFF}"/>
  <tableColumns count="2">
    <tableColumn id="1" xr3:uid="{B919EC8C-EB06-4CB9-A055-883BE8795DD6}" name="KABCO Level" dataDxfId="11"/>
    <tableColumn id="2" xr3:uid="{99988C87-CE97-427B-8040-CE25B86F2368}" name="Monetized Value ($2020)"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6F88B4-DDDC-4C0C-AC7D-DC8145C7AEC4}" name="Table24" displayName="Table24" ref="A30:B40" totalsRowShown="0" headerRowDxfId="9" dataDxfId="8" tableBorderDxfId="7">
  <autoFilter ref="A30:B40" xr:uid="{B46F88B4-DDDC-4C0C-AC7D-DC8145C7AEC4}"/>
  <tableColumns count="2">
    <tableColumn id="1" xr3:uid="{DA3D1CC1-51CC-454E-A5ED-C108DC44BD83}" name="Category" dataDxfId="6"/>
    <tableColumn id="2" xr3:uid="{C807371B-E52F-4D10-98A7-A6638E037CB8}" name="Hourly Value " dataDxfId="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5443DB5-BC2F-4DD9-87E6-8AA00BE335EB}" name="Table16" displayName="Table16" ref="Y5:Z10" totalsRowShown="0" headerRowDxfId="4" dataDxfId="3" tableBorderDxfId="2">
  <autoFilter ref="Y5:Z10" xr:uid="{D5443DB5-BC2F-4DD9-87E6-8AA00BE335EB}"/>
  <tableColumns count="2">
    <tableColumn id="1" xr3:uid="{6DF43902-A7C0-4180-B4CB-6A18CABD851C}" name="Pollutant" dataDxfId="1"/>
    <tableColumn id="9" xr3:uid="{1280CAE4-F3ED-4B6B-8FC8-A81CC622AA4F}" name="Average Annual % Pollutant Decreas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22-03-15T20:00:51.46" personId="{7D3DFBA0-5E7F-43E5-939C-B69BDC178A32}" id="{11090D3A-577A-48B4-B21E-3194C95BD869}">
    <text>from tredis6</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mfclearinghouse.org/results.cf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8.bin"/><Relationship Id="rId7" Type="http://schemas.openxmlformats.org/officeDocument/2006/relationships/table" Target="../tables/table3.xml"/><Relationship Id="rId2" Type="http://schemas.openxmlformats.org/officeDocument/2006/relationships/hyperlink" Target="https://tredis.com/pdf/User_Docs/TREDIS5_Data_Sources_and_Default_Values.pdf" TargetMode="External"/><Relationship Id="rId1" Type="http://schemas.openxmlformats.org/officeDocument/2006/relationships/hyperlink" Target="https://www.transportation.gov/office-policy/transportation-policy/benefit-cost-analysis-guidance-discretionary-grant-programs-0"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1.vml"/><Relationship Id="rId9"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0070C0"/>
  </sheetPr>
  <dimension ref="A1:AL37"/>
  <sheetViews>
    <sheetView tabSelected="1" zoomScaleNormal="100" workbookViewId="0">
      <selection activeCell="A2" sqref="A2"/>
    </sheetView>
  </sheetViews>
  <sheetFormatPr defaultRowHeight="15" x14ac:dyDescent="0.25"/>
  <cols>
    <col min="1" max="1" width="45.28515625" bestFit="1" customWidth="1"/>
    <col min="2" max="2" width="7.85546875" bestFit="1" customWidth="1"/>
    <col min="3" max="3" width="9.5703125" bestFit="1" customWidth="1"/>
    <col min="4" max="5" width="10.5703125" bestFit="1" customWidth="1"/>
    <col min="6" max="6" width="9.5703125" bestFit="1" customWidth="1"/>
    <col min="7" max="7" width="9.85546875" bestFit="1" customWidth="1"/>
    <col min="8" max="32" width="11.5703125" customWidth="1"/>
    <col min="33" max="33" width="9.5703125" bestFit="1" customWidth="1"/>
  </cols>
  <sheetData>
    <row r="1" spans="1:38" ht="18.75" x14ac:dyDescent="0.25">
      <c r="A1" s="129" t="s">
        <v>338</v>
      </c>
      <c r="B1" s="129"/>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row>
    <row r="2" spans="1:38" x14ac:dyDescent="0.25">
      <c r="A2" s="128" t="s">
        <v>0</v>
      </c>
      <c r="B2" s="128"/>
      <c r="C2" s="124">
        <v>2020</v>
      </c>
      <c r="D2" s="124">
        <f>C2+1</f>
        <v>2021</v>
      </c>
      <c r="E2" s="124">
        <f>D2+1</f>
        <v>2022</v>
      </c>
      <c r="F2" s="124">
        <f t="shared" ref="F2:AH2" si="0">E2+1</f>
        <v>2023</v>
      </c>
      <c r="G2" s="124">
        <f t="shared" si="0"/>
        <v>2024</v>
      </c>
      <c r="H2" s="124">
        <f t="shared" si="0"/>
        <v>2025</v>
      </c>
      <c r="I2" s="124">
        <f t="shared" si="0"/>
        <v>2026</v>
      </c>
      <c r="J2" s="124">
        <f t="shared" si="0"/>
        <v>2027</v>
      </c>
      <c r="K2" s="124">
        <f t="shared" si="0"/>
        <v>2028</v>
      </c>
      <c r="L2" s="124">
        <f t="shared" si="0"/>
        <v>2029</v>
      </c>
      <c r="M2" s="124">
        <f t="shared" si="0"/>
        <v>2030</v>
      </c>
      <c r="N2" s="124">
        <f t="shared" si="0"/>
        <v>2031</v>
      </c>
      <c r="O2" s="124">
        <f t="shared" si="0"/>
        <v>2032</v>
      </c>
      <c r="P2" s="124">
        <f t="shared" si="0"/>
        <v>2033</v>
      </c>
      <c r="Q2" s="124">
        <f t="shared" si="0"/>
        <v>2034</v>
      </c>
      <c r="R2" s="124">
        <f t="shared" si="0"/>
        <v>2035</v>
      </c>
      <c r="S2" s="124">
        <f t="shared" si="0"/>
        <v>2036</v>
      </c>
      <c r="T2" s="124">
        <f t="shared" si="0"/>
        <v>2037</v>
      </c>
      <c r="U2" s="124">
        <f t="shared" si="0"/>
        <v>2038</v>
      </c>
      <c r="V2" s="124">
        <f t="shared" si="0"/>
        <v>2039</v>
      </c>
      <c r="W2" s="124">
        <f t="shared" si="0"/>
        <v>2040</v>
      </c>
      <c r="X2" s="124">
        <f t="shared" si="0"/>
        <v>2041</v>
      </c>
      <c r="Y2" s="124">
        <f t="shared" si="0"/>
        <v>2042</v>
      </c>
      <c r="Z2" s="124">
        <f t="shared" si="0"/>
        <v>2043</v>
      </c>
      <c r="AA2" s="124">
        <f t="shared" si="0"/>
        <v>2044</v>
      </c>
      <c r="AB2" s="124">
        <f t="shared" si="0"/>
        <v>2045</v>
      </c>
      <c r="AC2" s="124">
        <f t="shared" si="0"/>
        <v>2046</v>
      </c>
      <c r="AD2" s="124">
        <f t="shared" si="0"/>
        <v>2047</v>
      </c>
      <c r="AE2" s="124">
        <f t="shared" si="0"/>
        <v>2048</v>
      </c>
      <c r="AF2" s="124">
        <f t="shared" si="0"/>
        <v>2049</v>
      </c>
      <c r="AG2" s="124">
        <f t="shared" si="0"/>
        <v>2050</v>
      </c>
      <c r="AH2" s="322">
        <f t="shared" si="0"/>
        <v>2051</v>
      </c>
      <c r="AI2" s="122"/>
      <c r="AJ2" s="122"/>
      <c r="AK2" s="122"/>
      <c r="AL2" s="122"/>
    </row>
    <row r="3" spans="1:38" x14ac:dyDescent="0.25">
      <c r="A3" s="127" t="s">
        <v>1</v>
      </c>
      <c r="B3" s="127"/>
      <c r="C3" s="122" t="s">
        <v>2</v>
      </c>
      <c r="D3" s="122" t="s">
        <v>2</v>
      </c>
      <c r="E3" s="122" t="s">
        <v>2</v>
      </c>
      <c r="F3" s="122" t="s">
        <v>2</v>
      </c>
      <c r="G3" s="122">
        <v>1</v>
      </c>
      <c r="H3" s="122">
        <v>2</v>
      </c>
      <c r="I3" s="122">
        <v>3</v>
      </c>
      <c r="J3" s="122" t="s">
        <v>2</v>
      </c>
      <c r="K3" s="122" t="s">
        <v>2</v>
      </c>
      <c r="L3" s="122" t="s">
        <v>2</v>
      </c>
      <c r="M3" s="122" t="s">
        <v>2</v>
      </c>
      <c r="N3" s="122" t="s">
        <v>2</v>
      </c>
      <c r="O3" s="122" t="s">
        <v>2</v>
      </c>
      <c r="P3" s="122" t="s">
        <v>2</v>
      </c>
      <c r="Q3" s="122" t="s">
        <v>2</v>
      </c>
      <c r="R3" s="122" t="s">
        <v>2</v>
      </c>
      <c r="S3" s="122" t="s">
        <v>2</v>
      </c>
      <c r="T3" s="122" t="s">
        <v>2</v>
      </c>
      <c r="U3" s="122" t="s">
        <v>2</v>
      </c>
      <c r="V3" s="122" t="s">
        <v>2</v>
      </c>
      <c r="W3" s="122" t="s">
        <v>2</v>
      </c>
      <c r="X3" s="122" t="s">
        <v>2</v>
      </c>
      <c r="Y3" s="122" t="s">
        <v>2</v>
      </c>
      <c r="Z3" s="122" t="s">
        <v>2</v>
      </c>
      <c r="AA3" s="122" t="s">
        <v>2</v>
      </c>
      <c r="AB3" s="122" t="s">
        <v>2</v>
      </c>
      <c r="AC3" s="122" t="s">
        <v>2</v>
      </c>
      <c r="AD3" s="122" t="s">
        <v>2</v>
      </c>
      <c r="AE3" s="122" t="s">
        <v>2</v>
      </c>
      <c r="AF3" s="122" t="s">
        <v>2</v>
      </c>
      <c r="AG3" s="122" t="s">
        <v>2</v>
      </c>
      <c r="AH3" s="9" t="s">
        <v>2</v>
      </c>
      <c r="AI3" s="122"/>
      <c r="AJ3" s="122"/>
      <c r="AK3" s="122"/>
      <c r="AL3" s="122"/>
    </row>
    <row r="4" spans="1:38" x14ac:dyDescent="0.25">
      <c r="A4" s="127" t="s">
        <v>3</v>
      </c>
      <c r="B4" s="127"/>
      <c r="C4" s="122" t="s">
        <v>2</v>
      </c>
      <c r="D4" s="122" t="s">
        <v>2</v>
      </c>
      <c r="E4" s="122" t="s">
        <v>2</v>
      </c>
      <c r="F4" s="122" t="s">
        <v>2</v>
      </c>
      <c r="G4" s="122" t="s">
        <v>2</v>
      </c>
      <c r="H4" s="122" t="s">
        <v>2</v>
      </c>
      <c r="I4" s="122" t="s">
        <v>2</v>
      </c>
      <c r="J4" s="122">
        <v>1</v>
      </c>
      <c r="K4" s="122">
        <f t="shared" ref="K4:AH4" si="1">J4+1</f>
        <v>2</v>
      </c>
      <c r="L4" s="122">
        <f t="shared" si="1"/>
        <v>3</v>
      </c>
      <c r="M4" s="122">
        <f t="shared" si="1"/>
        <v>4</v>
      </c>
      <c r="N4" s="122">
        <f t="shared" si="1"/>
        <v>5</v>
      </c>
      <c r="O4" s="122">
        <f t="shared" si="1"/>
        <v>6</v>
      </c>
      <c r="P4" s="122">
        <f t="shared" si="1"/>
        <v>7</v>
      </c>
      <c r="Q4" s="122">
        <f t="shared" si="1"/>
        <v>8</v>
      </c>
      <c r="R4" s="122">
        <f t="shared" si="1"/>
        <v>9</v>
      </c>
      <c r="S4" s="122">
        <f t="shared" si="1"/>
        <v>10</v>
      </c>
      <c r="T4" s="122">
        <f t="shared" si="1"/>
        <v>11</v>
      </c>
      <c r="U4" s="122">
        <f t="shared" si="1"/>
        <v>12</v>
      </c>
      <c r="V4" s="122">
        <f t="shared" si="1"/>
        <v>13</v>
      </c>
      <c r="W4" s="122">
        <f t="shared" si="1"/>
        <v>14</v>
      </c>
      <c r="X4" s="122">
        <f t="shared" si="1"/>
        <v>15</v>
      </c>
      <c r="Y4" s="122">
        <f t="shared" si="1"/>
        <v>16</v>
      </c>
      <c r="Z4" s="122">
        <f t="shared" si="1"/>
        <v>17</v>
      </c>
      <c r="AA4" s="122">
        <f t="shared" si="1"/>
        <v>18</v>
      </c>
      <c r="AB4" s="122">
        <f t="shared" si="1"/>
        <v>19</v>
      </c>
      <c r="AC4" s="122">
        <f t="shared" si="1"/>
        <v>20</v>
      </c>
      <c r="AD4" s="122">
        <f t="shared" si="1"/>
        <v>21</v>
      </c>
      <c r="AE4" s="122">
        <f t="shared" si="1"/>
        <v>22</v>
      </c>
      <c r="AF4" s="122">
        <f t="shared" si="1"/>
        <v>23</v>
      </c>
      <c r="AG4" s="122">
        <f t="shared" si="1"/>
        <v>24</v>
      </c>
      <c r="AH4" s="9">
        <f t="shared" si="1"/>
        <v>25</v>
      </c>
      <c r="AI4" s="122"/>
      <c r="AJ4" s="122"/>
      <c r="AK4" s="122"/>
      <c r="AL4" s="122"/>
    </row>
    <row r="5" spans="1:38" x14ac:dyDescent="0.25">
      <c r="A5" s="127" t="s">
        <v>4</v>
      </c>
      <c r="B5" s="127"/>
      <c r="C5" s="122">
        <v>0</v>
      </c>
      <c r="D5" s="122">
        <f t="shared" ref="D5:AH5" si="2">C5+1</f>
        <v>1</v>
      </c>
      <c r="E5" s="122">
        <f t="shared" si="2"/>
        <v>2</v>
      </c>
      <c r="F5" s="122">
        <f t="shared" si="2"/>
        <v>3</v>
      </c>
      <c r="G5" s="122">
        <f t="shared" si="2"/>
        <v>4</v>
      </c>
      <c r="H5" s="122">
        <f t="shared" si="2"/>
        <v>5</v>
      </c>
      <c r="I5" s="122">
        <f t="shared" si="2"/>
        <v>6</v>
      </c>
      <c r="J5" s="122">
        <f t="shared" si="2"/>
        <v>7</v>
      </c>
      <c r="K5" s="122">
        <f t="shared" si="2"/>
        <v>8</v>
      </c>
      <c r="L5" s="122">
        <f t="shared" si="2"/>
        <v>9</v>
      </c>
      <c r="M5" s="122">
        <f t="shared" si="2"/>
        <v>10</v>
      </c>
      <c r="N5" s="122">
        <f t="shared" si="2"/>
        <v>11</v>
      </c>
      <c r="O5" s="122">
        <f t="shared" si="2"/>
        <v>12</v>
      </c>
      <c r="P5" s="122">
        <f t="shared" si="2"/>
        <v>13</v>
      </c>
      <c r="Q5" s="122">
        <f t="shared" si="2"/>
        <v>14</v>
      </c>
      <c r="R5" s="122">
        <f t="shared" si="2"/>
        <v>15</v>
      </c>
      <c r="S5" s="122">
        <f t="shared" si="2"/>
        <v>16</v>
      </c>
      <c r="T5" s="122">
        <f t="shared" si="2"/>
        <v>17</v>
      </c>
      <c r="U5" s="122">
        <f t="shared" si="2"/>
        <v>18</v>
      </c>
      <c r="V5" s="122">
        <f t="shared" si="2"/>
        <v>19</v>
      </c>
      <c r="W5" s="122">
        <f t="shared" si="2"/>
        <v>20</v>
      </c>
      <c r="X5" s="122">
        <f t="shared" si="2"/>
        <v>21</v>
      </c>
      <c r="Y5" s="122">
        <f t="shared" si="2"/>
        <v>22</v>
      </c>
      <c r="Z5" s="122">
        <f t="shared" si="2"/>
        <v>23</v>
      </c>
      <c r="AA5" s="122">
        <f t="shared" si="2"/>
        <v>24</v>
      </c>
      <c r="AB5" s="122">
        <f t="shared" si="2"/>
        <v>25</v>
      </c>
      <c r="AC5" s="122">
        <f t="shared" si="2"/>
        <v>26</v>
      </c>
      <c r="AD5" s="122">
        <f t="shared" si="2"/>
        <v>27</v>
      </c>
      <c r="AE5" s="122">
        <f t="shared" si="2"/>
        <v>28</v>
      </c>
      <c r="AF5" s="122">
        <f t="shared" si="2"/>
        <v>29</v>
      </c>
      <c r="AG5" s="122">
        <f t="shared" si="2"/>
        <v>30</v>
      </c>
      <c r="AH5" s="9">
        <f t="shared" si="2"/>
        <v>31</v>
      </c>
      <c r="AI5" s="122"/>
      <c r="AJ5" s="122"/>
      <c r="AK5" s="122"/>
      <c r="AL5" s="122"/>
    </row>
    <row r="6" spans="1:38" x14ac:dyDescent="0.25">
      <c r="A6" s="127" t="s">
        <v>5</v>
      </c>
      <c r="B6" s="127"/>
      <c r="C6" s="5">
        <f>(1+'Look Up'!$B$2)^C5</f>
        <v>1</v>
      </c>
      <c r="D6" s="5">
        <f>(1+'Look Up'!$B$2)^D5</f>
        <v>1.07</v>
      </c>
      <c r="E6" s="5">
        <f>(1+'Look Up'!$B$2)^E5</f>
        <v>1.1449</v>
      </c>
      <c r="F6" s="5">
        <f>(1+'Look Up'!$B$2)^F5</f>
        <v>1.2250430000000001</v>
      </c>
      <c r="G6" s="5">
        <f>(1+'Look Up'!$B$2)^G5</f>
        <v>1.31079601</v>
      </c>
      <c r="H6" s="5">
        <f>(1+'Look Up'!$B$2)^H5</f>
        <v>1.4025517307000002</v>
      </c>
      <c r="I6" s="5">
        <f>(1+'Look Up'!$B$2)^I5</f>
        <v>1.5007303518490001</v>
      </c>
      <c r="J6" s="5">
        <f>(1+'Look Up'!$B$2)^J5</f>
        <v>1.6057814764784302</v>
      </c>
      <c r="K6" s="5">
        <f>(1+'Look Up'!$B$2)^K5</f>
        <v>1.7181861798319202</v>
      </c>
      <c r="L6" s="5">
        <f>(1+'Look Up'!$B$2)^L5</f>
        <v>1.8384592124201549</v>
      </c>
      <c r="M6" s="5">
        <f>(1+'Look Up'!$B$2)^M5</f>
        <v>1.9671513572895656</v>
      </c>
      <c r="N6" s="5">
        <f>(1+'Look Up'!$B$2)^N5</f>
        <v>2.1048519522998355</v>
      </c>
      <c r="O6" s="5">
        <f>(1+'Look Up'!$B$2)^O5</f>
        <v>2.2521915889608235</v>
      </c>
      <c r="P6" s="5">
        <f>(1+'Look Up'!$B$2)^P5</f>
        <v>2.4098450001880813</v>
      </c>
      <c r="Q6" s="5">
        <f>(1+'Look Up'!$B$2)^Q5</f>
        <v>2.5785341502012469</v>
      </c>
      <c r="R6" s="5">
        <f>(1+'Look Up'!$B$2)^R5</f>
        <v>2.7590315407153345</v>
      </c>
      <c r="S6" s="5">
        <f>(1+'Look Up'!$B$2)^S5</f>
        <v>2.9521637485654075</v>
      </c>
      <c r="T6" s="5">
        <f>(1+'Look Up'!$B$2)^T5</f>
        <v>3.1588152109649861</v>
      </c>
      <c r="U6" s="5">
        <f>(1+'Look Up'!$B$2)^U5</f>
        <v>3.3799322757325352</v>
      </c>
      <c r="V6" s="5">
        <f>(1+'Look Up'!$B$2)^V5</f>
        <v>3.6165275350338129</v>
      </c>
      <c r="W6" s="5">
        <f>(1+'Look Up'!$B$2)^W5</f>
        <v>3.8696844624861795</v>
      </c>
      <c r="X6" s="5">
        <f>(1+'Look Up'!$B$2)^X5</f>
        <v>4.1405623748602123</v>
      </c>
      <c r="Y6" s="5">
        <f>(1+'Look Up'!$B$2)^Y5</f>
        <v>4.4304017411004271</v>
      </c>
      <c r="Z6" s="5">
        <f>(1+'Look Up'!$B$2)^Z5</f>
        <v>4.740529862977457</v>
      </c>
      <c r="AA6" s="5">
        <f>(1+'Look Up'!$B$2)^AA5</f>
        <v>5.0723669533858793</v>
      </c>
      <c r="AB6" s="5">
        <f>(1+'Look Up'!$B$2)^AB5</f>
        <v>5.4274326401228912</v>
      </c>
      <c r="AC6" s="5">
        <f>(1+'Look Up'!$B$2)^AC5</f>
        <v>5.807352924931493</v>
      </c>
      <c r="AD6" s="5">
        <f>(1+'Look Up'!$B$2)^AD5</f>
        <v>6.2138676296766988</v>
      </c>
      <c r="AE6" s="5">
        <f>(1+'Look Up'!$B$2)^AE5</f>
        <v>6.6488383637540664</v>
      </c>
      <c r="AF6" s="5">
        <f>(1+'Look Up'!$B$2)^AF5</f>
        <v>7.1142570492168513</v>
      </c>
      <c r="AG6" s="5">
        <f>(1+'Look Up'!$B$2)^AG5</f>
        <v>7.6122550426620306</v>
      </c>
      <c r="AH6" s="32">
        <f>(1+'Look Up'!$B$2)^AH5</f>
        <v>8.1451128956483743</v>
      </c>
      <c r="AI6" s="122"/>
      <c r="AJ6" s="122"/>
      <c r="AK6" s="122"/>
      <c r="AL6" s="122"/>
    </row>
    <row r="7" spans="1:38" s="122" customFormat="1" x14ac:dyDescent="0.25">
      <c r="A7" s="127" t="s">
        <v>6</v>
      </c>
      <c r="B7" s="127"/>
      <c r="C7" s="5">
        <f>(1+'Look Up'!$B$3)^C5</f>
        <v>1</v>
      </c>
      <c r="D7" s="5">
        <f>(1+'Look Up'!$B$3)^D5</f>
        <v>1.03</v>
      </c>
      <c r="E7" s="5">
        <f>(1+'Look Up'!$B$3)^E5</f>
        <v>1.0609</v>
      </c>
      <c r="F7" s="5">
        <f>(1+'Look Up'!$B$3)^F5</f>
        <v>1.092727</v>
      </c>
      <c r="G7" s="5">
        <f>(1+'Look Up'!$B$3)^G5</f>
        <v>1.1255088099999999</v>
      </c>
      <c r="H7" s="5">
        <f>(1+'Look Up'!$B$3)^H5</f>
        <v>1.1592740742999998</v>
      </c>
      <c r="I7" s="5">
        <f>(1+'Look Up'!$B$3)^I5</f>
        <v>1.1940522965289999</v>
      </c>
      <c r="J7" s="5">
        <f>(1+'Look Up'!$B$3)^J5</f>
        <v>1.22987386542487</v>
      </c>
      <c r="K7" s="5">
        <f>(1+'Look Up'!$B$3)^K5</f>
        <v>1.2667700813876159</v>
      </c>
      <c r="L7" s="5">
        <f>(1+'Look Up'!$B$3)^L5</f>
        <v>1.3047731838292445</v>
      </c>
      <c r="M7" s="5">
        <f>(1+'Look Up'!$B$3)^M5</f>
        <v>1.3439163793441218</v>
      </c>
      <c r="N7" s="5">
        <f>(1+'Look Up'!$B$3)^N5</f>
        <v>1.3842338707244455</v>
      </c>
      <c r="O7" s="5">
        <f>(1+'Look Up'!$B$3)^O5</f>
        <v>1.4257608868461786</v>
      </c>
      <c r="P7" s="5">
        <f>(1+'Look Up'!$B$3)^P5</f>
        <v>1.4685337134515639</v>
      </c>
      <c r="Q7" s="5">
        <f>(1+'Look Up'!$B$3)^Q5</f>
        <v>1.512589724855111</v>
      </c>
      <c r="R7" s="5">
        <f>(1+'Look Up'!$B$3)^R5</f>
        <v>1.5579674166007644</v>
      </c>
      <c r="S7" s="5">
        <f>(1+'Look Up'!$B$3)^S5</f>
        <v>1.6047064390987871</v>
      </c>
      <c r="T7" s="5">
        <f>(1+'Look Up'!$B$3)^T5</f>
        <v>1.6528476322717507</v>
      </c>
      <c r="U7" s="5">
        <f>(1+'Look Up'!$B$3)^U5</f>
        <v>1.7024330612399032</v>
      </c>
      <c r="V7" s="5">
        <f>(1+'Look Up'!$B$3)^V5</f>
        <v>1.7535060530771003</v>
      </c>
      <c r="W7" s="5">
        <f>(1+'Look Up'!$B$3)^W5</f>
        <v>1.8061112346694133</v>
      </c>
      <c r="X7" s="5">
        <f>(1+'Look Up'!$B$3)^X5</f>
        <v>1.8602945717094954</v>
      </c>
      <c r="Y7" s="5">
        <f>(1+'Look Up'!$B$3)^Y5</f>
        <v>1.9161034088607805</v>
      </c>
      <c r="Z7" s="5">
        <f>(1+'Look Up'!$B$3)^Z5</f>
        <v>1.973586511126604</v>
      </c>
      <c r="AA7" s="5">
        <f>(1+'Look Up'!$B$3)^AA5</f>
        <v>2.0327941064604018</v>
      </c>
      <c r="AB7" s="5">
        <f>(1+'Look Up'!$B$3)^AB5</f>
        <v>2.0937779296542138</v>
      </c>
      <c r="AC7" s="5">
        <f>(1+'Look Up'!$B$3)^AC5</f>
        <v>2.1565912675438406</v>
      </c>
      <c r="AD7" s="5">
        <f>(1+'Look Up'!$B$3)^AD5</f>
        <v>2.2212890055701555</v>
      </c>
      <c r="AE7" s="5">
        <f>(1+'Look Up'!$B$3)^AE5</f>
        <v>2.2879276757372602</v>
      </c>
      <c r="AF7" s="5">
        <f>(1+'Look Up'!$B$3)^AF5</f>
        <v>2.3565655060093778</v>
      </c>
      <c r="AG7" s="5">
        <f>(1+'Look Up'!$B$3)^AG5</f>
        <v>2.4272624711896591</v>
      </c>
      <c r="AH7" s="32">
        <f>(1+'Look Up'!$B$3)^AH5</f>
        <v>2.5000803453253493</v>
      </c>
    </row>
    <row r="8" spans="1:38" x14ac:dyDescent="0.25">
      <c r="A8" s="122"/>
      <c r="B8" s="122"/>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122"/>
      <c r="AH8" s="9"/>
      <c r="AI8" s="122"/>
      <c r="AJ8" s="122"/>
      <c r="AK8" s="122"/>
      <c r="AL8" s="122"/>
    </row>
    <row r="9" spans="1:38" s="54" customFormat="1" x14ac:dyDescent="0.25">
      <c r="A9" s="58" t="s">
        <v>7</v>
      </c>
      <c r="B9" s="58" t="s">
        <v>8</v>
      </c>
      <c r="C9" s="122">
        <v>2020</v>
      </c>
      <c r="D9" s="122">
        <f>C9+1</f>
        <v>2021</v>
      </c>
      <c r="E9" s="122">
        <f>D9+1</f>
        <v>2022</v>
      </c>
      <c r="F9" s="122">
        <f t="shared" ref="F9" si="3">E9+1</f>
        <v>2023</v>
      </c>
      <c r="G9" s="122">
        <f t="shared" ref="G9" si="4">F9+1</f>
        <v>2024</v>
      </c>
      <c r="H9" s="122">
        <f t="shared" ref="H9" si="5">G9+1</f>
        <v>2025</v>
      </c>
      <c r="I9" s="122">
        <f t="shared" ref="I9" si="6">H9+1</f>
        <v>2026</v>
      </c>
      <c r="J9" s="122">
        <f t="shared" ref="J9" si="7">I9+1</f>
        <v>2027</v>
      </c>
      <c r="K9" s="122">
        <f t="shared" ref="K9" si="8">J9+1</f>
        <v>2028</v>
      </c>
      <c r="L9" s="122">
        <f t="shared" ref="L9" si="9">K9+1</f>
        <v>2029</v>
      </c>
      <c r="M9" s="122">
        <f t="shared" ref="M9" si="10">L9+1</f>
        <v>2030</v>
      </c>
      <c r="N9" s="122">
        <f t="shared" ref="N9" si="11">M9+1</f>
        <v>2031</v>
      </c>
      <c r="O9" s="122">
        <f t="shared" ref="O9" si="12">N9+1</f>
        <v>2032</v>
      </c>
      <c r="P9" s="122">
        <f t="shared" ref="P9" si="13">O9+1</f>
        <v>2033</v>
      </c>
      <c r="Q9" s="122">
        <f t="shared" ref="Q9" si="14">P9+1</f>
        <v>2034</v>
      </c>
      <c r="R9" s="122">
        <f t="shared" ref="R9" si="15">Q9+1</f>
        <v>2035</v>
      </c>
      <c r="S9" s="122">
        <f t="shared" ref="S9" si="16">R9+1</f>
        <v>2036</v>
      </c>
      <c r="T9" s="122">
        <f t="shared" ref="T9" si="17">S9+1</f>
        <v>2037</v>
      </c>
      <c r="U9" s="122">
        <f t="shared" ref="U9" si="18">T9+1</f>
        <v>2038</v>
      </c>
      <c r="V9" s="122">
        <f t="shared" ref="V9" si="19">U9+1</f>
        <v>2039</v>
      </c>
      <c r="W9" s="122">
        <f t="shared" ref="W9" si="20">V9+1</f>
        <v>2040</v>
      </c>
      <c r="X9" s="122">
        <f t="shared" ref="X9" si="21">W9+1</f>
        <v>2041</v>
      </c>
      <c r="Y9" s="122">
        <f t="shared" ref="Y9" si="22">X9+1</f>
        <v>2042</v>
      </c>
      <c r="Z9" s="122">
        <f t="shared" ref="Z9" si="23">Y9+1</f>
        <v>2043</v>
      </c>
      <c r="AA9" s="122">
        <f t="shared" ref="AA9" si="24">Z9+1</f>
        <v>2044</v>
      </c>
      <c r="AB9" s="122">
        <f t="shared" ref="AB9" si="25">AA9+1</f>
        <v>2045</v>
      </c>
      <c r="AC9" s="122">
        <f t="shared" ref="AC9" si="26">AB9+1</f>
        <v>2046</v>
      </c>
      <c r="AD9" s="122">
        <f t="shared" ref="AD9" si="27">AC9+1</f>
        <v>2047</v>
      </c>
      <c r="AE9" s="122">
        <f t="shared" ref="AE9" si="28">AD9+1</f>
        <v>2048</v>
      </c>
      <c r="AF9" s="122">
        <f t="shared" ref="AF9" si="29">AE9+1</f>
        <v>2049</v>
      </c>
      <c r="AG9" s="122">
        <f t="shared" ref="AG9:AH9" si="30">AF9+1</f>
        <v>2050</v>
      </c>
      <c r="AH9" s="9">
        <f t="shared" si="30"/>
        <v>2051</v>
      </c>
      <c r="AI9" s="125"/>
      <c r="AJ9" s="125"/>
      <c r="AK9" s="125"/>
      <c r="AL9" s="125"/>
    </row>
    <row r="10" spans="1:38" s="54" customFormat="1" x14ac:dyDescent="0.25">
      <c r="A10" s="125" t="s">
        <v>9</v>
      </c>
      <c r="B10" s="87">
        <f>SUM(C10:AH10)</f>
        <v>148.42610541298117</v>
      </c>
      <c r="C10" s="93">
        <f>Costs!C6/C6</f>
        <v>0</v>
      </c>
      <c r="D10" s="93">
        <f>Costs!D6/D6</f>
        <v>0</v>
      </c>
      <c r="E10" s="93">
        <f>Costs!E6/E6</f>
        <v>0</v>
      </c>
      <c r="F10" s="93">
        <f>Costs!F6/F6</f>
        <v>0</v>
      </c>
      <c r="G10" s="93">
        <f>Costs!G6/G6</f>
        <v>52.857957661924836</v>
      </c>
      <c r="H10" s="93">
        <f>Costs!H6/H6</f>
        <v>49.399960431705445</v>
      </c>
      <c r="I10" s="93">
        <f>Costs!I6/I6</f>
        <v>46.168187319350885</v>
      </c>
      <c r="J10" s="93">
        <f>Costs!J6/J6</f>
        <v>0</v>
      </c>
      <c r="K10" s="93">
        <f>Costs!K6/K6</f>
        <v>0</v>
      </c>
      <c r="L10" s="93">
        <f>Costs!L6/L6</f>
        <v>0</v>
      </c>
      <c r="M10" s="93">
        <f>Costs!M6/M6</f>
        <v>0</v>
      </c>
      <c r="N10" s="93">
        <f>Costs!N6/N6</f>
        <v>0</v>
      </c>
      <c r="O10" s="93">
        <f>Costs!O6/O6</f>
        <v>0</v>
      </c>
      <c r="P10" s="93">
        <f>Costs!P6/P6</f>
        <v>0</v>
      </c>
      <c r="Q10" s="93">
        <f>Costs!Q6/Q6</f>
        <v>0</v>
      </c>
      <c r="R10" s="93">
        <f>Costs!R6/R6</f>
        <v>0</v>
      </c>
      <c r="S10" s="93">
        <f>Costs!S6/S6</f>
        <v>0</v>
      </c>
      <c r="T10" s="93">
        <f>Costs!T6/T6</f>
        <v>0</v>
      </c>
      <c r="U10" s="93">
        <f>Costs!U6/U6</f>
        <v>0</v>
      </c>
      <c r="V10" s="93">
        <f>Costs!V6/V6</f>
        <v>0</v>
      </c>
      <c r="W10" s="93">
        <f>Costs!W6/W6</f>
        <v>0</v>
      </c>
      <c r="X10" s="93">
        <f>Costs!X6/X6</f>
        <v>0</v>
      </c>
      <c r="Y10" s="93">
        <f>Costs!Y6/Y6</f>
        <v>0</v>
      </c>
      <c r="Z10" s="93">
        <f>Costs!Z6/Z6</f>
        <v>0</v>
      </c>
      <c r="AA10" s="93">
        <f>Costs!AA6/AA6</f>
        <v>0</v>
      </c>
      <c r="AB10" s="93">
        <f>Costs!AB6/AB6</f>
        <v>0</v>
      </c>
      <c r="AC10" s="93">
        <f>Costs!AC6/AC6</f>
        <v>0</v>
      </c>
      <c r="AD10" s="93">
        <f>Costs!AD6/AD6</f>
        <v>0</v>
      </c>
      <c r="AE10" s="93">
        <f>Costs!AE6/AE6</f>
        <v>0</v>
      </c>
      <c r="AF10" s="93">
        <f>Costs!AF6/AF6</f>
        <v>0</v>
      </c>
      <c r="AG10" s="93">
        <f>Costs!AG6/AG6</f>
        <v>0</v>
      </c>
      <c r="AH10" s="93">
        <f>Costs!AH6/AH6</f>
        <v>0</v>
      </c>
      <c r="AI10" s="125"/>
      <c r="AJ10" s="125"/>
      <c r="AK10" s="125"/>
      <c r="AL10" s="125"/>
    </row>
    <row r="11" spans="1:38" s="54" customFormat="1" x14ac:dyDescent="0.25">
      <c r="A11" s="125" t="s">
        <v>10</v>
      </c>
      <c r="B11" s="87">
        <f>SUM(C11:AH11)</f>
        <v>-11.303774827773461</v>
      </c>
      <c r="C11" s="93">
        <f>Costs!C17/C6</f>
        <v>0</v>
      </c>
      <c r="D11" s="93">
        <f>Costs!D17/D6</f>
        <v>-2.2654205607476632</v>
      </c>
      <c r="E11" s="93">
        <f>Costs!E17/E6</f>
        <v>0</v>
      </c>
      <c r="F11" s="93">
        <f>Costs!F17/F6</f>
        <v>0</v>
      </c>
      <c r="G11" s="93">
        <f>Costs!G17/G6</f>
        <v>0</v>
      </c>
      <c r="H11" s="93">
        <f>Costs!H17/H6</f>
        <v>0</v>
      </c>
      <c r="I11" s="93">
        <f>Costs!I17/I6</f>
        <v>0.67300564605467772</v>
      </c>
      <c r="J11" s="93">
        <f>Costs!J17/J6</f>
        <v>0</v>
      </c>
      <c r="K11" s="93">
        <f>Costs!K17/K6</f>
        <v>0</v>
      </c>
      <c r="L11" s="93">
        <f>Costs!L17/L6</f>
        <v>0</v>
      </c>
      <c r="M11" s="93">
        <f>Costs!M17/M6</f>
        <v>-4.4668652299877651</v>
      </c>
      <c r="N11" s="93">
        <f>Costs!N17/N6</f>
        <v>0</v>
      </c>
      <c r="O11" s="93">
        <f>Costs!O17/O6</f>
        <v>0</v>
      </c>
      <c r="P11" s="93">
        <f>Costs!P17/P6</f>
        <v>0</v>
      </c>
      <c r="Q11" s="93">
        <f>Costs!Q17/Q6</f>
        <v>0</v>
      </c>
      <c r="R11" s="93">
        <f>Costs!R17/R6</f>
        <v>-1.2446396314518631</v>
      </c>
      <c r="S11" s="93">
        <f>Costs!S17/S6</f>
        <v>0</v>
      </c>
      <c r="T11" s="93">
        <f>Costs!T17/T6</f>
        <v>0</v>
      </c>
      <c r="U11" s="93">
        <f>Costs!U17/U6</f>
        <v>0</v>
      </c>
      <c r="V11" s="93">
        <f>Costs!V17/V6</f>
        <v>0</v>
      </c>
      <c r="W11" s="93">
        <f>Costs!W17/W6</f>
        <v>-3.0276370369672856</v>
      </c>
      <c r="X11" s="93">
        <f>Costs!X17/X6</f>
        <v>0</v>
      </c>
      <c r="Y11" s="93">
        <f>Costs!Y17/Y6</f>
        <v>0</v>
      </c>
      <c r="Z11" s="93">
        <f>Costs!Z17/Z6</f>
        <v>0</v>
      </c>
      <c r="AA11" s="93">
        <f>Costs!AA17/AA6</f>
        <v>0</v>
      </c>
      <c r="AB11" s="93">
        <f>Costs!AB17/AB6</f>
        <v>0.91184917955756384</v>
      </c>
      <c r="AC11" s="93">
        <f>Costs!AC17/AC6</f>
        <v>0</v>
      </c>
      <c r="AD11" s="93">
        <f>Costs!AD17/AD6</f>
        <v>0</v>
      </c>
      <c r="AE11" s="93">
        <f>Costs!AE17/AE6</f>
        <v>0</v>
      </c>
      <c r="AF11" s="93">
        <f>Costs!AF17/AF6</f>
        <v>0</v>
      </c>
      <c r="AG11" s="93">
        <f>Costs!AG17/AG6</f>
        <v>-1.8840671942311273</v>
      </c>
      <c r="AH11" s="93">
        <f>Costs!AH17/AH6</f>
        <v>0</v>
      </c>
      <c r="AI11" s="125"/>
      <c r="AJ11" s="125"/>
      <c r="AK11" s="125"/>
      <c r="AL11" s="125"/>
    </row>
    <row r="12" spans="1:38" s="54" customFormat="1" x14ac:dyDescent="0.25">
      <c r="A12" s="84" t="s">
        <v>11</v>
      </c>
      <c r="B12" s="88">
        <f>SUM(B10:B11)</f>
        <v>137.12233058520772</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35"/>
      <c r="AH12" s="35"/>
      <c r="AI12" s="125"/>
      <c r="AJ12" s="125"/>
      <c r="AK12" s="125"/>
      <c r="AL12" s="125"/>
    </row>
    <row r="13" spans="1:38" s="54" customFormat="1" x14ac:dyDescent="0.25">
      <c r="A13" s="125"/>
      <c r="B13" s="89"/>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35"/>
      <c r="AH13" s="35"/>
      <c r="AI13" s="125"/>
      <c r="AJ13" s="125"/>
      <c r="AK13" s="125"/>
      <c r="AL13" s="125"/>
    </row>
    <row r="14" spans="1:38" s="54" customFormat="1" x14ac:dyDescent="0.25">
      <c r="A14" s="58" t="s">
        <v>12</v>
      </c>
      <c r="B14" s="90"/>
      <c r="C14" s="124">
        <v>2020</v>
      </c>
      <c r="D14" s="124">
        <f>C14+1</f>
        <v>2021</v>
      </c>
      <c r="E14" s="124">
        <f>D14+1</f>
        <v>2022</v>
      </c>
      <c r="F14" s="124">
        <f t="shared" ref="F14" si="31">E14+1</f>
        <v>2023</v>
      </c>
      <c r="G14" s="124">
        <f t="shared" ref="G14" si="32">F14+1</f>
        <v>2024</v>
      </c>
      <c r="H14" s="124">
        <f t="shared" ref="H14" si="33">G14+1</f>
        <v>2025</v>
      </c>
      <c r="I14" s="124">
        <f t="shared" ref="I14" si="34">H14+1</f>
        <v>2026</v>
      </c>
      <c r="J14" s="124">
        <f t="shared" ref="J14" si="35">I14+1</f>
        <v>2027</v>
      </c>
      <c r="K14" s="124">
        <f t="shared" ref="K14" si="36">J14+1</f>
        <v>2028</v>
      </c>
      <c r="L14" s="124">
        <f t="shared" ref="L14" si="37">K14+1</f>
        <v>2029</v>
      </c>
      <c r="M14" s="124">
        <f t="shared" ref="M14" si="38">L14+1</f>
        <v>2030</v>
      </c>
      <c r="N14" s="124">
        <f t="shared" ref="N14" si="39">M14+1</f>
        <v>2031</v>
      </c>
      <c r="O14" s="124">
        <f t="shared" ref="O14" si="40">N14+1</f>
        <v>2032</v>
      </c>
      <c r="P14" s="124">
        <f t="shared" ref="P14" si="41">O14+1</f>
        <v>2033</v>
      </c>
      <c r="Q14" s="124">
        <f t="shared" ref="Q14" si="42">P14+1</f>
        <v>2034</v>
      </c>
      <c r="R14" s="124">
        <f t="shared" ref="R14" si="43">Q14+1</f>
        <v>2035</v>
      </c>
      <c r="S14" s="124">
        <f t="shared" ref="S14" si="44">R14+1</f>
        <v>2036</v>
      </c>
      <c r="T14" s="124">
        <f t="shared" ref="T14" si="45">S14+1</f>
        <v>2037</v>
      </c>
      <c r="U14" s="124">
        <f t="shared" ref="U14" si="46">T14+1</f>
        <v>2038</v>
      </c>
      <c r="V14" s="124">
        <f t="shared" ref="V14" si="47">U14+1</f>
        <v>2039</v>
      </c>
      <c r="W14" s="124">
        <f t="shared" ref="W14" si="48">V14+1</f>
        <v>2040</v>
      </c>
      <c r="X14" s="124">
        <f t="shared" ref="X14" si="49">W14+1</f>
        <v>2041</v>
      </c>
      <c r="Y14" s="124">
        <f t="shared" ref="Y14" si="50">X14+1</f>
        <v>2042</v>
      </c>
      <c r="Z14" s="124">
        <f t="shared" ref="Z14" si="51">Y14+1</f>
        <v>2043</v>
      </c>
      <c r="AA14" s="124">
        <f t="shared" ref="AA14" si="52">Z14+1</f>
        <v>2044</v>
      </c>
      <c r="AB14" s="124">
        <f t="shared" ref="AB14" si="53">AA14+1</f>
        <v>2045</v>
      </c>
      <c r="AC14" s="124">
        <f t="shared" ref="AC14" si="54">AB14+1</f>
        <v>2046</v>
      </c>
      <c r="AD14" s="124">
        <f t="shared" ref="AD14" si="55">AC14+1</f>
        <v>2047</v>
      </c>
      <c r="AE14" s="124">
        <f t="shared" ref="AE14" si="56">AD14+1</f>
        <v>2048</v>
      </c>
      <c r="AF14" s="124">
        <f t="shared" ref="AF14" si="57">AE14+1</f>
        <v>2049</v>
      </c>
      <c r="AG14" s="124">
        <f t="shared" ref="AG14:AH14" si="58">AF14+1</f>
        <v>2050</v>
      </c>
      <c r="AH14" s="322">
        <f t="shared" si="58"/>
        <v>2051</v>
      </c>
      <c r="AI14" s="35"/>
      <c r="AJ14" s="35"/>
      <c r="AK14" s="35"/>
      <c r="AL14" s="125"/>
    </row>
    <row r="15" spans="1:38" s="54" customFormat="1" x14ac:dyDescent="0.25">
      <c r="A15" s="83" t="s">
        <v>13</v>
      </c>
      <c r="B15" s="88">
        <f>SUM(C15:AH15)</f>
        <v>55.139247187338114</v>
      </c>
      <c r="C15" s="93" t="s">
        <v>2</v>
      </c>
      <c r="D15" s="93" t="s">
        <v>2</v>
      </c>
      <c r="E15" s="93" t="s">
        <v>2</v>
      </c>
      <c r="F15" s="93" t="s">
        <v>2</v>
      </c>
      <c r="G15" s="93" t="s">
        <v>2</v>
      </c>
      <c r="H15" s="93" t="s">
        <v>2</v>
      </c>
      <c r="I15" s="93" t="s">
        <v>2</v>
      </c>
      <c r="J15" s="112">
        <f>(TT!D16/J6)*10^-6</f>
        <v>3.9127904689833857</v>
      </c>
      <c r="K15" s="112">
        <f>(TT!E16/K6)*10^-6</f>
        <v>3.7072128470019554</v>
      </c>
      <c r="L15" s="112">
        <f>(TT!F16/L6)*10^-6</f>
        <v>3.5117870762518972</v>
      </c>
      <c r="M15" s="112">
        <f>(TT!G16/M6)*10^-6</f>
        <v>3.3260647184707013</v>
      </c>
      <c r="N15" s="112">
        <f>(TT!H16/N6)*10^-6</f>
        <v>3.1525280040313981</v>
      </c>
      <c r="O15" s="112">
        <f>(TT!I16/O6)*10^-6</f>
        <v>2.9874619706144578</v>
      </c>
      <c r="P15" s="112">
        <f>(TT!J16/P6)*10^-6</f>
        <v>2.8305010158822088</v>
      </c>
      <c r="Q15" s="112">
        <f>(TT!K16/Q6)*10^-6</f>
        <v>2.681291120074651</v>
      </c>
      <c r="R15" s="112">
        <f>(TT!L16/R6)*10^-6</f>
        <v>2.5394898952550826</v>
      </c>
      <c r="S15" s="112">
        <f>(TT!M16/S6)*10^-6</f>
        <v>2.4069925537791166</v>
      </c>
      <c r="T15" s="112">
        <f>(TT!N16/T6)*10^-6</f>
        <v>2.2809626778166017</v>
      </c>
      <c r="U15" s="112">
        <f>(TT!O16/U6)*10^-6</f>
        <v>2.1611211256427727</v>
      </c>
      <c r="V15" s="112">
        <f>(TT!P16/V6)*10^-6</f>
        <v>2.0471975989684097</v>
      </c>
      <c r="W15" s="112">
        <f>(TT!Q16/W6)*10^-6</f>
        <v>1.9389306805394559</v>
      </c>
      <c r="X15" s="112">
        <f>(TT!R16/X6)*10^-6</f>
        <v>1.8377673874869123</v>
      </c>
      <c r="Y15" s="112">
        <f>(TT!S16/Y6)*10^-6</f>
        <v>1.7415420811272044</v>
      </c>
      <c r="Z15" s="112">
        <f>(TT!T16/Z6)*10^-6</f>
        <v>1.6500416334398684</v>
      </c>
      <c r="AA15" s="112">
        <f>(TT!U16/AA6)*10^-6</f>
        <v>1.5630596684724545</v>
      </c>
      <c r="AB15" s="112">
        <f>(TT!V16/AB6)*10^-6</f>
        <v>1.4803965910482879</v>
      </c>
      <c r="AC15" s="112">
        <f>(TT!W16/AC6)*10^-6</f>
        <v>1.402883281795233</v>
      </c>
      <c r="AD15" s="112">
        <f>(TT!X16/AD6)*10^-6</f>
        <v>1.329176025848118</v>
      </c>
      <c r="AE15" s="112">
        <f>(TT!Y16/AE6)*10^-6</f>
        <v>1.2591085802425888</v>
      </c>
      <c r="AF15" s="112">
        <f>(TT!Z16/AF6)*10^-6</f>
        <v>1.1925201640938266</v>
      </c>
      <c r="AG15" s="112">
        <f>(TT!AA16/AG6)*10^-6</f>
        <v>1.1292554554268497</v>
      </c>
      <c r="AH15" s="112">
        <f>(TT!AB16/AH6)*10^-6</f>
        <v>1.0691645650446597</v>
      </c>
      <c r="AI15" s="35"/>
      <c r="AJ15" s="35"/>
      <c r="AK15" s="35"/>
      <c r="AL15" s="35"/>
    </row>
    <row r="16" spans="1:38" s="125" customFormat="1" x14ac:dyDescent="0.25">
      <c r="A16" s="319" t="s">
        <v>14</v>
      </c>
      <c r="B16" s="88">
        <f t="shared" ref="B16:B20" si="59">SUM(C16:AH16)</f>
        <v>12.896325088696786</v>
      </c>
      <c r="C16" s="93" t="s">
        <v>2</v>
      </c>
      <c r="D16" s="93" t="s">
        <v>2</v>
      </c>
      <c r="E16" s="93" t="s">
        <v>2</v>
      </c>
      <c r="F16" s="93" t="s">
        <v>2</v>
      </c>
      <c r="G16" s="93" t="s">
        <v>2</v>
      </c>
      <c r="H16" s="93" t="s">
        <v>2</v>
      </c>
      <c r="I16" s="93" t="s">
        <v>2</v>
      </c>
      <c r="J16" s="112">
        <f>(TT!C15/J7)*10^-6</f>
        <v>0.62003041570665673</v>
      </c>
      <c r="K16" s="112">
        <f>(TT!D15/K7)*10^-6</f>
        <v>0.6103837736035389</v>
      </c>
      <c r="L16" s="112">
        <f>(TT!E15/L7)*10^-6</f>
        <v>0.60077307749706244</v>
      </c>
      <c r="M16" s="112">
        <f>(TT!F15/M7)*10^-6</f>
        <v>0.59120441704252036</v>
      </c>
      <c r="N16" s="112">
        <f>(TT!G15/N7)*10^-6</f>
        <v>0.58168349666370922</v>
      </c>
      <c r="O16" s="112">
        <f>(TT!H15/O7)*10^-6</f>
        <v>0.57274532497350561</v>
      </c>
      <c r="P16" s="112">
        <f>(TT!I15/P7)*10^-6</f>
        <v>0.56383436024291855</v>
      </c>
      <c r="Q16" s="112">
        <f>(TT!J15/Q7)*10^-6</f>
        <v>0.55495660017617743</v>
      </c>
      <c r="R16" s="112">
        <f>(TT!K15/R7)*10^-6</f>
        <v>0.54611767001603073</v>
      </c>
      <c r="S16" s="112">
        <f>(TT!L15/S7)*10^-6</f>
        <v>0.53732283915246082</v>
      </c>
      <c r="T16" s="112">
        <f>(TT!M15/T7)*10^-6</f>
        <v>0.52906631508574997</v>
      </c>
      <c r="U16" s="112">
        <f>(TT!N15/U7)*10^-6</f>
        <v>0.52083492310696977</v>
      </c>
      <c r="V16" s="112">
        <f>(TT!O15/V7)*10^-6</f>
        <v>0.51263420352022593</v>
      </c>
      <c r="W16" s="112">
        <f>(TT!P15/W7)*10^-6</f>
        <v>0.50446935257299996</v>
      </c>
      <c r="X16" s="112">
        <f>(TT!Q15/X7)*10^-6</f>
        <v>0.49634523779824119</v>
      </c>
      <c r="Y16" s="112">
        <f>(TT!R15/Y7)*10^-6</f>
        <v>0.48871837717987887</v>
      </c>
      <c r="Z16" s="112">
        <f>(TT!S15/Z7)*10^-6</f>
        <v>0.48111473201273391</v>
      </c>
      <c r="AA16" s="112">
        <f>(TT!T15/AA7)*10^-6</f>
        <v>0.4735394200832812</v>
      </c>
      <c r="AB16" s="112">
        <f>(TT!U15/AB7)*10^-6</f>
        <v>0.46599724136000126</v>
      </c>
      <c r="AC16" s="112">
        <f>(TT!V15/AC7)*10^-6</f>
        <v>0.45849269216544569</v>
      </c>
      <c r="AD16" s="112">
        <f>(TT!W15/AD7)*10^-6</f>
        <v>0.45135934054345589</v>
      </c>
      <c r="AE16" s="112">
        <f>(TT!X15/AE7)*10^-6</f>
        <v>0.44425256796500456</v>
      </c>
      <c r="AF16" s="112">
        <f>(TT!Y15/AF7)*10^-6</f>
        <v>0.43717687761754503</v>
      </c>
      <c r="AG16" s="112">
        <f>(TT!Z15/AG7)*10^-6</f>
        <v>0.43013648781896335</v>
      </c>
      <c r="AH16" s="112">
        <f>(TT!AA15/AH7)*10^-6</f>
        <v>0.42313534479170473</v>
      </c>
      <c r="AI16" s="35"/>
      <c r="AJ16" s="35"/>
      <c r="AK16" s="35"/>
      <c r="AL16" s="35"/>
    </row>
    <row r="17" spans="1:38" s="125" customFormat="1" x14ac:dyDescent="0.25">
      <c r="A17" s="83" t="s">
        <v>15</v>
      </c>
      <c r="B17" s="88">
        <f t="shared" si="59"/>
        <v>5.104303487713703</v>
      </c>
      <c r="C17" s="93" t="s">
        <v>2</v>
      </c>
      <c r="D17" s="93" t="s">
        <v>2</v>
      </c>
      <c r="E17" s="93" t="s">
        <v>2</v>
      </c>
      <c r="F17" s="93" t="s">
        <v>2</v>
      </c>
      <c r="G17" s="93" t="s">
        <v>2</v>
      </c>
      <c r="H17" s="93" t="s">
        <v>2</v>
      </c>
      <c r="I17" s="93" t="s">
        <v>2</v>
      </c>
      <c r="J17" s="112">
        <f>(Emissions!K4/J7)*10^-6</f>
        <v>0.20039202302209058</v>
      </c>
      <c r="K17" s="112">
        <f>(Emissions!L4/K7)*10^-6</f>
        <v>0.20403805218583723</v>
      </c>
      <c r="L17" s="112">
        <f>(Emissions!M4/L7)*10^-6</f>
        <v>0.20413475944956241</v>
      </c>
      <c r="M17" s="112">
        <f>(Emissions!N4/M7)*10^-6</f>
        <v>0.20413989546123346</v>
      </c>
      <c r="N17" s="112">
        <f>(Emissions!O4/N7)*10^-6</f>
        <v>0.20424505878768398</v>
      </c>
      <c r="O17" s="112">
        <f>(Emissions!P4/O7)*10^-6</f>
        <v>0.20425889051479174</v>
      </c>
      <c r="P17" s="112">
        <f>(Emissions!Q4/P7)*10^-6</f>
        <v>0.20418405937504747</v>
      </c>
      <c r="Q17" s="112">
        <f>(Emissions!R4/Q7)*10^-6</f>
        <v>0.20402323075200041</v>
      </c>
      <c r="R17" s="112">
        <f>(Emissions!S4/R7)*10^-6</f>
        <v>0.20377906243763236</v>
      </c>
      <c r="S17" s="112">
        <f>(Emissions!T4/S7)*10^-6</f>
        <v>0.20663727140623592</v>
      </c>
      <c r="T17" s="112">
        <f>(Emissions!U4/T7)*10^-6</f>
        <v>0.20637048896147267</v>
      </c>
      <c r="U17" s="112">
        <f>(Emissions!V4/U7)*10^-6</f>
        <v>0.20602284701841142</v>
      </c>
      <c r="V17" s="112">
        <f>(Emissions!W4/V7)*10^-6</f>
        <v>0.20559698416968142</v>
      </c>
      <c r="W17" s="112">
        <f>(Emissions!X4/W7)*10^-6</f>
        <v>0.20509552083130225</v>
      </c>
      <c r="X17" s="112">
        <f>(Emissions!Y4/X7)*10^-6</f>
        <v>0.2047103712890472</v>
      </c>
      <c r="Y17" s="112">
        <f>(Emissions!Z4/Y7)*10^-6</f>
        <v>0.20424873482756331</v>
      </c>
      <c r="Z17" s="112">
        <f>(Emissions!AA4/Z7)*10^-6</f>
        <v>0.20639364424791642</v>
      </c>
      <c r="AA17" s="112">
        <f>(Emissions!AB4/AA7)*10^-6</f>
        <v>0.20574410691196951</v>
      </c>
      <c r="AB17" s="112">
        <f>(Emissions!AC4/AB7)*10^-6</f>
        <v>0.2050260125672691</v>
      </c>
      <c r="AC17" s="112">
        <f>(Emissions!AD4/AC7)*10^-6</f>
        <v>0.20406925342245685</v>
      </c>
      <c r="AD17" s="112">
        <f>(Emissions!AE4/AD7)*10^-6</f>
        <v>0.2030548598311735</v>
      </c>
      <c r="AE17" s="112">
        <f>(Emissions!AF4/AE7)*10^-6</f>
        <v>0.2019852368217801</v>
      </c>
      <c r="AF17" s="112">
        <f>(Emissions!AG4/AF7)*10^-6</f>
        <v>0.20328278272275685</v>
      </c>
      <c r="AG17" s="112">
        <f>(Emissions!AH4/AG7)*10^-6</f>
        <v>0.20206698090668218</v>
      </c>
      <c r="AH17" s="112">
        <f>(Emissions!AI4/AH7)*10^-6</f>
        <v>0.20080335979210398</v>
      </c>
      <c r="AI17" s="35"/>
      <c r="AJ17" s="35"/>
      <c r="AK17" s="35"/>
      <c r="AL17" s="35"/>
    </row>
    <row r="18" spans="1:38" s="54" customFormat="1" x14ac:dyDescent="0.25">
      <c r="A18" s="83" t="s">
        <v>16</v>
      </c>
      <c r="B18" s="88">
        <f t="shared" si="59"/>
        <v>2.609798211738533</v>
      </c>
      <c r="C18" s="93" t="s">
        <v>2</v>
      </c>
      <c r="D18" s="93" t="s">
        <v>2</v>
      </c>
      <c r="E18" s="93" t="s">
        <v>2</v>
      </c>
      <c r="F18" s="93" t="s">
        <v>2</v>
      </c>
      <c r="G18" s="93" t="s">
        <v>2</v>
      </c>
      <c r="H18" s="93" t="s">
        <v>2</v>
      </c>
      <c r="I18" s="93" t="s">
        <v>2</v>
      </c>
      <c r="J18" s="112">
        <f>(Emissions!K9/J6)*10^-6</f>
        <v>0.17744816735538652</v>
      </c>
      <c r="K18" s="112">
        <f>(Emissions!L9/K6)*10^-6</f>
        <v>0.17087268716112672</v>
      </c>
      <c r="L18" s="112">
        <f>(Emissions!M9/L6)*10^-6</f>
        <v>0.16449368835709571</v>
      </c>
      <c r="M18" s="112">
        <f>(Emissions!N9/M6)*10^-6</f>
        <v>0.15862325103258831</v>
      </c>
      <c r="N18" s="112">
        <f>(Emissions!O9/N6)*10^-6</f>
        <v>0.15034711687770849</v>
      </c>
      <c r="O18" s="112">
        <f>(Emissions!P9/O6)*10^-6</f>
        <v>0.14247495771308227</v>
      </c>
      <c r="P18" s="112">
        <f>(Emissions!Q9/P6)*10^-6</f>
        <v>0.13498933760877593</v>
      </c>
      <c r="Q18" s="112">
        <f>(Emissions!R9/Q6)*10^-6</f>
        <v>0.12787337301921409</v>
      </c>
      <c r="R18" s="112">
        <f>(Emissions!S9/R6)*10^-6</f>
        <v>0.12111073513175141</v>
      </c>
      <c r="S18" s="112">
        <f>(Emissions!T9/S6)*10^-6</f>
        <v>0.1147918084610292</v>
      </c>
      <c r="T18" s="112">
        <f>(Emissions!U9/T6)*10^-6</f>
        <v>0.10878132149082979</v>
      </c>
      <c r="U18" s="112">
        <f>(Emissions!V9/U6)*10^-6</f>
        <v>0.10306596168167227</v>
      </c>
      <c r="V18" s="112">
        <f>(Emissions!W9/V6)*10^-6</f>
        <v>9.7632838246090342E-2</v>
      </c>
      <c r="W18" s="112">
        <f>(Emissions!X9/W6)*10^-6</f>
        <v>9.2469483941795008E-2</v>
      </c>
      <c r="X18" s="112">
        <f>(Emissions!Y9/X6)*10^-6</f>
        <v>8.7644908418641893E-2</v>
      </c>
      <c r="Y18" s="112">
        <f>(Emissions!Z9/Y6)*10^-6</f>
        <v>8.3055830268231823E-2</v>
      </c>
      <c r="Z18" s="112">
        <f>(Emissions!AA9/Z6)*10^-6</f>
        <v>7.8692085208642001E-2</v>
      </c>
      <c r="AA18" s="112">
        <f>(Emissions!AB9/AA6)*10^-6</f>
        <v>7.4543830970619313E-2</v>
      </c>
      <c r="AB18" s="112">
        <f>(Emissions!AC9/AB6)*10^-6</f>
        <v>7.060154866668121E-2</v>
      </c>
      <c r="AC18" s="112">
        <f>(Emissions!AD9/AC6)*10^-6</f>
        <v>6.6799527271489537E-2</v>
      </c>
      <c r="AD18" s="112">
        <f>(Emissions!AE9/AD6)*10^-6</f>
        <v>6.3192802597874367E-2</v>
      </c>
      <c r="AE18" s="112">
        <f>Emissions!AF9/AE6/1000000</f>
        <v>5.9772093884148531E-2</v>
      </c>
      <c r="AF18" s="112">
        <f>Emissions!AG9/AF6/1000000</f>
        <v>5.652849883326358E-2</v>
      </c>
      <c r="AG18" s="112">
        <f>Emissions!AH9/AG6/1000000</f>
        <v>5.3453483814337961E-2</v>
      </c>
      <c r="AH18" s="112">
        <f>Emissions!AI9/AH6/1000000</f>
        <v>5.053887372645615E-2</v>
      </c>
      <c r="AI18" s="35"/>
      <c r="AJ18" s="35"/>
      <c r="AK18" s="35"/>
      <c r="AL18" s="35"/>
    </row>
    <row r="19" spans="1:38" s="54" customFormat="1" x14ac:dyDescent="0.25">
      <c r="A19" s="83" t="s">
        <v>17</v>
      </c>
      <c r="B19" s="88">
        <f t="shared" si="59"/>
        <v>5.1295237560375879</v>
      </c>
      <c r="C19" s="93" t="s">
        <v>2</v>
      </c>
      <c r="D19" s="93" t="s">
        <v>2</v>
      </c>
      <c r="E19" s="93" t="s">
        <v>2</v>
      </c>
      <c r="F19" s="93" t="s">
        <v>2</v>
      </c>
      <c r="G19" s="93" t="s">
        <v>2</v>
      </c>
      <c r="H19" s="93" t="s">
        <v>2</v>
      </c>
      <c r="I19" s="93" t="s">
        <v>2</v>
      </c>
      <c r="J19" s="112">
        <f>('Shipper Costs'!T48/J6)*10^-6</f>
        <v>0.36400119129041508</v>
      </c>
      <c r="K19" s="112">
        <f>('Shipper Costs'!U48/K6)*10^-6</f>
        <v>0.34487660491220984</v>
      </c>
      <c r="L19" s="112">
        <f>('Shipper Costs'!V48/L6)*10^-6</f>
        <v>0.32669643044957086</v>
      </c>
      <c r="M19" s="112">
        <f>('Shipper Costs'!W48/M6)*10^-6</f>
        <v>0.30941895034489647</v>
      </c>
      <c r="N19" s="112">
        <f>('Shipper Costs'!X48/N6)*10^-6</f>
        <v>0.29327508286994247</v>
      </c>
      <c r="O19" s="112">
        <f>('Shipper Costs'!Y48/O6)*10^-6</f>
        <v>0.27791923049766842</v>
      </c>
      <c r="P19" s="112">
        <f>('Shipper Costs'!Z48/P6)*10^-6</f>
        <v>0.26331738177576031</v>
      </c>
      <c r="Q19" s="112">
        <f>('Shipper Costs'!AA48/Q6)*10^-6</f>
        <v>0.24943660276221377</v>
      </c>
      <c r="R19" s="112">
        <f>('Shipper Costs'!AB48/R6)*10^-6</f>
        <v>0.23624504160658311</v>
      </c>
      <c r="S19" s="112">
        <f>('Shipper Costs'!AC48/S6)*10^-6</f>
        <v>0.22391900715051483</v>
      </c>
      <c r="T19" s="112">
        <f>('Shipper Costs'!AD48/T6)*10^-6</f>
        <v>0.21219463157963028</v>
      </c>
      <c r="U19" s="112">
        <f>('Shipper Costs'!AE48/U6)*10^-6</f>
        <v>0.20104594674634807</v>
      </c>
      <c r="V19" s="112">
        <f>('Shipper Costs'!AF48/V6)*10^-6</f>
        <v>0.19044780719499918</v>
      </c>
      <c r="W19" s="112">
        <f>('Shipper Costs'!AG48/W6)*10^-6</f>
        <v>0.18037589365966486</v>
      </c>
      <c r="X19" s="112">
        <f>('Shipper Costs'!AH48/X6)*10^-6</f>
        <v>0.17096482003385047</v>
      </c>
      <c r="Y19" s="112">
        <f>('Shipper Costs'!AI48/Y6)*10^-6</f>
        <v>0.16201312010898347</v>
      </c>
      <c r="Z19" s="112">
        <f>('Shipper Costs'!AJ48/Z6)*10^-6</f>
        <v>0.15350096689612561</v>
      </c>
      <c r="AA19" s="112">
        <f>('Shipper Costs'!AK48/AA6)*10^-6</f>
        <v>0.14540916154137934</v>
      </c>
      <c r="AB19" s="112">
        <f>('Shipper Costs'!AL48/AB6)*10^-6</f>
        <v>0.13771913599652921</v>
      </c>
      <c r="AC19" s="112">
        <f>('Shipper Costs'!AM48/AC6)*10^-6</f>
        <v>0.13050818587470858</v>
      </c>
      <c r="AD19" s="112">
        <f>('Shipper Costs'!AN48/AD6)*10^-6</f>
        <v>0.12365130734155572</v>
      </c>
      <c r="AE19" s="112">
        <f>('Shipper Costs'!AO48/AE6)*10^-6</f>
        <v>0.11713303505652949</v>
      </c>
      <c r="AF19" s="112">
        <f>('Shipper Costs'!AP48/AF6)*10^-6</f>
        <v>0.11093841180838276</v>
      </c>
      <c r="AG19" s="112">
        <f>('Shipper Costs'!AQ48/AG6)*10^-6</f>
        <v>0.10505298822028969</v>
      </c>
      <c r="AH19" s="112">
        <f>('Shipper Costs'!AR48/AH6)*10^-6</f>
        <v>9.9462820318837547E-2</v>
      </c>
      <c r="AI19" s="35"/>
      <c r="AJ19" s="35"/>
      <c r="AK19" s="35"/>
      <c r="AL19" s="35"/>
    </row>
    <row r="20" spans="1:38" s="54" customFormat="1" x14ac:dyDescent="0.25">
      <c r="A20" s="83" t="s">
        <v>18</v>
      </c>
      <c r="B20" s="88">
        <f t="shared" si="59"/>
        <v>99.981775381768088</v>
      </c>
      <c r="C20" s="93" t="s">
        <v>2</v>
      </c>
      <c r="D20" s="93" t="s">
        <v>2</v>
      </c>
      <c r="E20" s="93" t="s">
        <v>2</v>
      </c>
      <c r="F20" s="93" t="s">
        <v>2</v>
      </c>
      <c r="G20" s="93" t="s">
        <v>2</v>
      </c>
      <c r="H20" s="93" t="s">
        <v>2</v>
      </c>
      <c r="I20" s="93" t="s">
        <v>2</v>
      </c>
      <c r="J20" s="112">
        <f>(Safety!E51/J6)*10^-6</f>
        <v>7.1064498435739294</v>
      </c>
      <c r="K20" s="112">
        <f>(Safety!F51/K6)*10^-6</f>
        <v>6.7318337068246077</v>
      </c>
      <c r="L20" s="112">
        <f>(Safety!G51/L6)*10^-6</f>
        <v>6.3758182278196625</v>
      </c>
      <c r="M20" s="112">
        <f>(Safety!H51/M6)*10^-6</f>
        <v>6.0375729764254249</v>
      </c>
      <c r="N20" s="112">
        <f>(Safety!I51/N6)*10^-6</f>
        <v>5.7214467004738152</v>
      </c>
      <c r="O20" s="112">
        <f>(Safety!J51/O6)*10^-6</f>
        <v>5.4208428356961678</v>
      </c>
      <c r="P20" s="112">
        <f>(Safety!K51/P6)*10^-6</f>
        <v>5.1350833853751263</v>
      </c>
      <c r="Q20" s="112">
        <f>(Safety!L51/Q6)*10^-6</f>
        <v>4.8635126290563386</v>
      </c>
      <c r="R20" s="112">
        <f>(Safety!M51/R6)*10^-6</f>
        <v>4.60549710962131</v>
      </c>
      <c r="S20" s="112">
        <f>(Safety!N51/S6)*10^-6</f>
        <v>4.3643540781655714</v>
      </c>
      <c r="T20" s="112">
        <f>(Safety!O51/T6)*10^-6</f>
        <v>4.1350516356476641</v>
      </c>
      <c r="U20" s="112">
        <f>(Safety!P51/U6)*10^-6</f>
        <v>3.9170726020791604</v>
      </c>
      <c r="V20" s="112">
        <f>(Safety!Q51/V6)*10^-6</f>
        <v>3.7099167899395042</v>
      </c>
      <c r="W20" s="112">
        <f>(Safety!R51/W6)*10^-6</f>
        <v>3.5131009943151188</v>
      </c>
      <c r="X20" s="112">
        <f>(Safety!S51/X6)*10^-6</f>
        <v>3.3291556343648265</v>
      </c>
      <c r="Y20" s="112">
        <f>(Safety!T51/Y6)*10^-6</f>
        <v>3.1542423471269196</v>
      </c>
      <c r="Z20" s="112">
        <f>(Safety!U51/Z6)*10^-6</f>
        <v>2.9879666245844883</v>
      </c>
      <c r="AA20" s="112">
        <f>(Safety!V51/AA6)*10^-6</f>
        <v>2.8299469206776888</v>
      </c>
      <c r="AB20" s="112">
        <f>(Safety!W51/AB6)*10^-6</f>
        <v>2.6798146437817847</v>
      </c>
      <c r="AC20" s="112">
        <f>(Safety!X51/AC6)*10^-6</f>
        <v>2.5395000129049117</v>
      </c>
      <c r="AD20" s="112">
        <f>(Safety!Y51/AD6)*10^-6</f>
        <v>2.4060751016112536</v>
      </c>
      <c r="AE20" s="112">
        <f>(Safety!Z51/AE6)*10^-6</f>
        <v>2.2792389768042391</v>
      </c>
      <c r="AF20" s="112">
        <f>(Safety!AA51/AF6)*10^-6</f>
        <v>2.1587005928463769</v>
      </c>
      <c r="AG20" s="112">
        <f>(Safety!AB51/AG6)*10^-6</f>
        <v>2.0441787858214751</v>
      </c>
      <c r="AH20" s="112">
        <f>(Safety!AC51/AH6)*10^-6</f>
        <v>1.9354022262307451</v>
      </c>
      <c r="AI20" s="125"/>
      <c r="AJ20" s="125"/>
      <c r="AK20" s="125"/>
      <c r="AL20" s="125"/>
    </row>
    <row r="21" spans="1:38" s="54" customFormat="1" x14ac:dyDescent="0.25">
      <c r="A21" s="84" t="s">
        <v>11</v>
      </c>
      <c r="B21" s="224">
        <f>B15+SUM(B17:B20)</f>
        <v>167.96464802459604</v>
      </c>
      <c r="C21" s="94"/>
      <c r="D21" s="94"/>
      <c r="E21" s="94"/>
      <c r="F21" s="94"/>
      <c r="G21" s="94"/>
      <c r="H21" s="94"/>
      <c r="I21" s="94"/>
      <c r="J21" s="93"/>
      <c r="K21" s="93"/>
      <c r="L21" s="93"/>
      <c r="M21" s="93"/>
      <c r="N21" s="93"/>
      <c r="O21" s="93"/>
      <c r="P21" s="93"/>
      <c r="Q21" s="93"/>
      <c r="R21" s="93"/>
      <c r="S21" s="93"/>
      <c r="T21" s="93"/>
      <c r="U21" s="93"/>
      <c r="V21" s="93"/>
      <c r="W21" s="93"/>
      <c r="X21" s="93"/>
      <c r="Y21" s="93"/>
      <c r="Z21" s="93"/>
      <c r="AA21" s="93"/>
      <c r="AB21" s="93"/>
      <c r="AC21" s="93"/>
      <c r="AD21" s="93"/>
      <c r="AE21" s="93"/>
      <c r="AF21" s="93"/>
      <c r="AG21" s="125"/>
      <c r="AH21" s="125"/>
      <c r="AI21" s="125"/>
      <c r="AJ21" s="125"/>
      <c r="AK21" s="125"/>
      <c r="AL21" s="125"/>
    </row>
    <row r="22" spans="1:38" s="54" customFormat="1" x14ac:dyDescent="0.25">
      <c r="A22" s="84"/>
      <c r="B22" s="86"/>
      <c r="C22" s="125"/>
      <c r="D22" s="125"/>
      <c r="E22" s="125"/>
      <c r="F22" s="125"/>
      <c r="G22" s="125"/>
      <c r="H22" s="125"/>
      <c r="I22" s="125"/>
      <c r="J22" s="35"/>
      <c r="K22" s="35"/>
      <c r="L22" s="35"/>
      <c r="M22" s="35"/>
      <c r="N22" s="35"/>
      <c r="O22" s="35"/>
      <c r="P22" s="35"/>
      <c r="Q22" s="35"/>
      <c r="R22" s="35"/>
      <c r="S22" s="35"/>
      <c r="T22" s="35"/>
      <c r="U22" s="35"/>
      <c r="V22" s="35"/>
      <c r="W22" s="35"/>
      <c r="X22" s="35"/>
      <c r="Y22" s="35"/>
      <c r="Z22" s="35"/>
      <c r="AA22" s="35"/>
      <c r="AB22" s="35"/>
      <c r="AC22" s="35"/>
      <c r="AD22" s="35"/>
      <c r="AE22" s="35"/>
      <c r="AF22" s="35"/>
      <c r="AG22" s="125"/>
      <c r="AH22" s="125"/>
      <c r="AI22" s="125"/>
      <c r="AJ22" s="125"/>
      <c r="AK22" s="125"/>
      <c r="AL22" s="125"/>
    </row>
    <row r="23" spans="1:38" s="54" customFormat="1" x14ac:dyDescent="0.25">
      <c r="A23" s="58" t="s">
        <v>19</v>
      </c>
      <c r="B23" s="86"/>
      <c r="C23" s="125"/>
      <c r="D23" s="125"/>
      <c r="E23" s="125"/>
      <c r="F23" s="125"/>
      <c r="G23" s="125"/>
      <c r="H23" s="125"/>
      <c r="I23" s="125"/>
      <c r="J23" s="35"/>
      <c r="K23" s="35"/>
      <c r="L23" s="35"/>
      <c r="M23" s="35"/>
      <c r="N23" s="35"/>
      <c r="O23" s="35"/>
      <c r="P23" s="35"/>
      <c r="Q23" s="35"/>
      <c r="R23" s="35"/>
      <c r="S23" s="35"/>
      <c r="T23" s="35"/>
      <c r="U23" s="35"/>
      <c r="V23" s="35"/>
      <c r="W23" s="35"/>
      <c r="X23" s="35"/>
      <c r="Y23" s="35"/>
      <c r="Z23" s="35"/>
      <c r="AA23" s="35"/>
      <c r="AB23" s="35"/>
      <c r="AC23" s="35"/>
      <c r="AD23" s="35"/>
      <c r="AE23" s="35"/>
      <c r="AF23" s="35"/>
      <c r="AG23" s="125"/>
      <c r="AH23" s="125"/>
      <c r="AI23" s="125"/>
      <c r="AJ23" s="125"/>
      <c r="AK23" s="125"/>
      <c r="AL23" s="125"/>
    </row>
    <row r="24" spans="1:38" s="54" customFormat="1" x14ac:dyDescent="0.25">
      <c r="A24" s="125" t="s">
        <v>20</v>
      </c>
      <c r="B24" s="85">
        <f>B21/B12</f>
        <v>1.2249255632380236</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row>
    <row r="25" spans="1:38" s="54" customFormat="1" x14ac:dyDescent="0.25">
      <c r="A25" s="125" t="s">
        <v>21</v>
      </c>
      <c r="B25" s="91">
        <f>B21-B12</f>
        <v>30.842317439388324</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row>
    <row r="26" spans="1:38" s="54" customFormat="1" x14ac:dyDescent="0.25">
      <c r="A26" s="125"/>
      <c r="B26" s="91"/>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row>
    <row r="27" spans="1:38" s="54" customFormat="1" x14ac:dyDescent="0.25">
      <c r="A27" s="58" t="s">
        <v>22</v>
      </c>
      <c r="B27" s="125"/>
      <c r="C27" s="125"/>
      <c r="D27" s="125"/>
      <c r="E27" s="125"/>
      <c r="F27" s="125"/>
      <c r="G27" s="125"/>
      <c r="H27" s="125"/>
      <c r="I27" s="125"/>
      <c r="J27" s="125" t="s">
        <v>23</v>
      </c>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row>
    <row r="28" spans="1:38" s="54" customFormat="1" x14ac:dyDescent="0.25">
      <c r="A28" s="83" t="s">
        <v>24</v>
      </c>
      <c r="B28" s="92">
        <f>B15/$B$21</f>
        <v>0.32827888389504289</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row>
    <row r="29" spans="1:38" s="54" customFormat="1" x14ac:dyDescent="0.25">
      <c r="A29" s="83" t="s">
        <v>25</v>
      </c>
      <c r="B29" s="92">
        <f>(B18+B17)/$B$21</f>
        <v>4.5926936353432035E-2</v>
      </c>
      <c r="C29" s="125"/>
      <c r="D29" s="125"/>
      <c r="E29" s="125"/>
      <c r="F29" s="125"/>
      <c r="G29" s="125" t="s">
        <v>23</v>
      </c>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row>
    <row r="30" spans="1:38" s="54" customFormat="1" x14ac:dyDescent="0.25">
      <c r="A30" s="83" t="s">
        <v>17</v>
      </c>
      <c r="B30" s="92">
        <f>B19/$B$21</f>
        <v>3.0539305838252595E-2</v>
      </c>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row>
    <row r="31" spans="1:38" s="54" customFormat="1" x14ac:dyDescent="0.25">
      <c r="A31" s="83" t="s">
        <v>18</v>
      </c>
      <c r="B31" s="92">
        <f>B20/$B$21</f>
        <v>0.59525487391327236</v>
      </c>
      <c r="C31" s="125"/>
      <c r="D31" s="125"/>
      <c r="E31" s="125"/>
      <c r="F31" s="125"/>
      <c r="G31" s="125"/>
      <c r="H31" s="125"/>
      <c r="I31" s="125"/>
      <c r="J31" s="125"/>
      <c r="K31" s="125"/>
      <c r="L31" s="125"/>
      <c r="M31" s="125"/>
      <c r="N31" s="125"/>
      <c r="O31" s="125"/>
      <c r="P31" s="35"/>
      <c r="Q31" s="125"/>
      <c r="R31" s="125"/>
      <c r="S31" s="125"/>
      <c r="T31" s="125"/>
      <c r="U31" s="125"/>
      <c r="V31" s="125"/>
      <c r="W31" s="125"/>
      <c r="X31" s="125"/>
      <c r="Y31" s="125"/>
      <c r="Z31" s="125"/>
      <c r="AA31" s="125"/>
      <c r="AB31" s="125"/>
      <c r="AC31" s="125"/>
      <c r="AD31" s="125"/>
      <c r="AE31" s="125"/>
      <c r="AF31" s="125"/>
      <c r="AG31" s="125"/>
      <c r="AH31" s="125"/>
      <c r="AI31" s="125"/>
      <c r="AJ31" s="125"/>
      <c r="AK31" s="125"/>
      <c r="AL31" s="125"/>
    </row>
    <row r="32" spans="1:38" x14ac:dyDescent="0.25">
      <c r="A32" s="122"/>
      <c r="B32" s="122"/>
      <c r="C32" s="8"/>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row>
    <row r="33" spans="1:2" x14ac:dyDescent="0.25">
      <c r="A33" s="58" t="s">
        <v>26</v>
      </c>
      <c r="B33" s="92">
        <f>(B16+B19)/B21</f>
        <v>0.1073193023456623</v>
      </c>
    </row>
    <row r="37" spans="1:2" x14ac:dyDescent="0.25">
      <c r="A37" s="122"/>
      <c r="B37" s="12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E9DF5-1FAB-438B-B2E2-FB8803CDE035}">
  <sheetPr>
    <tabColor theme="0" tint="-0.499984740745262"/>
  </sheetPr>
  <dimension ref="A1:I45"/>
  <sheetViews>
    <sheetView workbookViewId="0">
      <selection activeCell="C2" sqref="C2"/>
    </sheetView>
  </sheetViews>
  <sheetFormatPr defaultRowHeight="15" x14ac:dyDescent="0.25"/>
  <sheetData>
    <row r="1" spans="1:8" ht="15.75" thickBot="1" x14ac:dyDescent="0.3">
      <c r="A1" s="307" t="s">
        <v>190</v>
      </c>
      <c r="B1" s="308" t="s">
        <v>191</v>
      </c>
      <c r="C1" s="309">
        <v>2025</v>
      </c>
      <c r="D1" s="309">
        <v>2030</v>
      </c>
      <c r="E1" s="309">
        <v>2035</v>
      </c>
      <c r="F1" s="309">
        <v>2040</v>
      </c>
      <c r="G1" s="309">
        <v>2045</v>
      </c>
      <c r="H1" s="310">
        <v>2050</v>
      </c>
    </row>
    <row r="2" spans="1:8" x14ac:dyDescent="0.25">
      <c r="A2" s="311">
        <v>1</v>
      </c>
      <c r="B2" s="312" t="s">
        <v>195</v>
      </c>
      <c r="C2" s="313">
        <v>2937.8446548393113</v>
      </c>
      <c r="D2" s="313">
        <v>3146.0347097535728</v>
      </c>
      <c r="E2" s="313">
        <v>3368.9781311856354</v>
      </c>
      <c r="F2" s="313">
        <v>3607.7204149143327</v>
      </c>
      <c r="G2" s="313">
        <v>3863.3811456677777</v>
      </c>
      <c r="H2" s="314">
        <v>4133.3346176257564</v>
      </c>
    </row>
    <row r="3" spans="1:8" x14ac:dyDescent="0.25">
      <c r="A3" s="315">
        <v>2</v>
      </c>
      <c r="B3" s="99" t="s">
        <v>198</v>
      </c>
      <c r="C3" s="102">
        <v>9332.7241145063308</v>
      </c>
      <c r="D3" s="102">
        <v>9994.0866350528777</v>
      </c>
      <c r="E3" s="102">
        <v>10702.316541607743</v>
      </c>
      <c r="F3" s="102">
        <v>11460.735086589997</v>
      </c>
      <c r="G3" s="102">
        <v>12272.898882624846</v>
      </c>
      <c r="H3" s="316">
        <v>13130.466784789754</v>
      </c>
    </row>
    <row r="4" spans="1:8" x14ac:dyDescent="0.25">
      <c r="A4" s="315">
        <v>3</v>
      </c>
      <c r="B4" s="99" t="s">
        <v>199</v>
      </c>
      <c r="C4" s="102">
        <v>2516.1225315866259</v>
      </c>
      <c r="D4" s="102">
        <v>2694.4272922413998</v>
      </c>
      <c r="E4" s="102">
        <v>2885.3676011546727</v>
      </c>
      <c r="F4" s="102">
        <v>3089.8388751353177</v>
      </c>
      <c r="G4" s="102">
        <v>3308.7999846109406</v>
      </c>
      <c r="H4" s="316">
        <v>3540.002138936783</v>
      </c>
    </row>
    <row r="5" spans="1:8" x14ac:dyDescent="0.25">
      <c r="A5" s="315">
        <v>4</v>
      </c>
      <c r="B5" s="99" t="s">
        <v>200</v>
      </c>
      <c r="C5" s="102">
        <v>2880.768139854732</v>
      </c>
      <c r="D5" s="102">
        <v>3084.9134734902896</v>
      </c>
      <c r="E5" s="102">
        <v>3303.5255448922817</v>
      </c>
      <c r="F5" s="102">
        <v>3537.6295379229855</v>
      </c>
      <c r="G5" s="102">
        <v>3788.3232859921072</v>
      </c>
      <c r="H5" s="316">
        <v>4053.0320955538054</v>
      </c>
    </row>
    <row r="6" spans="1:8" x14ac:dyDescent="0.25">
      <c r="A6" s="315">
        <v>5</v>
      </c>
      <c r="B6" s="99" t="s">
        <v>201</v>
      </c>
      <c r="C6" s="102">
        <v>3257.7037936604024</v>
      </c>
      <c r="D6" s="102">
        <v>3488.5606330713526</v>
      </c>
      <c r="E6" s="102">
        <v>3735.777118318284</v>
      </c>
      <c r="F6" s="102">
        <v>4000.5125739963064</v>
      </c>
      <c r="G6" s="102">
        <v>4284.0084801169933</v>
      </c>
      <c r="H6" s="316">
        <v>4583.3532559752684</v>
      </c>
    </row>
    <row r="7" spans="1:8" x14ac:dyDescent="0.25">
      <c r="A7" s="315">
        <v>6</v>
      </c>
      <c r="B7" s="99" t="s">
        <v>204</v>
      </c>
      <c r="C7" s="102">
        <v>4618.0872022746471</v>
      </c>
      <c r="D7" s="102">
        <v>4945.3474699871331</v>
      </c>
      <c r="E7" s="102">
        <v>5295.799002422923</v>
      </c>
      <c r="F7" s="102">
        <v>5671.0852461367258</v>
      </c>
      <c r="G7" s="102">
        <v>6072.966110351872</v>
      </c>
      <c r="H7" s="316">
        <v>6497.3141683763824</v>
      </c>
    </row>
    <row r="8" spans="1:8" x14ac:dyDescent="0.25">
      <c r="A8" s="315">
        <v>7</v>
      </c>
      <c r="B8" s="99" t="s">
        <v>206</v>
      </c>
      <c r="C8" s="102">
        <v>20201.76830748775</v>
      </c>
      <c r="D8" s="102">
        <v>21633.364510633863</v>
      </c>
      <c r="E8" s="102">
        <v>23166.410629335285</v>
      </c>
      <c r="F8" s="102">
        <v>24808.095901271983</v>
      </c>
      <c r="G8" s="102">
        <v>26566.119028701974</v>
      </c>
      <c r="H8" s="316">
        <v>28422.42463196583</v>
      </c>
    </row>
    <row r="9" spans="1:8" x14ac:dyDescent="0.25">
      <c r="A9" s="315">
        <v>8</v>
      </c>
      <c r="B9" s="99" t="s">
        <v>208</v>
      </c>
      <c r="C9" s="102">
        <v>2588.395277609417</v>
      </c>
      <c r="D9" s="102">
        <v>2771.8216388697592</v>
      </c>
      <c r="E9" s="102">
        <v>2968.2464900810969</v>
      </c>
      <c r="F9" s="102">
        <v>3178.5909678774733</v>
      </c>
      <c r="G9" s="102">
        <v>3403.8414851443858</v>
      </c>
      <c r="H9" s="316">
        <v>3641.6846572941795</v>
      </c>
    </row>
    <row r="10" spans="1:8" x14ac:dyDescent="0.25">
      <c r="A10" s="315">
        <v>9</v>
      </c>
      <c r="B10" s="99" t="s">
        <v>210</v>
      </c>
      <c r="C10" s="102">
        <v>27.103321614917682</v>
      </c>
      <c r="D10" s="102">
        <v>29.023995673048653</v>
      </c>
      <c r="E10" s="102">
        <v>31.080778097895355</v>
      </c>
      <c r="F10" s="102">
        <v>33.283314194662779</v>
      </c>
      <c r="G10" s="102">
        <v>35.641932782102863</v>
      </c>
      <c r="H10" s="316">
        <v>38.132410200467575</v>
      </c>
    </row>
    <row r="11" spans="1:8" x14ac:dyDescent="0.25">
      <c r="A11" s="315">
        <v>10</v>
      </c>
      <c r="B11" s="99" t="s">
        <v>212</v>
      </c>
      <c r="C11" s="102">
        <v>60.021222432065201</v>
      </c>
      <c r="D11" s="102">
        <v>64.274620096767876</v>
      </c>
      <c r="E11" s="102">
        <v>68.829434343156748</v>
      </c>
      <c r="F11" s="102">
        <v>73.707025025841489</v>
      </c>
      <c r="G11" s="102">
        <v>78.930265663299949</v>
      </c>
      <c r="H11" s="316">
        <v>84.445512141703134</v>
      </c>
    </row>
    <row r="12" spans="1:8" x14ac:dyDescent="0.25">
      <c r="A12" s="315">
        <v>11</v>
      </c>
      <c r="B12" s="99" t="s">
        <v>214</v>
      </c>
      <c r="C12" s="102">
        <v>300.3954796930754</v>
      </c>
      <c r="D12" s="102">
        <v>321.68297401660283</v>
      </c>
      <c r="E12" s="102">
        <v>344.47900440411246</v>
      </c>
      <c r="F12" s="102">
        <v>368.89047310636937</v>
      </c>
      <c r="G12" s="102">
        <v>395.03185799098429</v>
      </c>
      <c r="H12" s="316">
        <v>422.63467986587466</v>
      </c>
    </row>
    <row r="13" spans="1:8" x14ac:dyDescent="0.25">
      <c r="A13" s="315">
        <v>12</v>
      </c>
      <c r="B13" s="99" t="s">
        <v>216</v>
      </c>
      <c r="C13" s="102">
        <v>391.26848707744438</v>
      </c>
      <c r="D13" s="102">
        <v>418.99568758707397</v>
      </c>
      <c r="E13" s="102">
        <v>448.68777326760949</v>
      </c>
      <c r="F13" s="102">
        <v>480.48398550165996</v>
      </c>
      <c r="G13" s="102">
        <v>514.53343299788423</v>
      </c>
      <c r="H13" s="316">
        <v>550.48641859237921</v>
      </c>
    </row>
    <row r="14" spans="1:8" x14ac:dyDescent="0.25">
      <c r="A14" s="315">
        <v>13</v>
      </c>
      <c r="B14" s="99" t="s">
        <v>217</v>
      </c>
      <c r="C14" s="102">
        <v>2929.2114843129816</v>
      </c>
      <c r="D14" s="102">
        <v>3136.7897504987277</v>
      </c>
      <c r="E14" s="102">
        <v>3359.0780288578658</v>
      </c>
      <c r="F14" s="102">
        <v>3597.1187428681374</v>
      </c>
      <c r="G14" s="102">
        <v>3852.0281872382652</v>
      </c>
      <c r="H14" s="316">
        <v>4121.1883720652349</v>
      </c>
    </row>
    <row r="15" spans="1:8" x14ac:dyDescent="0.25">
      <c r="A15" s="315">
        <v>14</v>
      </c>
      <c r="B15" s="99" t="s">
        <v>218</v>
      </c>
      <c r="C15" s="102">
        <v>765.92734627457196</v>
      </c>
      <c r="D15" s="102">
        <v>820.20470774723276</v>
      </c>
      <c r="E15" s="102">
        <v>878.32842877705457</v>
      </c>
      <c r="F15" s="102">
        <v>940.5710812327045</v>
      </c>
      <c r="G15" s="102">
        <v>1007.2245527598824</v>
      </c>
      <c r="H15" s="316">
        <v>1077.6042939261802</v>
      </c>
    </row>
    <row r="16" spans="1:8" x14ac:dyDescent="0.25">
      <c r="A16" s="315">
        <v>15</v>
      </c>
      <c r="B16" s="99" t="s">
        <v>220</v>
      </c>
      <c r="C16" s="102">
        <v>20.136281306891579</v>
      </c>
      <c r="D16" s="102">
        <v>21.563236780573714</v>
      </c>
      <c r="E16" s="102">
        <v>23.09131330500194</v>
      </c>
      <c r="F16" s="102">
        <v>24.727676812885829</v>
      </c>
      <c r="G16" s="102">
        <v>26.480001050008706</v>
      </c>
      <c r="H16" s="316">
        <v>28.330289165877534</v>
      </c>
    </row>
    <row r="17" spans="1:8" x14ac:dyDescent="0.25">
      <c r="A17" s="315">
        <v>16</v>
      </c>
      <c r="B17" s="99" t="s">
        <v>222</v>
      </c>
      <c r="C17" s="102">
        <v>157.96517528823941</v>
      </c>
      <c r="D17" s="102">
        <v>169.15936095208224</v>
      </c>
      <c r="E17" s="102">
        <v>181.14682141493023</v>
      </c>
      <c r="F17" s="102">
        <v>193.98377201264012</v>
      </c>
      <c r="G17" s="102">
        <v>207.73041177497848</v>
      </c>
      <c r="H17" s="316">
        <v>222.24555894154756</v>
      </c>
    </row>
    <row r="18" spans="1:8" x14ac:dyDescent="0.25">
      <c r="A18" s="315">
        <v>17</v>
      </c>
      <c r="B18" s="99" t="s">
        <v>114</v>
      </c>
      <c r="C18" s="102">
        <v>10126.333453243045</v>
      </c>
      <c r="D18" s="102">
        <v>10843.93501676959</v>
      </c>
      <c r="E18" s="102">
        <v>11612.389340216941</v>
      </c>
      <c r="F18" s="102">
        <v>12435.30009911062</v>
      </c>
      <c r="G18" s="102">
        <v>13316.526343066249</v>
      </c>
      <c r="H18" s="316">
        <v>14247.017636880662</v>
      </c>
    </row>
    <row r="19" spans="1:8" x14ac:dyDescent="0.25">
      <c r="A19" s="315">
        <v>18</v>
      </c>
      <c r="B19" s="99" t="s">
        <v>223</v>
      </c>
      <c r="C19" s="102">
        <v>5373.5740917619441</v>
      </c>
      <c r="D19" s="102">
        <v>5754.3718590662747</v>
      </c>
      <c r="E19" s="102">
        <v>6162.1548204160881</v>
      </c>
      <c r="F19" s="102">
        <v>6598.8352787716303</v>
      </c>
      <c r="G19" s="102">
        <v>7066.4610522428893</v>
      </c>
      <c r="H19" s="316">
        <v>7560.2294958891798</v>
      </c>
    </row>
    <row r="20" spans="1:8" x14ac:dyDescent="0.25">
      <c r="A20" s="315">
        <v>19</v>
      </c>
      <c r="B20" s="99" t="s">
        <v>224</v>
      </c>
      <c r="C20" s="102">
        <v>208344.54998262014</v>
      </c>
      <c r="D20" s="102">
        <v>223108.86477731826</v>
      </c>
      <c r="E20" s="102">
        <v>238919.45119935262</v>
      </c>
      <c r="F20" s="102">
        <v>255850.45317842058</v>
      </c>
      <c r="G20" s="102">
        <v>273981.26884606096</v>
      </c>
      <c r="H20" s="316">
        <v>293125.68975296128</v>
      </c>
    </row>
    <row r="21" spans="1:8" x14ac:dyDescent="0.25">
      <c r="A21" s="315">
        <v>20</v>
      </c>
      <c r="B21" s="99" t="s">
        <v>225</v>
      </c>
      <c r="C21" s="102">
        <v>6995.523979310934</v>
      </c>
      <c r="D21" s="102">
        <v>7491.2610561532192</v>
      </c>
      <c r="E21" s="102">
        <v>8022.1284892179947</v>
      </c>
      <c r="F21" s="102">
        <v>8590.6157875332647</v>
      </c>
      <c r="G21" s="102">
        <v>9199.3888789245466</v>
      </c>
      <c r="H21" s="316">
        <v>9842.1954967862312</v>
      </c>
    </row>
    <row r="22" spans="1:8" x14ac:dyDescent="0.25">
      <c r="A22" s="315">
        <v>21</v>
      </c>
      <c r="B22" s="99" t="s">
        <v>226</v>
      </c>
      <c r="C22" s="102">
        <v>849.36418603173161</v>
      </c>
      <c r="D22" s="102">
        <v>909.55429044752327</v>
      </c>
      <c r="E22" s="102">
        <v>974.0097603321725</v>
      </c>
      <c r="F22" s="102">
        <v>1043.0328603645578</v>
      </c>
      <c r="G22" s="102">
        <v>1116.947275178487</v>
      </c>
      <c r="H22" s="316">
        <v>1194.9938834626712</v>
      </c>
    </row>
    <row r="23" spans="1:8" x14ac:dyDescent="0.25">
      <c r="A23" s="315">
        <v>22</v>
      </c>
      <c r="B23" s="99" t="s">
        <v>227</v>
      </c>
      <c r="C23" s="102">
        <v>24908.796263764314</v>
      </c>
      <c r="D23" s="102">
        <v>26673.95551187469</v>
      </c>
      <c r="E23" s="102">
        <v>28564.202585915958</v>
      </c>
      <c r="F23" s="102">
        <v>30588.40182162034</v>
      </c>
      <c r="G23" s="102">
        <v>32756.045724946805</v>
      </c>
      <c r="H23" s="316">
        <v>35044.871998528273</v>
      </c>
    </row>
    <row r="24" spans="1:8" x14ac:dyDescent="0.25">
      <c r="A24" s="315">
        <v>23</v>
      </c>
      <c r="B24" s="99" t="s">
        <v>228</v>
      </c>
      <c r="C24" s="102">
        <v>5634.7095588642087</v>
      </c>
      <c r="D24" s="102">
        <v>6034.0126637964258</v>
      </c>
      <c r="E24" s="102">
        <v>6461.6123415941765</v>
      </c>
      <c r="F24" s="102">
        <v>6919.5138259409532</v>
      </c>
      <c r="G24" s="102">
        <v>7409.8644511959965</v>
      </c>
      <c r="H24" s="316">
        <v>7927.6281819584738</v>
      </c>
    </row>
    <row r="25" spans="1:8" x14ac:dyDescent="0.25">
      <c r="A25" s="315">
        <v>24</v>
      </c>
      <c r="B25" s="99" t="s">
        <v>229</v>
      </c>
      <c r="C25" s="102">
        <v>10753.360056205705</v>
      </c>
      <c r="D25" s="102">
        <v>11515.395794523783</v>
      </c>
      <c r="E25" s="102">
        <v>12331.433115922762</v>
      </c>
      <c r="F25" s="102">
        <v>13205.298836952836</v>
      </c>
      <c r="G25" s="102">
        <v>14141.090961119737</v>
      </c>
      <c r="H25" s="316">
        <v>15129.198646665742</v>
      </c>
    </row>
    <row r="26" spans="1:8" x14ac:dyDescent="0.25">
      <c r="A26" s="315">
        <v>25</v>
      </c>
      <c r="B26" s="99" t="s">
        <v>230</v>
      </c>
      <c r="C26" s="102">
        <v>139.05631921643007</v>
      </c>
      <c r="D26" s="102">
        <v>148.91053076779852</v>
      </c>
      <c r="E26" s="102">
        <v>159.46305999251194</v>
      </c>
      <c r="F26" s="102">
        <v>170.76339309962552</v>
      </c>
      <c r="G26" s="102">
        <v>182.86452313323559</v>
      </c>
      <c r="H26" s="316">
        <v>195.6421681691422</v>
      </c>
    </row>
    <row r="27" spans="1:8" x14ac:dyDescent="0.25">
      <c r="A27" s="315">
        <v>26</v>
      </c>
      <c r="B27" s="99" t="s">
        <v>231</v>
      </c>
      <c r="C27" s="102">
        <v>8842.0549086699575</v>
      </c>
      <c r="D27" s="102">
        <v>9468.6462071440419</v>
      </c>
      <c r="E27" s="102">
        <v>10139.640832602501</v>
      </c>
      <c r="F27" s="102">
        <v>10858.185422178793</v>
      </c>
      <c r="G27" s="102">
        <v>11627.649599118497</v>
      </c>
      <c r="H27" s="316">
        <v>12440.130755297636</v>
      </c>
    </row>
    <row r="28" spans="1:8" x14ac:dyDescent="0.25">
      <c r="A28" s="315">
        <v>27</v>
      </c>
      <c r="B28" s="99" t="s">
        <v>232</v>
      </c>
      <c r="C28" s="102">
        <v>2725.4708644107031</v>
      </c>
      <c r="D28" s="102">
        <v>2918.6110728264948</v>
      </c>
      <c r="E28" s="102">
        <v>3125.4381419583574</v>
      </c>
      <c r="F28" s="102">
        <v>3346.9219897627704</v>
      </c>
      <c r="G28" s="102">
        <v>3584.101267330997</v>
      </c>
      <c r="H28" s="316">
        <v>3834.5400784356038</v>
      </c>
    </row>
    <row r="29" spans="1:8" x14ac:dyDescent="0.25">
      <c r="A29" s="315">
        <v>28</v>
      </c>
      <c r="B29" s="99" t="s">
        <v>233</v>
      </c>
      <c r="C29" s="102">
        <v>14653.776957950538</v>
      </c>
      <c r="D29" s="102">
        <v>15692.215333019738</v>
      </c>
      <c r="E29" s="102">
        <v>16804.242535181827</v>
      </c>
      <c r="F29" s="102">
        <v>17995.073428990079</v>
      </c>
      <c r="G29" s="102">
        <v>19270.292429830177</v>
      </c>
      <c r="H29" s="316">
        <v>20616.802688832606</v>
      </c>
    </row>
    <row r="30" spans="1:8" x14ac:dyDescent="0.25">
      <c r="A30" s="315">
        <v>29</v>
      </c>
      <c r="B30" s="99" t="s">
        <v>234</v>
      </c>
      <c r="C30" s="102">
        <v>2256.2457723691832</v>
      </c>
      <c r="D30" s="102">
        <v>2416.1343935989889</v>
      </c>
      <c r="E30" s="102">
        <v>2587.3535052885841</v>
      </c>
      <c r="F30" s="102">
        <v>2770.7060414621146</v>
      </c>
      <c r="G30" s="102">
        <v>2967.0518359795669</v>
      </c>
      <c r="H30" s="316">
        <v>3174.3743636830909</v>
      </c>
    </row>
    <row r="31" spans="1:8" x14ac:dyDescent="0.25">
      <c r="A31" s="315">
        <v>30</v>
      </c>
      <c r="B31" s="99" t="s">
        <v>235</v>
      </c>
      <c r="C31" s="102">
        <v>2129.6698380345965</v>
      </c>
      <c r="D31" s="102">
        <v>2280.5886688854125</v>
      </c>
      <c r="E31" s="102">
        <v>2442.2023469367691</v>
      </c>
      <c r="F31" s="102">
        <v>2615.2687614195715</v>
      </c>
      <c r="G31" s="102">
        <v>2800.5995093059928</v>
      </c>
      <c r="H31" s="316">
        <v>2996.2911929879779</v>
      </c>
    </row>
    <row r="32" spans="1:8" x14ac:dyDescent="0.25">
      <c r="A32" s="315">
        <v>31</v>
      </c>
      <c r="B32" s="99" t="s">
        <v>236</v>
      </c>
      <c r="C32" s="102">
        <v>27589.693066933982</v>
      </c>
      <c r="D32" s="102">
        <v>29544.83378726141</v>
      </c>
      <c r="E32" s="102">
        <v>31638.525350724674</v>
      </c>
      <c r="F32" s="102">
        <v>33880.586148365423</v>
      </c>
      <c r="G32" s="102">
        <v>36281.530350481989</v>
      </c>
      <c r="H32" s="316">
        <v>38816.699601655746</v>
      </c>
    </row>
    <row r="33" spans="1:9" x14ac:dyDescent="0.25">
      <c r="A33" s="315">
        <v>32</v>
      </c>
      <c r="B33" s="99" t="s">
        <v>237</v>
      </c>
      <c r="C33" s="102">
        <v>36646.29936000087</v>
      </c>
      <c r="D33" s="102">
        <v>39243.235540270194</v>
      </c>
      <c r="E33" s="102">
        <v>42024.203331975667</v>
      </c>
      <c r="F33" s="102">
        <v>45002.244116058806</v>
      </c>
      <c r="G33" s="102">
        <v>48191.323449560783</v>
      </c>
      <c r="H33" s="316">
        <v>51558.688613116305</v>
      </c>
      <c r="I33" s="122"/>
    </row>
    <row r="34" spans="1:9" x14ac:dyDescent="0.25">
      <c r="A34" s="315">
        <v>33</v>
      </c>
      <c r="B34" s="99" t="s">
        <v>238</v>
      </c>
      <c r="C34" s="102">
        <v>21976.512619648067</v>
      </c>
      <c r="D34" s="102">
        <v>23533.875893288805</v>
      </c>
      <c r="E34" s="102">
        <v>25201.601552812219</v>
      </c>
      <c r="F34" s="102">
        <v>26987.510417178059</v>
      </c>
      <c r="G34" s="102">
        <v>28899.977526865598</v>
      </c>
      <c r="H34" s="316">
        <v>30919.361320161101</v>
      </c>
      <c r="I34" s="122"/>
    </row>
    <row r="35" spans="1:9" x14ac:dyDescent="0.25">
      <c r="A35" s="315">
        <v>34</v>
      </c>
      <c r="B35" s="99" t="s">
        <v>239</v>
      </c>
      <c r="C35" s="102">
        <v>44806.421582710609</v>
      </c>
      <c r="D35" s="102">
        <v>47981.623972820074</v>
      </c>
      <c r="E35" s="102">
        <v>51381.836748986512</v>
      </c>
      <c r="F35" s="102">
        <v>55023.005248739006</v>
      </c>
      <c r="G35" s="102">
        <v>58922.204774286853</v>
      </c>
      <c r="H35" s="316">
        <v>63039.389477140801</v>
      </c>
      <c r="I35" s="122"/>
    </row>
    <row r="36" spans="1:9" x14ac:dyDescent="0.25">
      <c r="A36" s="315">
        <v>35</v>
      </c>
      <c r="B36" s="99" t="s">
        <v>240</v>
      </c>
      <c r="C36" s="102">
        <v>23938.374172208823</v>
      </c>
      <c r="D36" s="102">
        <v>25634.764560060317</v>
      </c>
      <c r="E36" s="102">
        <v>27451.369475736177</v>
      </c>
      <c r="F36" s="102">
        <v>29396.70790920682</v>
      </c>
      <c r="G36" s="102">
        <v>31479.902547778016</v>
      </c>
      <c r="H36" s="316">
        <v>33679.558411192083</v>
      </c>
      <c r="I36" s="122"/>
    </row>
    <row r="37" spans="1:9" x14ac:dyDescent="0.25">
      <c r="A37" s="315">
        <v>36</v>
      </c>
      <c r="B37" s="99" t="s">
        <v>241</v>
      </c>
      <c r="C37" s="102">
        <v>21359.693250018456</v>
      </c>
      <c r="D37" s="102">
        <v>22873.345683392727</v>
      </c>
      <c r="E37" s="102">
        <v>24494.262938515225</v>
      </c>
      <c r="F37" s="102">
        <v>26230.046325786519</v>
      </c>
      <c r="G37" s="102">
        <v>28088.835821675584</v>
      </c>
      <c r="H37" s="316">
        <v>30051.541148283559</v>
      </c>
      <c r="I37" s="122"/>
    </row>
    <row r="38" spans="1:9" x14ac:dyDescent="0.25">
      <c r="A38" s="315">
        <v>37</v>
      </c>
      <c r="B38" s="99" t="s">
        <v>242</v>
      </c>
      <c r="C38" s="102">
        <v>1367.7177433156824</v>
      </c>
      <c r="D38" s="102">
        <v>1464.64091848053</v>
      </c>
      <c r="E38" s="102">
        <v>1568.4325443399362</v>
      </c>
      <c r="F38" s="102">
        <v>1679.5793529356774</v>
      </c>
      <c r="G38" s="102">
        <v>1798.6025685248849</v>
      </c>
      <c r="H38" s="316">
        <v>1924.2797900411445</v>
      </c>
      <c r="I38" s="122"/>
    </row>
    <row r="39" spans="1:9" x14ac:dyDescent="0.25">
      <c r="A39" s="315">
        <v>38</v>
      </c>
      <c r="B39" s="99" t="s">
        <v>243</v>
      </c>
      <c r="C39" s="102">
        <v>1386.7725082030256</v>
      </c>
      <c r="D39" s="102">
        <v>1485.0459972933354</v>
      </c>
      <c r="E39" s="102">
        <v>1590.2836269336321</v>
      </c>
      <c r="F39" s="102">
        <v>1702.9789102173136</v>
      </c>
      <c r="G39" s="102">
        <v>1823.6603329916447</v>
      </c>
      <c r="H39" s="316">
        <v>1951.088463947656</v>
      </c>
      <c r="I39" s="122"/>
    </row>
    <row r="40" spans="1:9" x14ac:dyDescent="0.25">
      <c r="A40" s="315">
        <v>39</v>
      </c>
      <c r="B40" s="99" t="s">
        <v>244</v>
      </c>
      <c r="C40" s="102">
        <v>4734.661111248186</v>
      </c>
      <c r="D40" s="102">
        <v>5070.1823768561153</v>
      </c>
      <c r="E40" s="102">
        <v>5429.4803219412124</v>
      </c>
      <c r="F40" s="102">
        <v>5814.239878413634</v>
      </c>
      <c r="G40" s="102">
        <v>6226.2653807075376</v>
      </c>
      <c r="H40" s="316">
        <v>6661.3252139156957</v>
      </c>
      <c r="I40" s="122"/>
    </row>
    <row r="41" spans="1:9" x14ac:dyDescent="0.25">
      <c r="A41" s="315">
        <v>40</v>
      </c>
      <c r="B41" s="99" t="s">
        <v>245</v>
      </c>
      <c r="C41" s="102">
        <v>14064.425158088441</v>
      </c>
      <c r="D41" s="102">
        <v>15061.099179356628</v>
      </c>
      <c r="E41" s="102">
        <v>16128.402401143529</v>
      </c>
      <c r="F41" s="102">
        <v>17271.339954374042</v>
      </c>
      <c r="G41" s="102">
        <v>18495.271658053822</v>
      </c>
      <c r="H41" s="316">
        <v>19787.627397920805</v>
      </c>
      <c r="I41" s="122"/>
    </row>
    <row r="42" spans="1:9" x14ac:dyDescent="0.25">
      <c r="A42" s="315">
        <v>41</v>
      </c>
      <c r="B42" s="99" t="s">
        <v>246</v>
      </c>
      <c r="C42" s="102">
        <v>2130.9177797017483</v>
      </c>
      <c r="D42" s="102">
        <v>2281.9250458085903</v>
      </c>
      <c r="E42" s="102">
        <v>2443.6334260711628</v>
      </c>
      <c r="F42" s="102">
        <v>2616.8012538274975</v>
      </c>
      <c r="G42" s="102">
        <v>2802.2406016284976</v>
      </c>
      <c r="H42" s="316">
        <v>2998.0469565152025</v>
      </c>
      <c r="I42" s="122"/>
    </row>
    <row r="43" spans="1:9" x14ac:dyDescent="0.25">
      <c r="A43" s="315">
        <v>43</v>
      </c>
      <c r="B43" s="99" t="s">
        <v>247</v>
      </c>
      <c r="C43" s="102">
        <v>11675.261151315755</v>
      </c>
      <c r="D43" s="102">
        <v>12502.627314542558</v>
      </c>
      <c r="E43" s="102">
        <v>13388.624694594482</v>
      </c>
      <c r="F43" s="102">
        <v>14337.408186533925</v>
      </c>
      <c r="G43" s="102">
        <v>15353.427121628351</v>
      </c>
      <c r="H43" s="316">
        <v>16426.246706769482</v>
      </c>
      <c r="I43" s="122"/>
    </row>
    <row r="44" spans="1:9" x14ac:dyDescent="0.25">
      <c r="A44" s="315">
        <v>99</v>
      </c>
      <c r="B44" s="99" t="s">
        <v>248</v>
      </c>
      <c r="C44" s="102">
        <v>0</v>
      </c>
      <c r="D44" s="102">
        <v>0</v>
      </c>
      <c r="E44" s="102">
        <v>0</v>
      </c>
      <c r="F44" s="102">
        <v>0</v>
      </c>
      <c r="G44" s="102">
        <v>0</v>
      </c>
      <c r="H44" s="316">
        <v>0</v>
      </c>
      <c r="I44" s="122"/>
    </row>
    <row r="45" spans="1:9" ht="15.75" thickBot="1" x14ac:dyDescent="0.3">
      <c r="A45" s="350" t="s">
        <v>11</v>
      </c>
      <c r="B45" s="351"/>
      <c r="C45" s="317">
        <v>568394.67855566659</v>
      </c>
      <c r="D45" s="317">
        <v>608673.90814207576</v>
      </c>
      <c r="E45" s="317">
        <v>651807.52113016928</v>
      </c>
      <c r="F45" s="317">
        <v>697997.79310186452</v>
      </c>
      <c r="G45" s="317">
        <v>747461.33387708606</v>
      </c>
      <c r="H45" s="318">
        <v>799690.13932661514</v>
      </c>
      <c r="I45" s="124"/>
    </row>
  </sheetData>
  <mergeCells count="1">
    <mergeCell ref="A45:B4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C0E9-78DD-4D62-A83D-065DF8E269FB}">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73C4-A935-4B6D-BF36-68E8D2857505}">
  <sheetPr>
    <tabColor rgb="FF92D050"/>
  </sheetPr>
  <dimension ref="A1:AJ56"/>
  <sheetViews>
    <sheetView zoomScaleNormal="100" workbookViewId="0">
      <selection activeCell="A12" sqref="A12"/>
    </sheetView>
  </sheetViews>
  <sheetFormatPr defaultRowHeight="15" x14ac:dyDescent="0.25"/>
  <cols>
    <col min="1" max="1" width="30.5703125" customWidth="1"/>
    <col min="2" max="27" width="11.5703125" customWidth="1"/>
    <col min="28" max="28" width="14.140625" customWidth="1"/>
    <col min="29" max="36" width="9.5703125" bestFit="1" customWidth="1"/>
  </cols>
  <sheetData>
    <row r="1" spans="1:36" ht="18.75" x14ac:dyDescent="0.3">
      <c r="A1" s="6" t="s">
        <v>27</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row>
    <row r="2" spans="1:36" s="122" customFormat="1" ht="15.6" customHeight="1" x14ac:dyDescent="0.3">
      <c r="A2" s="6"/>
    </row>
    <row r="3" spans="1:36" x14ac:dyDescent="0.25">
      <c r="A3" s="4" t="s">
        <v>28</v>
      </c>
      <c r="B3" s="124">
        <v>2025</v>
      </c>
      <c r="C3" s="124">
        <f>B3+1</f>
        <v>2026</v>
      </c>
      <c r="D3" s="124">
        <f t="shared" ref="D3" si="0">C3+1</f>
        <v>2027</v>
      </c>
      <c r="E3" s="124">
        <f t="shared" ref="E3" si="1">D3+1</f>
        <v>2028</v>
      </c>
      <c r="F3" s="124">
        <f t="shared" ref="F3" si="2">E3+1</f>
        <v>2029</v>
      </c>
      <c r="G3" s="124">
        <f t="shared" ref="G3" si="3">F3+1</f>
        <v>2030</v>
      </c>
      <c r="H3" s="124">
        <f t="shared" ref="H3" si="4">G3+1</f>
        <v>2031</v>
      </c>
      <c r="I3" s="124">
        <f t="shared" ref="I3" si="5">H3+1</f>
        <v>2032</v>
      </c>
      <c r="J3" s="124">
        <f t="shared" ref="J3" si="6">I3+1</f>
        <v>2033</v>
      </c>
      <c r="K3" s="124">
        <f t="shared" ref="K3" si="7">J3+1</f>
        <v>2034</v>
      </c>
      <c r="L3" s="124">
        <f t="shared" ref="L3" si="8">K3+1</f>
        <v>2035</v>
      </c>
      <c r="M3" s="124">
        <f t="shared" ref="M3" si="9">L3+1</f>
        <v>2036</v>
      </c>
      <c r="N3" s="124">
        <f t="shared" ref="N3" si="10">M3+1</f>
        <v>2037</v>
      </c>
      <c r="O3" s="124">
        <f t="shared" ref="O3" si="11">N3+1</f>
        <v>2038</v>
      </c>
      <c r="P3" s="124">
        <f t="shared" ref="P3" si="12">O3+1</f>
        <v>2039</v>
      </c>
      <c r="Q3" s="124">
        <f t="shared" ref="Q3" si="13">P3+1</f>
        <v>2040</v>
      </c>
      <c r="R3" s="124">
        <f t="shared" ref="R3" si="14">Q3+1</f>
        <v>2041</v>
      </c>
      <c r="S3" s="124">
        <f t="shared" ref="S3" si="15">R3+1</f>
        <v>2042</v>
      </c>
      <c r="T3" s="124">
        <f t="shared" ref="T3" si="16">S3+1</f>
        <v>2043</v>
      </c>
      <c r="U3" s="124">
        <f t="shared" ref="U3" si="17">T3+1</f>
        <v>2044</v>
      </c>
      <c r="V3" s="124">
        <f t="shared" ref="V3" si="18">U3+1</f>
        <v>2045</v>
      </c>
      <c r="W3" s="124">
        <f t="shared" ref="W3" si="19">V3+1</f>
        <v>2046</v>
      </c>
      <c r="X3" s="124">
        <f t="shared" ref="X3" si="20">W3+1</f>
        <v>2047</v>
      </c>
      <c r="Y3" s="124">
        <f t="shared" ref="Y3" si="21">X3+1</f>
        <v>2048</v>
      </c>
      <c r="Z3" s="124">
        <f t="shared" ref="Z3" si="22">Y3+1</f>
        <v>2049</v>
      </c>
      <c r="AA3" s="124">
        <f t="shared" ref="AA3:AB3" si="23">Z3+1</f>
        <v>2050</v>
      </c>
      <c r="AB3" s="124">
        <f t="shared" si="23"/>
        <v>2051</v>
      </c>
      <c r="AC3" s="122"/>
      <c r="AD3" s="122"/>
      <c r="AE3" s="122"/>
      <c r="AF3" s="122"/>
      <c r="AG3" s="122"/>
      <c r="AH3" s="122"/>
      <c r="AI3" s="122"/>
      <c r="AJ3" s="122"/>
    </row>
    <row r="4" spans="1:36" x14ac:dyDescent="0.25">
      <c r="A4" s="108" t="s">
        <v>29</v>
      </c>
      <c r="B4" s="209">
        <f>TDM!B28</f>
        <v>301010.84859267209</v>
      </c>
      <c r="C4" s="14">
        <f>(($G4-$B4)/5)+B4</f>
        <v>305277.06906794937</v>
      </c>
      <c r="D4" s="14">
        <f t="shared" ref="D4:D6" si="24">(($G4-$B4)/5)+C4</f>
        <v>309543.28954322665</v>
      </c>
      <c r="E4" s="14">
        <f t="shared" ref="E4:E6" si="25">(($G4-$B4)/5)+D4</f>
        <v>313809.51001850393</v>
      </c>
      <c r="F4" s="14">
        <f t="shared" ref="F4:F6" si="26">(($G4-$B4)/5)+E4</f>
        <v>318075.73049378122</v>
      </c>
      <c r="G4" s="209">
        <f>TDM!C28</f>
        <v>322341.95096905844</v>
      </c>
      <c r="H4" s="14">
        <f>(($L4-$G4)/5)+G4</f>
        <v>326910.4967131553</v>
      </c>
      <c r="I4" s="14">
        <f t="shared" ref="I4:I6" si="27">(($L4-$G4)/5)+H4</f>
        <v>331479.04245725216</v>
      </c>
      <c r="J4" s="14">
        <f t="shared" ref="J4:J6" si="28">(($L4-$G4)/5)+I4</f>
        <v>336047.58820134902</v>
      </c>
      <c r="K4" s="14">
        <f t="shared" ref="K4:K6" si="29">(($L4-$G4)/5)+J4</f>
        <v>340616.13394544588</v>
      </c>
      <c r="L4" s="209">
        <f>TDM!D28</f>
        <v>345184.67968954262</v>
      </c>
      <c r="M4" s="14">
        <f>(($Q4-$L4)/5)+L4</f>
        <v>350076.97495108761</v>
      </c>
      <c r="N4" s="14">
        <f t="shared" ref="N4:N6" si="30">(($Q4-$L4)/5)+M4</f>
        <v>354969.2702126326</v>
      </c>
      <c r="O4" s="14">
        <f t="shared" ref="O4:O6" si="31">(($Q4-$L4)/5)+N4</f>
        <v>359861.56547417759</v>
      </c>
      <c r="P4" s="14">
        <f t="shared" ref="P4:P6" si="32">(($Q4-$L4)/5)+O4</f>
        <v>364753.86073572258</v>
      </c>
      <c r="Q4" s="209">
        <f>TDM!E28</f>
        <v>369646.15599726746</v>
      </c>
      <c r="R4" s="14">
        <f>(($V4-$Q4)/5)+Q4</f>
        <v>374885.14325203275</v>
      </c>
      <c r="S4" s="14">
        <f t="shared" ref="S4:S6" si="33">(($V4-$Q4)/5)+R4</f>
        <v>380124.13050679804</v>
      </c>
      <c r="T4" s="14">
        <f t="shared" ref="T4:T6" si="34">(($V4-$Q4)/5)+S4</f>
        <v>385363.11776156334</v>
      </c>
      <c r="U4" s="14">
        <f t="shared" ref="U4:U6" si="35">(($V4-$Q4)/5)+T4</f>
        <v>390602.10501632863</v>
      </c>
      <c r="V4" s="209">
        <f>TDM!F28</f>
        <v>395841.0922710938</v>
      </c>
      <c r="W4" s="14">
        <f>(($AA4-$V4)/5)+V4</f>
        <v>401372.96568317211</v>
      </c>
      <c r="X4" s="14">
        <f t="shared" ref="X4:X6" si="36">(($AA4-$V4)/5)+W4</f>
        <v>406904.83909525041</v>
      </c>
      <c r="Y4" s="14">
        <f t="shared" ref="Y4:Y6" si="37">(($AA4-$V4)/5)+X4</f>
        <v>412436.71250732872</v>
      </c>
      <c r="Z4" s="14">
        <f t="shared" ref="Z4:AB6" si="38">(($AA4-$V4)/5)+Y4</f>
        <v>417968.58591940702</v>
      </c>
      <c r="AA4" s="209">
        <f>TDM!G28</f>
        <v>423500.45933148521</v>
      </c>
      <c r="AB4" s="14">
        <f t="shared" si="38"/>
        <v>429032.33274356351</v>
      </c>
      <c r="AC4" s="122"/>
      <c r="AD4" s="122"/>
      <c r="AE4" s="122"/>
      <c r="AF4" s="122"/>
      <c r="AG4" s="122"/>
      <c r="AH4" s="122"/>
      <c r="AI4" s="122"/>
      <c r="AJ4" s="122"/>
    </row>
    <row r="5" spans="1:36" x14ac:dyDescent="0.25">
      <c r="A5" s="108" t="s">
        <v>30</v>
      </c>
      <c r="B5" s="209">
        <f>TDM!B25</f>
        <v>8171.7293190141063</v>
      </c>
      <c r="C5" s="14">
        <f t="shared" ref="C5:AB8" si="39">(($G5-$B5)/5)+B5</f>
        <v>8287.5470681158258</v>
      </c>
      <c r="D5" s="14">
        <f t="shared" si="24"/>
        <v>8403.3648172175454</v>
      </c>
      <c r="E5" s="14">
        <f t="shared" si="25"/>
        <v>8519.1825663192649</v>
      </c>
      <c r="F5" s="14">
        <f t="shared" si="26"/>
        <v>8635.0003154209844</v>
      </c>
      <c r="G5" s="209">
        <f>TDM!C25</f>
        <v>8750.8180645227021</v>
      </c>
      <c r="H5" s="14">
        <f t="shared" ref="H5:H6" si="40">(($L5-$G5)/5)+G5</f>
        <v>8874.8432263294526</v>
      </c>
      <c r="I5" s="14">
        <f t="shared" si="27"/>
        <v>8998.8683881362031</v>
      </c>
      <c r="J5" s="14">
        <f t="shared" si="28"/>
        <v>9122.8935499429535</v>
      </c>
      <c r="K5" s="14">
        <f t="shared" si="29"/>
        <v>9246.918711749704</v>
      </c>
      <c r="L5" s="209">
        <f>TDM!D25</f>
        <v>9370.9438735564509</v>
      </c>
      <c r="M5" s="14">
        <f t="shared" ref="M5:M6" si="41">(($Q5-$L5)/5)+L5</f>
        <v>9503.758065513166</v>
      </c>
      <c r="N5" s="14">
        <f t="shared" si="30"/>
        <v>9636.5722574698812</v>
      </c>
      <c r="O5" s="14">
        <f t="shared" si="31"/>
        <v>9769.3864494265963</v>
      </c>
      <c r="P5" s="14">
        <f t="shared" si="32"/>
        <v>9902.2006413833114</v>
      </c>
      <c r="Q5" s="209">
        <f>TDM!E25</f>
        <v>10035.014833340025</v>
      </c>
      <c r="R5" s="14">
        <f t="shared" ref="R5:R6" si="42">(($V5-$Q5)/5)+Q5</f>
        <v>10177.240889151186</v>
      </c>
      <c r="S5" s="14">
        <f t="shared" si="33"/>
        <v>10319.466944962347</v>
      </c>
      <c r="T5" s="14">
        <f t="shared" si="34"/>
        <v>10461.693000773508</v>
      </c>
      <c r="U5" s="14">
        <f t="shared" si="35"/>
        <v>10603.919056584669</v>
      </c>
      <c r="V5" s="209">
        <f>TDM!F25</f>
        <v>10746.145112395834</v>
      </c>
      <c r="W5" s="14">
        <f t="shared" ref="W5:W6" si="43">(($AA5-$V5)/5)+V5</f>
        <v>10896.322331462532</v>
      </c>
      <c r="X5" s="14">
        <f t="shared" si="36"/>
        <v>11046.49955052923</v>
      </c>
      <c r="Y5" s="14">
        <f t="shared" si="37"/>
        <v>11196.676769595928</v>
      </c>
      <c r="Z5" s="14">
        <f t="shared" si="38"/>
        <v>11346.853988662626</v>
      </c>
      <c r="AA5" s="209">
        <f>TDM!G25</f>
        <v>11497.031207729327</v>
      </c>
      <c r="AB5" s="14">
        <f t="shared" si="38"/>
        <v>11647.208426796025</v>
      </c>
      <c r="AC5" s="122"/>
      <c r="AD5" s="122"/>
      <c r="AE5" s="122"/>
      <c r="AF5" s="122"/>
      <c r="AG5" s="122"/>
      <c r="AH5" s="122"/>
      <c r="AI5" s="122"/>
      <c r="AJ5" s="122"/>
    </row>
    <row r="6" spans="1:36" x14ac:dyDescent="0.25">
      <c r="A6" s="108" t="s">
        <v>31</v>
      </c>
      <c r="B6" s="209">
        <f>TDM!B26</f>
        <v>15325.223978699474</v>
      </c>
      <c r="C6" s="14">
        <f t="shared" si="39"/>
        <v>15542.428058325891</v>
      </c>
      <c r="D6" s="14">
        <f t="shared" si="24"/>
        <v>15759.632137952309</v>
      </c>
      <c r="E6" s="14">
        <f t="shared" si="25"/>
        <v>15976.836217578726</v>
      </c>
      <c r="F6" s="14">
        <f t="shared" si="26"/>
        <v>16194.040297205143</v>
      </c>
      <c r="G6" s="209">
        <f>TDM!C26</f>
        <v>16411.244376831557</v>
      </c>
      <c r="H6" s="14">
        <f t="shared" si="40"/>
        <v>16643.84060089643</v>
      </c>
      <c r="I6" s="14">
        <f t="shared" si="27"/>
        <v>16876.436824961304</v>
      </c>
      <c r="J6" s="14">
        <f t="shared" si="28"/>
        <v>17109.033049026177</v>
      </c>
      <c r="K6" s="14">
        <f t="shared" si="29"/>
        <v>17341.62927309105</v>
      </c>
      <c r="L6" s="209">
        <f>TDM!D26</f>
        <v>17574.225497155916</v>
      </c>
      <c r="M6" s="14">
        <f t="shared" si="41"/>
        <v>17823.304628368769</v>
      </c>
      <c r="N6" s="14">
        <f t="shared" si="30"/>
        <v>18072.383759581622</v>
      </c>
      <c r="O6" s="14">
        <f t="shared" si="31"/>
        <v>18321.462890794475</v>
      </c>
      <c r="P6" s="14">
        <f t="shared" si="32"/>
        <v>18570.542022007328</v>
      </c>
      <c r="Q6" s="209">
        <f>TDM!E26</f>
        <v>18819.621153220185</v>
      </c>
      <c r="R6" s="14">
        <f t="shared" si="42"/>
        <v>19086.351251076147</v>
      </c>
      <c r="S6" s="14">
        <f t="shared" si="33"/>
        <v>19353.081348932108</v>
      </c>
      <c r="T6" s="14">
        <f t="shared" si="34"/>
        <v>19619.81144678807</v>
      </c>
      <c r="U6" s="14">
        <f t="shared" si="35"/>
        <v>19886.541544644031</v>
      </c>
      <c r="V6" s="209">
        <f>TDM!F26</f>
        <v>20153.271642499996</v>
      </c>
      <c r="W6" s="14">
        <f t="shared" si="43"/>
        <v>20434.913315742917</v>
      </c>
      <c r="X6" s="14">
        <f t="shared" si="36"/>
        <v>20716.554988985838</v>
      </c>
      <c r="Y6" s="14">
        <f t="shared" si="37"/>
        <v>20998.196662228758</v>
      </c>
      <c r="Z6" s="14">
        <f t="shared" si="38"/>
        <v>21279.838335471679</v>
      </c>
      <c r="AA6" s="209">
        <f>TDM!G26</f>
        <v>21561.480008714603</v>
      </c>
      <c r="AB6" s="14">
        <f t="shared" si="38"/>
        <v>21843.121681957524</v>
      </c>
      <c r="AC6" s="122"/>
      <c r="AD6" s="122"/>
      <c r="AE6" s="122"/>
      <c r="AF6" s="122"/>
      <c r="AG6" s="123"/>
      <c r="AH6" s="123"/>
      <c r="AI6" s="123"/>
      <c r="AJ6" s="123"/>
    </row>
    <row r="7" spans="1:36" x14ac:dyDescent="0.25">
      <c r="A7" s="111" t="s">
        <v>32</v>
      </c>
      <c r="B7" s="37">
        <f t="shared" ref="B7:Z7" si="44">B5+B6</f>
        <v>23496.953297713582</v>
      </c>
      <c r="C7" s="37">
        <f t="shared" si="44"/>
        <v>23829.975126441717</v>
      </c>
      <c r="D7" s="37">
        <f t="shared" si="44"/>
        <v>24162.996955169852</v>
      </c>
      <c r="E7" s="37">
        <f t="shared" si="44"/>
        <v>24496.018783897991</v>
      </c>
      <c r="F7" s="37">
        <f t="shared" si="44"/>
        <v>24829.04061262613</v>
      </c>
      <c r="G7" s="37">
        <f t="shared" si="44"/>
        <v>25162.062441354261</v>
      </c>
      <c r="H7" s="37">
        <f t="shared" si="44"/>
        <v>25518.683827225883</v>
      </c>
      <c r="I7" s="37">
        <f t="shared" si="44"/>
        <v>25875.305213097505</v>
      </c>
      <c r="J7" s="37">
        <f t="shared" si="44"/>
        <v>26231.92659896913</v>
      </c>
      <c r="K7" s="37">
        <f t="shared" si="44"/>
        <v>26588.547984840756</v>
      </c>
      <c r="L7" s="37">
        <f t="shared" si="44"/>
        <v>26945.169370712367</v>
      </c>
      <c r="M7" s="37">
        <f t="shared" si="44"/>
        <v>27327.062693881933</v>
      </c>
      <c r="N7" s="37">
        <f t="shared" si="44"/>
        <v>27708.956017051503</v>
      </c>
      <c r="O7" s="37">
        <f t="shared" si="44"/>
        <v>28090.849340221073</v>
      </c>
      <c r="P7" s="37">
        <f t="shared" si="44"/>
        <v>28472.74266339064</v>
      </c>
      <c r="Q7" s="37">
        <f t="shared" si="44"/>
        <v>28854.63598656021</v>
      </c>
      <c r="R7" s="37">
        <f t="shared" si="44"/>
        <v>29263.592140227331</v>
      </c>
      <c r="S7" s="37">
        <f t="shared" si="44"/>
        <v>29672.548293894455</v>
      </c>
      <c r="T7" s="37">
        <f t="shared" si="44"/>
        <v>30081.50444756158</v>
      </c>
      <c r="U7" s="37">
        <f t="shared" si="44"/>
        <v>30490.4606012287</v>
      </c>
      <c r="V7" s="37">
        <f t="shared" si="44"/>
        <v>30899.416754895828</v>
      </c>
      <c r="W7" s="37">
        <f t="shared" si="44"/>
        <v>31331.235647205449</v>
      </c>
      <c r="X7" s="37">
        <f t="shared" si="44"/>
        <v>31763.054539515069</v>
      </c>
      <c r="Y7" s="37">
        <f t="shared" si="44"/>
        <v>32194.873431824686</v>
      </c>
      <c r="Z7" s="37">
        <f t="shared" si="44"/>
        <v>32626.692324134303</v>
      </c>
      <c r="AA7" s="37">
        <f>AA5+AA6</f>
        <v>33058.511216443934</v>
      </c>
      <c r="AB7" s="37">
        <f t="shared" ref="AB7" si="45">AB5+AB6</f>
        <v>33490.330108753551</v>
      </c>
      <c r="AC7" s="122"/>
      <c r="AD7" s="122"/>
      <c r="AE7" s="122"/>
      <c r="AF7" s="122"/>
      <c r="AG7" s="123"/>
      <c r="AH7" s="123"/>
      <c r="AI7" s="123"/>
      <c r="AJ7" s="123"/>
    </row>
    <row r="8" spans="1:36" s="122" customFormat="1" x14ac:dyDescent="0.25">
      <c r="A8" s="130" t="s">
        <v>33</v>
      </c>
      <c r="B8" s="131">
        <f>SUM(TDM!B24:B26)</f>
        <v>226882.66180627578</v>
      </c>
      <c r="C8" s="18">
        <f t="shared" si="39"/>
        <v>230098.26503721828</v>
      </c>
      <c r="D8" s="18">
        <f t="shared" si="39"/>
        <v>233313.86826816079</v>
      </c>
      <c r="E8" s="18">
        <f t="shared" si="39"/>
        <v>236529.4714991033</v>
      </c>
      <c r="F8" s="18">
        <f t="shared" si="39"/>
        <v>239745.0747300458</v>
      </c>
      <c r="G8" s="131">
        <f>SUM(TDM!C24:C26)</f>
        <v>242960.67796098837</v>
      </c>
      <c r="H8" s="18">
        <f t="shared" si="39"/>
        <v>246176.28119193087</v>
      </c>
      <c r="I8" s="18">
        <f t="shared" si="39"/>
        <v>249391.88442287338</v>
      </c>
      <c r="J8" s="18">
        <f t="shared" si="39"/>
        <v>252607.48765381589</v>
      </c>
      <c r="K8" s="18">
        <f t="shared" si="39"/>
        <v>255823.09088475839</v>
      </c>
      <c r="L8" s="131">
        <f>SUM(TDM!D24:D26)</f>
        <v>260178.06105283575</v>
      </c>
      <c r="M8" s="18">
        <f t="shared" si="39"/>
        <v>263393.66428377829</v>
      </c>
      <c r="N8" s="18">
        <f t="shared" si="39"/>
        <v>266609.26751472079</v>
      </c>
      <c r="O8" s="18">
        <f t="shared" si="39"/>
        <v>269824.8707456633</v>
      </c>
      <c r="P8" s="18">
        <f t="shared" si="39"/>
        <v>273040.4739766058</v>
      </c>
      <c r="Q8" s="131">
        <f>SUM(TDM!E24:E26)</f>
        <v>278615.55220093008</v>
      </c>
      <c r="R8" s="18">
        <f t="shared" si="39"/>
        <v>281831.15543187258</v>
      </c>
      <c r="S8" s="18">
        <f t="shared" si="39"/>
        <v>285046.75866281509</v>
      </c>
      <c r="T8" s="18">
        <f t="shared" si="39"/>
        <v>288262.3618937576</v>
      </c>
      <c r="U8" s="18">
        <f t="shared" si="39"/>
        <v>291477.9651247001</v>
      </c>
      <c r="V8" s="131">
        <f>SUM(TDM!F24:F26)</f>
        <v>298359.6142353646</v>
      </c>
      <c r="W8" s="18">
        <f t="shared" si="39"/>
        <v>301575.21746630711</v>
      </c>
      <c r="X8" s="18">
        <f t="shared" si="39"/>
        <v>304790.82069724961</v>
      </c>
      <c r="Y8" s="18">
        <f t="shared" si="39"/>
        <v>308006.42392819212</v>
      </c>
      <c r="Z8" s="18">
        <f t="shared" si="39"/>
        <v>311222.02715913462</v>
      </c>
      <c r="AA8" s="131">
        <f>SUM(TDM!G24:G26)</f>
        <v>319207.47022420418</v>
      </c>
      <c r="AB8" s="18">
        <f t="shared" si="39"/>
        <v>322423.07345514669</v>
      </c>
      <c r="AG8" s="123"/>
      <c r="AH8" s="123"/>
      <c r="AI8" s="123"/>
      <c r="AJ8" s="123"/>
    </row>
    <row r="9" spans="1:36" x14ac:dyDescent="0.25">
      <c r="A9" s="109" t="s">
        <v>34</v>
      </c>
      <c r="B9" s="16">
        <f t="shared" ref="B9:AA9" si="46">SUM(B4:B6)</f>
        <v>324507.80189038569</v>
      </c>
      <c r="C9" s="16">
        <f t="shared" si="46"/>
        <v>329107.04419439111</v>
      </c>
      <c r="D9" s="16">
        <f t="shared" si="46"/>
        <v>333706.28649839648</v>
      </c>
      <c r="E9" s="16">
        <f t="shared" si="46"/>
        <v>338305.52880240191</v>
      </c>
      <c r="F9" s="16">
        <f t="shared" si="46"/>
        <v>342904.77110640734</v>
      </c>
      <c r="G9" s="16">
        <f t="shared" si="46"/>
        <v>347504.01341041271</v>
      </c>
      <c r="H9" s="16">
        <f t="shared" si="46"/>
        <v>352429.18054038117</v>
      </c>
      <c r="I9" s="16">
        <f t="shared" si="46"/>
        <v>357354.34767034964</v>
      </c>
      <c r="J9" s="16">
        <f t="shared" si="46"/>
        <v>362279.51480031811</v>
      </c>
      <c r="K9" s="16">
        <f t="shared" si="46"/>
        <v>367204.68193028664</v>
      </c>
      <c r="L9" s="16">
        <f t="shared" si="46"/>
        <v>372129.84906025499</v>
      </c>
      <c r="M9" s="16">
        <f t="shared" si="46"/>
        <v>377404.03764496953</v>
      </c>
      <c r="N9" s="16">
        <f t="shared" si="46"/>
        <v>382678.22622968408</v>
      </c>
      <c r="O9" s="16">
        <f t="shared" si="46"/>
        <v>387952.41481439868</v>
      </c>
      <c r="P9" s="16">
        <f t="shared" si="46"/>
        <v>393226.60339911323</v>
      </c>
      <c r="Q9" s="16">
        <f t="shared" si="46"/>
        <v>398500.79198382766</v>
      </c>
      <c r="R9" s="16">
        <f t="shared" si="46"/>
        <v>404148.73539226007</v>
      </c>
      <c r="S9" s="16">
        <f t="shared" si="46"/>
        <v>409796.67880069249</v>
      </c>
      <c r="T9" s="16">
        <f t="shared" si="46"/>
        <v>415444.62220912491</v>
      </c>
      <c r="U9" s="16">
        <f t="shared" si="46"/>
        <v>421092.56561755732</v>
      </c>
      <c r="V9" s="16">
        <f t="shared" si="46"/>
        <v>426740.50902598962</v>
      </c>
      <c r="W9" s="16">
        <f t="shared" si="46"/>
        <v>432704.20133037755</v>
      </c>
      <c r="X9" s="16">
        <f t="shared" si="46"/>
        <v>438667.89363476547</v>
      </c>
      <c r="Y9" s="16">
        <f t="shared" si="46"/>
        <v>444631.58593915345</v>
      </c>
      <c r="Z9" s="16">
        <f t="shared" si="46"/>
        <v>450595.27824354137</v>
      </c>
      <c r="AA9" s="16">
        <f t="shared" si="46"/>
        <v>456558.97054792912</v>
      </c>
      <c r="AB9" s="16">
        <f t="shared" ref="AB9" si="47">SUM(AB4:AB6)</f>
        <v>462522.66285231704</v>
      </c>
      <c r="AC9" s="122"/>
      <c r="AD9" s="122"/>
      <c r="AE9" s="122"/>
      <c r="AF9" s="122"/>
      <c r="AG9" s="123"/>
      <c r="AH9" s="123"/>
      <c r="AI9" s="123"/>
      <c r="AJ9" s="123"/>
    </row>
    <row r="10" spans="1:36" x14ac:dyDescent="0.25">
      <c r="A10" s="109"/>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22"/>
      <c r="AD10" s="122"/>
      <c r="AE10" s="122"/>
      <c r="AF10" s="122"/>
      <c r="AG10" s="123"/>
      <c r="AH10" s="123"/>
      <c r="AI10" s="123"/>
      <c r="AJ10" s="123"/>
    </row>
    <row r="11" spans="1:36" x14ac:dyDescent="0.25">
      <c r="A11" s="43" t="s">
        <v>337</v>
      </c>
      <c r="B11" s="124">
        <v>2025</v>
      </c>
      <c r="C11" s="124">
        <f>B11+1</f>
        <v>2026</v>
      </c>
      <c r="D11" s="124">
        <f t="shared" ref="D11:AB11" si="48">C11+1</f>
        <v>2027</v>
      </c>
      <c r="E11" s="124">
        <f t="shared" si="48"/>
        <v>2028</v>
      </c>
      <c r="F11" s="124">
        <f t="shared" si="48"/>
        <v>2029</v>
      </c>
      <c r="G11" s="124">
        <f t="shared" si="48"/>
        <v>2030</v>
      </c>
      <c r="H11" s="124">
        <f t="shared" si="48"/>
        <v>2031</v>
      </c>
      <c r="I11" s="124">
        <f t="shared" si="48"/>
        <v>2032</v>
      </c>
      <c r="J11" s="124">
        <f t="shared" si="48"/>
        <v>2033</v>
      </c>
      <c r="K11" s="124">
        <f t="shared" si="48"/>
        <v>2034</v>
      </c>
      <c r="L11" s="124">
        <f t="shared" si="48"/>
        <v>2035</v>
      </c>
      <c r="M11" s="124">
        <f t="shared" si="48"/>
        <v>2036</v>
      </c>
      <c r="N11" s="124">
        <f t="shared" si="48"/>
        <v>2037</v>
      </c>
      <c r="O11" s="124">
        <f t="shared" si="48"/>
        <v>2038</v>
      </c>
      <c r="P11" s="124">
        <f t="shared" si="48"/>
        <v>2039</v>
      </c>
      <c r="Q11" s="124">
        <f t="shared" si="48"/>
        <v>2040</v>
      </c>
      <c r="R11" s="124">
        <f t="shared" si="48"/>
        <v>2041</v>
      </c>
      <c r="S11" s="124">
        <f t="shared" si="48"/>
        <v>2042</v>
      </c>
      <c r="T11" s="124">
        <f t="shared" si="48"/>
        <v>2043</v>
      </c>
      <c r="U11" s="124">
        <f t="shared" si="48"/>
        <v>2044</v>
      </c>
      <c r="V11" s="124">
        <f t="shared" si="48"/>
        <v>2045</v>
      </c>
      <c r="W11" s="124">
        <f t="shared" si="48"/>
        <v>2046</v>
      </c>
      <c r="X11" s="124">
        <f t="shared" si="48"/>
        <v>2047</v>
      </c>
      <c r="Y11" s="124">
        <f t="shared" si="48"/>
        <v>2048</v>
      </c>
      <c r="Z11" s="124">
        <f t="shared" si="48"/>
        <v>2049</v>
      </c>
      <c r="AA11" s="124">
        <f t="shared" si="48"/>
        <v>2050</v>
      </c>
      <c r="AB11" s="124">
        <f t="shared" si="48"/>
        <v>2051</v>
      </c>
      <c r="AC11" s="122"/>
      <c r="AD11" s="122"/>
      <c r="AE11" s="122"/>
      <c r="AF11" s="122"/>
      <c r="AG11" s="123"/>
      <c r="AH11" s="123"/>
      <c r="AI11" s="123"/>
      <c r="AJ11" s="123"/>
    </row>
    <row r="12" spans="1:36" x14ac:dyDescent="0.25">
      <c r="A12" s="108" t="s">
        <v>29</v>
      </c>
      <c r="B12" s="37">
        <f>B4*'Look Up'!$D$33</f>
        <v>5357993.1049495637</v>
      </c>
      <c r="C12" s="37">
        <f>C4*'Look Up'!$D$33</f>
        <v>5433931.8294094987</v>
      </c>
      <c r="D12" s="37">
        <f>D4*'Look Up'!$D$33</f>
        <v>5509870.5538694346</v>
      </c>
      <c r="E12" s="37">
        <f>E4*'Look Up'!$D$33</f>
        <v>5585809.2783293705</v>
      </c>
      <c r="F12" s="37">
        <f>F4*'Look Up'!$D$33</f>
        <v>5661748.0027893055</v>
      </c>
      <c r="G12" s="37">
        <f>G4*'Look Up'!$D$33</f>
        <v>5737686.7272492405</v>
      </c>
      <c r="H12" s="37">
        <f>H4*'Look Up'!$D$33</f>
        <v>5819006.8414941644</v>
      </c>
      <c r="I12" s="37">
        <f>I4*'Look Up'!$D$33</f>
        <v>5900326.9557390884</v>
      </c>
      <c r="J12" s="37">
        <f>J4*'Look Up'!$D$33</f>
        <v>5981647.0699840132</v>
      </c>
      <c r="K12" s="37">
        <f>K4*'Look Up'!$D$33</f>
        <v>6062967.1842289371</v>
      </c>
      <c r="L12" s="37">
        <f>L4*'Look Up'!$D$33</f>
        <v>6144287.2984738592</v>
      </c>
      <c r="M12" s="37">
        <f>M4*'Look Up'!$D$33</f>
        <v>6231370.1541293599</v>
      </c>
      <c r="N12" s="37">
        <f>N4*'Look Up'!$D$33</f>
        <v>6318453.0097848605</v>
      </c>
      <c r="O12" s="37">
        <f>O4*'Look Up'!$D$33</f>
        <v>6405535.8654403612</v>
      </c>
      <c r="P12" s="37">
        <f>P4*'Look Up'!$D$33</f>
        <v>6492618.7210958619</v>
      </c>
      <c r="Q12" s="37">
        <f>Q4*'Look Up'!$D$33</f>
        <v>6579701.5767513607</v>
      </c>
      <c r="R12" s="37">
        <f>R4*'Look Up'!$D$33</f>
        <v>6672955.5498861829</v>
      </c>
      <c r="S12" s="37">
        <f>S4*'Look Up'!$D$33</f>
        <v>6766209.5230210051</v>
      </c>
      <c r="T12" s="37">
        <f>T4*'Look Up'!$D$33</f>
        <v>6859463.4961558273</v>
      </c>
      <c r="U12" s="37">
        <f>U4*'Look Up'!$D$33</f>
        <v>6952717.4692906495</v>
      </c>
      <c r="V12" s="37">
        <f>V4*'Look Up'!$D$33</f>
        <v>7045971.4424254699</v>
      </c>
      <c r="W12" s="37">
        <f>W4*'Look Up'!$D$33</f>
        <v>7144438.789160464</v>
      </c>
      <c r="X12" s="37">
        <f>X4*'Look Up'!$D$33</f>
        <v>7242906.1358954581</v>
      </c>
      <c r="Y12" s="37">
        <f>Y4*'Look Up'!$D$33</f>
        <v>7341373.4826304512</v>
      </c>
      <c r="Z12" s="37">
        <f>Z4*'Look Up'!$D$33</f>
        <v>7439840.8293654453</v>
      </c>
      <c r="AA12" s="37">
        <f>AA4*'Look Up'!$D$33</f>
        <v>7538308.1761004366</v>
      </c>
      <c r="AB12" s="37">
        <f>AB4*'Look Up'!$D$33</f>
        <v>7636775.5228354307</v>
      </c>
      <c r="AC12" s="122"/>
      <c r="AD12" s="122"/>
      <c r="AE12" s="122"/>
      <c r="AF12" s="122"/>
      <c r="AG12" s="123"/>
      <c r="AH12" s="123"/>
      <c r="AI12" s="123"/>
      <c r="AJ12" s="123"/>
    </row>
    <row r="13" spans="1:36" x14ac:dyDescent="0.25">
      <c r="A13" s="108" t="s">
        <v>30</v>
      </c>
      <c r="B13" s="37">
        <f>B5*'Look Up'!$D$34</f>
        <v>261495.3382084514</v>
      </c>
      <c r="C13" s="37">
        <f>C5*'Look Up'!$D$34</f>
        <v>265201.50617970643</v>
      </c>
      <c r="D13" s="37">
        <f>D5*'Look Up'!$D$34</f>
        <v>268907.67415096145</v>
      </c>
      <c r="E13" s="37">
        <f>E5*'Look Up'!$D$34</f>
        <v>272613.84212221648</v>
      </c>
      <c r="F13" s="37">
        <f>F5*'Look Up'!$D$34</f>
        <v>276320.0100934715</v>
      </c>
      <c r="G13" s="37">
        <f>G5*'Look Up'!$D$34</f>
        <v>280026.17806472647</v>
      </c>
      <c r="H13" s="37">
        <f>H5*'Look Up'!$D$34</f>
        <v>283994.98324254248</v>
      </c>
      <c r="I13" s="37">
        <f>I5*'Look Up'!$D$34</f>
        <v>287963.7884203585</v>
      </c>
      <c r="J13" s="37">
        <f>J5*'Look Up'!$D$34</f>
        <v>291932.59359817451</v>
      </c>
      <c r="K13" s="37">
        <f>K5*'Look Up'!$D$34</f>
        <v>295901.39877599053</v>
      </c>
      <c r="L13" s="37">
        <f>L5*'Look Up'!$D$34</f>
        <v>299870.20395380643</v>
      </c>
      <c r="M13" s="37">
        <f>M5*'Look Up'!$D$34</f>
        <v>304120.25809642131</v>
      </c>
      <c r="N13" s="37">
        <f>N5*'Look Up'!$D$34</f>
        <v>308370.3122390362</v>
      </c>
      <c r="O13" s="37">
        <f>O5*'Look Up'!$D$34</f>
        <v>312620.36638165108</v>
      </c>
      <c r="P13" s="37">
        <f>P5*'Look Up'!$D$34</f>
        <v>316870.42052426597</v>
      </c>
      <c r="Q13" s="37">
        <f>Q5*'Look Up'!$D$34</f>
        <v>321120.47466688079</v>
      </c>
      <c r="R13" s="37">
        <f>R5*'Look Up'!$D$34</f>
        <v>325671.70845283795</v>
      </c>
      <c r="S13" s="37">
        <f>S5*'Look Up'!$D$34</f>
        <v>330222.94223879511</v>
      </c>
      <c r="T13" s="37">
        <f>T5*'Look Up'!$D$34</f>
        <v>334774.17602475226</v>
      </c>
      <c r="U13" s="37">
        <f>U5*'Look Up'!$D$34</f>
        <v>339325.40981070942</v>
      </c>
      <c r="V13" s="37">
        <f>V5*'Look Up'!$D$34</f>
        <v>343876.64359666669</v>
      </c>
      <c r="W13" s="37">
        <f>W5*'Look Up'!$D$34</f>
        <v>348682.31460680102</v>
      </c>
      <c r="X13" s="37">
        <f>X5*'Look Up'!$D$34</f>
        <v>353487.98561693536</v>
      </c>
      <c r="Y13" s="37">
        <f>Y5*'Look Up'!$D$34</f>
        <v>358293.65662706969</v>
      </c>
      <c r="Z13" s="37">
        <f>Z5*'Look Up'!$D$34</f>
        <v>363099.32763720403</v>
      </c>
      <c r="AA13" s="37">
        <f>AA5*'Look Up'!$D$34</f>
        <v>367904.99864733848</v>
      </c>
      <c r="AB13" s="37">
        <f>AB5*'Look Up'!$D$34</f>
        <v>372710.66965747281</v>
      </c>
      <c r="AC13" s="122"/>
      <c r="AD13" s="122"/>
      <c r="AE13" s="122"/>
      <c r="AF13" s="122"/>
      <c r="AG13" s="7"/>
      <c r="AH13" s="7"/>
      <c r="AI13" s="7"/>
      <c r="AJ13" s="7"/>
    </row>
    <row r="14" spans="1:36" x14ac:dyDescent="0.25">
      <c r="A14" s="108" t="s">
        <v>31</v>
      </c>
      <c r="B14" s="37">
        <f>B6*'Look Up'!$D$34</f>
        <v>490407.16731838317</v>
      </c>
      <c r="C14" s="37">
        <f>C6*'Look Up'!$D$34</f>
        <v>497357.69786642853</v>
      </c>
      <c r="D14" s="37">
        <f>D6*'Look Up'!$D$34</f>
        <v>504308.22841447388</v>
      </c>
      <c r="E14" s="37">
        <f>E6*'Look Up'!$D$34</f>
        <v>511258.75896251923</v>
      </c>
      <c r="F14" s="37">
        <f>F6*'Look Up'!$D$34</f>
        <v>518209.28951056459</v>
      </c>
      <c r="G14" s="37">
        <f>G6*'Look Up'!$D$34</f>
        <v>525159.82005860982</v>
      </c>
      <c r="H14" s="37">
        <f>H6*'Look Up'!$D$34</f>
        <v>532602.89922868577</v>
      </c>
      <c r="I14" s="37">
        <f>I6*'Look Up'!$D$34</f>
        <v>540045.97839876171</v>
      </c>
      <c r="J14" s="37">
        <f>J6*'Look Up'!$D$34</f>
        <v>547489.05756883766</v>
      </c>
      <c r="K14" s="37">
        <f>K6*'Look Up'!$D$34</f>
        <v>554932.1367389136</v>
      </c>
      <c r="L14" s="37">
        <f>L6*'Look Up'!$D$34</f>
        <v>562375.21590898931</v>
      </c>
      <c r="M14" s="37">
        <f>M6*'Look Up'!$D$34</f>
        <v>570345.74810780061</v>
      </c>
      <c r="N14" s="37">
        <f>N6*'Look Up'!$D$34</f>
        <v>578316.28030661191</v>
      </c>
      <c r="O14" s="37">
        <f>O6*'Look Up'!$D$34</f>
        <v>586286.81250542321</v>
      </c>
      <c r="P14" s="37">
        <f>P6*'Look Up'!$D$34</f>
        <v>594257.34470423451</v>
      </c>
      <c r="Q14" s="37">
        <f>Q6*'Look Up'!$D$34</f>
        <v>602227.87690304592</v>
      </c>
      <c r="R14" s="37">
        <f>R6*'Look Up'!$D$34</f>
        <v>610763.24003443669</v>
      </c>
      <c r="S14" s="37">
        <f>S6*'Look Up'!$D$34</f>
        <v>619298.60316582746</v>
      </c>
      <c r="T14" s="37">
        <f>T6*'Look Up'!$D$34</f>
        <v>627833.96629721823</v>
      </c>
      <c r="U14" s="37">
        <f>U6*'Look Up'!$D$34</f>
        <v>636369.32942860899</v>
      </c>
      <c r="V14" s="37">
        <f>V6*'Look Up'!$D$34</f>
        <v>644904.69255999988</v>
      </c>
      <c r="W14" s="37">
        <f>W6*'Look Up'!$D$34</f>
        <v>653917.22610377334</v>
      </c>
      <c r="X14" s="37">
        <f>X6*'Look Up'!$D$34</f>
        <v>662929.7596475468</v>
      </c>
      <c r="Y14" s="37">
        <f>Y6*'Look Up'!$D$34</f>
        <v>671942.29319132026</v>
      </c>
      <c r="Z14" s="37">
        <f>Z6*'Look Up'!$D$34</f>
        <v>680954.82673509372</v>
      </c>
      <c r="AA14" s="37">
        <f>AA6*'Look Up'!$D$34</f>
        <v>689967.3602788673</v>
      </c>
      <c r="AB14" s="37">
        <f>AB6*'Look Up'!$D$34</f>
        <v>698979.89382264076</v>
      </c>
      <c r="AC14" s="122"/>
      <c r="AD14" s="122"/>
      <c r="AE14" s="122"/>
      <c r="AF14" s="122"/>
      <c r="AG14" s="122"/>
      <c r="AH14" s="122"/>
      <c r="AI14" s="122"/>
      <c r="AJ14" s="122"/>
    </row>
    <row r="15" spans="1:36" s="122" customFormat="1" x14ac:dyDescent="0.25">
      <c r="A15" s="111" t="s">
        <v>32</v>
      </c>
      <c r="B15" s="37">
        <f t="shared" ref="B15:Z15" si="49">B13+B14</f>
        <v>751902.50552683463</v>
      </c>
      <c r="C15" s="37">
        <f t="shared" si="49"/>
        <v>762559.20404613495</v>
      </c>
      <c r="D15" s="37">
        <f t="shared" si="49"/>
        <v>773215.90256543527</v>
      </c>
      <c r="E15" s="37">
        <f t="shared" si="49"/>
        <v>783872.60108473571</v>
      </c>
      <c r="F15" s="37">
        <f t="shared" si="49"/>
        <v>794529.29960403615</v>
      </c>
      <c r="G15" s="37">
        <f t="shared" si="49"/>
        <v>805185.99812333635</v>
      </c>
      <c r="H15" s="37">
        <f t="shared" si="49"/>
        <v>816597.88247122825</v>
      </c>
      <c r="I15" s="37">
        <f t="shared" si="49"/>
        <v>828009.76681912015</v>
      </c>
      <c r="J15" s="37">
        <f t="shared" si="49"/>
        <v>839421.65116701217</v>
      </c>
      <c r="K15" s="37">
        <f t="shared" si="49"/>
        <v>850833.53551490419</v>
      </c>
      <c r="L15" s="37">
        <f t="shared" si="49"/>
        <v>862245.41986279574</v>
      </c>
      <c r="M15" s="37">
        <f t="shared" si="49"/>
        <v>874466.00620422186</v>
      </c>
      <c r="N15" s="37">
        <f t="shared" si="49"/>
        <v>886686.59254564811</v>
      </c>
      <c r="O15" s="37">
        <f t="shared" si="49"/>
        <v>898907.17888707435</v>
      </c>
      <c r="P15" s="37">
        <f t="shared" si="49"/>
        <v>911127.76522850047</v>
      </c>
      <c r="Q15" s="37">
        <f t="shared" si="49"/>
        <v>923348.35156992672</v>
      </c>
      <c r="R15" s="37">
        <f t="shared" si="49"/>
        <v>936434.94848727458</v>
      </c>
      <c r="S15" s="37">
        <f t="shared" si="49"/>
        <v>949521.54540462256</v>
      </c>
      <c r="T15" s="37">
        <f t="shared" si="49"/>
        <v>962608.14232197055</v>
      </c>
      <c r="U15" s="37">
        <f t="shared" si="49"/>
        <v>975694.73923931841</v>
      </c>
      <c r="V15" s="37">
        <f t="shared" si="49"/>
        <v>988781.33615666651</v>
      </c>
      <c r="W15" s="37">
        <f t="shared" si="49"/>
        <v>1002599.5407105744</v>
      </c>
      <c r="X15" s="37">
        <f t="shared" si="49"/>
        <v>1016417.7452644822</v>
      </c>
      <c r="Y15" s="37">
        <f t="shared" si="49"/>
        <v>1030235.94981839</v>
      </c>
      <c r="Z15" s="37">
        <f t="shared" si="49"/>
        <v>1044054.1543722977</v>
      </c>
      <c r="AA15" s="37">
        <f t="shared" ref="AA15:AB15" si="50">AA13+AA14</f>
        <v>1057872.3589262059</v>
      </c>
      <c r="AB15" s="37">
        <f t="shared" si="50"/>
        <v>1071690.5634801136</v>
      </c>
    </row>
    <row r="16" spans="1:36" x14ac:dyDescent="0.25">
      <c r="A16" s="109" t="s">
        <v>11</v>
      </c>
      <c r="B16" s="16">
        <f t="shared" ref="B16:AA16" si="51">SUM(B12:B14)</f>
        <v>6109895.6104763988</v>
      </c>
      <c r="C16" s="16">
        <f t="shared" si="51"/>
        <v>6196491.0334556336</v>
      </c>
      <c r="D16" s="16">
        <f t="shared" si="51"/>
        <v>6283086.4564348701</v>
      </c>
      <c r="E16" s="16">
        <f t="shared" si="51"/>
        <v>6369681.8794141067</v>
      </c>
      <c r="F16" s="16">
        <f t="shared" si="51"/>
        <v>6456277.3023933414</v>
      </c>
      <c r="G16" s="16">
        <f t="shared" si="51"/>
        <v>6542872.7253725771</v>
      </c>
      <c r="H16" s="16">
        <f t="shared" si="51"/>
        <v>6635604.7239653924</v>
      </c>
      <c r="I16" s="16">
        <f t="shared" si="51"/>
        <v>6728336.7225582087</v>
      </c>
      <c r="J16" s="16">
        <f t="shared" si="51"/>
        <v>6821068.721151026</v>
      </c>
      <c r="K16" s="16">
        <f t="shared" si="51"/>
        <v>6913800.7197438404</v>
      </c>
      <c r="L16" s="16">
        <f t="shared" si="51"/>
        <v>7006532.7183366548</v>
      </c>
      <c r="M16" s="16">
        <f t="shared" si="51"/>
        <v>7105836.1603335813</v>
      </c>
      <c r="N16" s="16">
        <f t="shared" si="51"/>
        <v>7205139.6023305086</v>
      </c>
      <c r="O16" s="16">
        <f t="shared" si="51"/>
        <v>7304443.0443274351</v>
      </c>
      <c r="P16" s="16">
        <f t="shared" si="51"/>
        <v>7403746.4863243625</v>
      </c>
      <c r="Q16" s="16">
        <f t="shared" si="51"/>
        <v>7503049.928321287</v>
      </c>
      <c r="R16" s="16">
        <f t="shared" si="51"/>
        <v>7609390.4983734572</v>
      </c>
      <c r="S16" s="16">
        <f t="shared" si="51"/>
        <v>7715731.0684256274</v>
      </c>
      <c r="T16" s="16">
        <f t="shared" si="51"/>
        <v>7822071.6384777986</v>
      </c>
      <c r="U16" s="16">
        <f t="shared" si="51"/>
        <v>7928412.2085299678</v>
      </c>
      <c r="V16" s="16">
        <f t="shared" si="51"/>
        <v>8034752.7785821371</v>
      </c>
      <c r="W16" s="16">
        <f t="shared" si="51"/>
        <v>8147038.329871038</v>
      </c>
      <c r="X16" s="16">
        <f t="shared" si="51"/>
        <v>8259323.8811599407</v>
      </c>
      <c r="Y16" s="16">
        <f t="shared" si="51"/>
        <v>8371609.4324488407</v>
      </c>
      <c r="Z16" s="16">
        <f t="shared" si="51"/>
        <v>8483894.9837377425</v>
      </c>
      <c r="AA16" s="16">
        <f t="shared" si="51"/>
        <v>8596180.5350266434</v>
      </c>
      <c r="AB16" s="16">
        <f t="shared" ref="AB16" si="52">SUM(AB12:AB14)</f>
        <v>8708466.0863155443</v>
      </c>
      <c r="AC16" s="8"/>
      <c r="AD16" s="8"/>
      <c r="AE16" s="8"/>
      <c r="AF16" s="8"/>
      <c r="AG16" s="8"/>
      <c r="AH16" s="8"/>
      <c r="AI16" s="8"/>
      <c r="AJ16" s="8"/>
    </row>
    <row r="20" spans="1:36" x14ac:dyDescent="0.25">
      <c r="A20" s="12"/>
      <c r="B20" s="12"/>
      <c r="C20" s="9"/>
      <c r="D20" s="9"/>
      <c r="E20" s="9"/>
      <c r="F20" s="9"/>
      <c r="G20" s="9"/>
      <c r="H20" s="9"/>
      <c r="I20" s="9"/>
      <c r="J20" s="9"/>
      <c r="K20" s="9"/>
      <c r="L20" s="9"/>
      <c r="M20" s="9"/>
      <c r="N20" s="9"/>
      <c r="O20" s="9"/>
      <c r="P20" s="9"/>
      <c r="Q20" s="9"/>
      <c r="R20" s="9"/>
      <c r="S20" s="9"/>
      <c r="T20" s="9"/>
      <c r="U20" s="9"/>
      <c r="V20" s="9"/>
      <c r="W20" s="9"/>
      <c r="X20" s="9"/>
      <c r="Y20" s="9"/>
      <c r="Z20" s="9"/>
      <c r="AA20" s="122"/>
      <c r="AB20" s="122"/>
      <c r="AC20" s="122"/>
      <c r="AD20" s="122"/>
      <c r="AE20" s="122"/>
      <c r="AF20" s="122"/>
      <c r="AG20" s="122"/>
      <c r="AH20" s="122"/>
      <c r="AI20" s="122"/>
      <c r="AJ20" s="122"/>
    </row>
    <row r="21" spans="1:36" x14ac:dyDescent="0.25">
      <c r="A21" s="12"/>
      <c r="B21" s="11"/>
      <c r="C21" s="9"/>
      <c r="D21" s="9"/>
      <c r="E21" s="9"/>
      <c r="F21" s="28"/>
      <c r="G21" s="28"/>
      <c r="H21" s="28"/>
      <c r="I21" s="28"/>
      <c r="J21" s="28"/>
      <c r="K21" s="28"/>
      <c r="L21" s="28"/>
      <c r="M21" s="28"/>
      <c r="N21" s="28"/>
      <c r="O21" s="28"/>
      <c r="P21" s="28"/>
      <c r="Q21" s="28"/>
      <c r="R21" s="28"/>
      <c r="S21" s="28"/>
      <c r="T21" s="28"/>
      <c r="U21" s="28"/>
      <c r="V21" s="28"/>
      <c r="W21" s="28"/>
      <c r="X21" s="28"/>
      <c r="Y21" s="28"/>
      <c r="Z21" s="28"/>
      <c r="AA21" s="8"/>
      <c r="AB21" s="122"/>
      <c r="AC21" s="122"/>
      <c r="AD21" s="122"/>
      <c r="AE21" s="122"/>
      <c r="AF21" s="122"/>
      <c r="AG21" s="122"/>
      <c r="AH21" s="122"/>
      <c r="AI21" s="122"/>
      <c r="AJ21" s="122"/>
    </row>
    <row r="22" spans="1:36" x14ac:dyDescent="0.25">
      <c r="A22" s="26"/>
      <c r="B22" s="26"/>
      <c r="C22" s="9"/>
      <c r="D22" s="9"/>
      <c r="E22" s="9"/>
      <c r="F22" s="9"/>
      <c r="G22" s="9"/>
      <c r="H22" s="9"/>
      <c r="I22" s="9"/>
      <c r="J22" s="9"/>
      <c r="K22" s="9"/>
      <c r="L22" s="9"/>
      <c r="M22" s="9"/>
      <c r="N22" s="9"/>
      <c r="O22" s="9"/>
      <c r="P22" s="9"/>
      <c r="Q22" s="9"/>
      <c r="R22" s="9"/>
      <c r="S22" s="9"/>
      <c r="T22" s="9"/>
      <c r="U22" s="9"/>
      <c r="V22" s="9"/>
      <c r="W22" s="9"/>
      <c r="X22" s="9"/>
      <c r="Y22" s="9"/>
      <c r="Z22" s="9"/>
      <c r="AA22" s="122"/>
      <c r="AB22" s="122"/>
      <c r="AC22" s="122"/>
      <c r="AD22" s="122"/>
      <c r="AE22" s="122"/>
      <c r="AF22" s="122"/>
      <c r="AG22" s="122"/>
      <c r="AH22" s="122"/>
      <c r="AI22" s="122"/>
      <c r="AJ22" s="122"/>
    </row>
    <row r="23" spans="1:36" x14ac:dyDescent="0.25">
      <c r="A23" s="29"/>
      <c r="B23" s="29"/>
      <c r="C23" s="9"/>
      <c r="D23" s="9"/>
      <c r="E23" s="9"/>
      <c r="F23" s="9"/>
      <c r="G23" s="9"/>
      <c r="H23" s="9"/>
      <c r="I23" s="9"/>
      <c r="J23" s="9"/>
      <c r="K23" s="9"/>
      <c r="L23" s="9"/>
      <c r="M23" s="9"/>
      <c r="N23" s="9"/>
      <c r="O23" s="9"/>
      <c r="P23" s="9"/>
      <c r="Q23" s="9"/>
      <c r="R23" s="9"/>
      <c r="S23" s="9"/>
      <c r="T23" s="9"/>
      <c r="U23" s="9"/>
      <c r="V23" s="9"/>
      <c r="W23" s="9"/>
      <c r="X23" s="9"/>
      <c r="Y23" s="9"/>
      <c r="Z23" s="9"/>
      <c r="AA23" s="122"/>
      <c r="AB23" s="122"/>
      <c r="AC23" s="122"/>
      <c r="AD23" s="122"/>
      <c r="AE23" s="122"/>
      <c r="AF23" s="122"/>
      <c r="AG23" s="122"/>
      <c r="AH23" s="122"/>
      <c r="AI23" s="122"/>
      <c r="AJ23" s="122"/>
    </row>
    <row r="24" spans="1:36" x14ac:dyDescent="0.25">
      <c r="A24" s="24"/>
      <c r="B24" s="24"/>
      <c r="C24" s="9"/>
      <c r="D24" s="9"/>
      <c r="E24" s="9"/>
      <c r="F24" s="9"/>
      <c r="G24" s="9"/>
      <c r="H24" s="9"/>
      <c r="I24" s="9"/>
      <c r="J24" s="9"/>
      <c r="K24" s="9"/>
      <c r="L24" s="9"/>
      <c r="M24" s="9"/>
      <c r="N24" s="9"/>
      <c r="O24" s="9"/>
      <c r="P24" s="9"/>
      <c r="Q24" s="9"/>
      <c r="R24" s="9"/>
      <c r="S24" s="9"/>
      <c r="T24" s="9"/>
      <c r="U24" s="9"/>
      <c r="V24" s="9"/>
      <c r="W24" s="9"/>
      <c r="X24" s="9"/>
      <c r="Y24" s="9"/>
      <c r="Z24" s="9"/>
      <c r="AA24" s="122"/>
      <c r="AB24" s="122"/>
      <c r="AC24" s="122"/>
      <c r="AD24" s="122"/>
      <c r="AE24" s="122"/>
      <c r="AF24" s="122"/>
      <c r="AG24" s="122"/>
      <c r="AH24" s="122"/>
      <c r="AI24" s="122"/>
      <c r="AJ24" s="122"/>
    </row>
    <row r="25" spans="1:36" x14ac:dyDescent="0.25">
      <c r="A25" s="24"/>
      <c r="B25" s="24"/>
      <c r="C25" s="9"/>
      <c r="D25" s="9"/>
      <c r="E25" s="9"/>
      <c r="F25" s="9"/>
      <c r="G25" s="9"/>
      <c r="H25" s="9"/>
      <c r="I25" s="9"/>
      <c r="J25" s="9"/>
      <c r="K25" s="9"/>
      <c r="L25" s="9"/>
      <c r="M25" s="9"/>
      <c r="N25" s="9"/>
      <c r="O25" s="9"/>
      <c r="P25" s="9"/>
      <c r="Q25" s="9"/>
      <c r="R25" s="9"/>
      <c r="S25" s="9"/>
      <c r="T25" s="9"/>
      <c r="U25" s="9"/>
      <c r="V25" s="9"/>
      <c r="W25" s="9"/>
      <c r="X25" s="9"/>
      <c r="Y25" s="9"/>
      <c r="Z25" s="9"/>
      <c r="AA25" s="122"/>
      <c r="AB25" s="122"/>
      <c r="AC25" s="122"/>
      <c r="AD25" s="122"/>
      <c r="AE25" s="122"/>
      <c r="AF25" s="122"/>
      <c r="AG25" s="122"/>
      <c r="AH25" s="122"/>
      <c r="AI25" s="122"/>
      <c r="AJ25" s="122"/>
    </row>
    <row r="26" spans="1:36" x14ac:dyDescent="0.25">
      <c r="A26" s="24"/>
      <c r="B26" s="24"/>
      <c r="C26" s="9"/>
      <c r="D26" s="9"/>
      <c r="E26" s="9"/>
      <c r="F26" s="9"/>
      <c r="G26" s="9"/>
      <c r="H26" s="9"/>
      <c r="I26" s="9"/>
      <c r="J26" s="9"/>
      <c r="K26" s="9"/>
      <c r="L26" s="9"/>
      <c r="M26" s="9"/>
      <c r="N26" s="9"/>
      <c r="O26" s="9"/>
      <c r="P26" s="9"/>
      <c r="Q26" s="9"/>
      <c r="R26" s="9"/>
      <c r="S26" s="9"/>
      <c r="T26" s="9"/>
      <c r="U26" s="9"/>
      <c r="V26" s="9"/>
      <c r="W26" s="9"/>
      <c r="X26" s="9"/>
      <c r="Y26" s="9"/>
      <c r="Z26" s="9"/>
      <c r="AA26" s="122"/>
      <c r="AB26" s="5"/>
      <c r="AC26" s="5"/>
      <c r="AD26" s="5"/>
      <c r="AE26" s="5"/>
      <c r="AF26" s="5"/>
      <c r="AG26" s="5"/>
      <c r="AH26" s="5"/>
      <c r="AI26" s="5"/>
      <c r="AJ26" s="5"/>
    </row>
    <row r="27" spans="1:36" x14ac:dyDescent="0.25">
      <c r="A27" s="24"/>
      <c r="B27" s="24"/>
      <c r="C27" s="9"/>
      <c r="D27" s="9"/>
      <c r="E27" s="9"/>
      <c r="F27" s="9"/>
      <c r="G27" s="9"/>
      <c r="H27" s="9"/>
      <c r="I27" s="9"/>
      <c r="J27" s="9"/>
      <c r="K27" s="9"/>
      <c r="L27" s="9"/>
      <c r="M27" s="9"/>
      <c r="N27" s="9"/>
      <c r="O27" s="9"/>
      <c r="P27" s="9"/>
      <c r="Q27" s="9"/>
      <c r="R27" s="9"/>
      <c r="S27" s="9"/>
      <c r="T27" s="9"/>
      <c r="U27" s="9"/>
      <c r="V27" s="9"/>
      <c r="W27" s="9"/>
      <c r="X27" s="9"/>
      <c r="Y27" s="9"/>
      <c r="Z27" s="9"/>
      <c r="AA27" s="122"/>
      <c r="AB27" s="5"/>
      <c r="AC27" s="5"/>
      <c r="AD27" s="5"/>
      <c r="AE27" s="5"/>
      <c r="AF27" s="5"/>
      <c r="AG27" s="5"/>
      <c r="AH27" s="5"/>
      <c r="AI27" s="5"/>
      <c r="AJ27" s="5"/>
    </row>
    <row r="28" spans="1:36" x14ac:dyDescent="0.25">
      <c r="A28" s="24"/>
      <c r="B28" s="24"/>
      <c r="C28" s="9"/>
      <c r="D28" s="9"/>
      <c r="E28" s="9"/>
      <c r="F28" s="9"/>
      <c r="G28" s="9"/>
      <c r="H28" s="9"/>
      <c r="I28" s="9"/>
      <c r="J28" s="9"/>
      <c r="K28" s="9"/>
      <c r="L28" s="9"/>
      <c r="M28" s="9"/>
      <c r="N28" s="9"/>
      <c r="O28" s="9"/>
      <c r="P28" s="9"/>
      <c r="Q28" s="9"/>
      <c r="R28" s="9"/>
      <c r="S28" s="9"/>
      <c r="T28" s="9"/>
      <c r="U28" s="9"/>
      <c r="V28" s="9"/>
      <c r="W28" s="9"/>
      <c r="X28" s="9"/>
      <c r="Y28" s="9"/>
      <c r="Z28" s="9"/>
      <c r="AA28" s="122"/>
      <c r="AB28" s="5"/>
      <c r="AC28" s="5"/>
      <c r="AD28" s="5"/>
      <c r="AE28" s="5"/>
      <c r="AF28" s="5"/>
      <c r="AG28" s="5"/>
      <c r="AH28" s="5"/>
      <c r="AI28" s="5"/>
      <c r="AJ28" s="5"/>
    </row>
    <row r="29" spans="1:36" x14ac:dyDescent="0.25">
      <c r="A29" s="30"/>
      <c r="B29" s="30"/>
      <c r="C29" s="9"/>
      <c r="D29" s="9"/>
      <c r="E29" s="9"/>
      <c r="F29" s="9"/>
      <c r="G29" s="9"/>
      <c r="H29" s="9"/>
      <c r="I29" s="9"/>
      <c r="J29" s="30"/>
      <c r="K29" s="9"/>
      <c r="L29" s="9"/>
      <c r="M29" s="9"/>
      <c r="N29" s="9"/>
      <c r="O29" s="9"/>
      <c r="P29" s="9"/>
      <c r="Q29" s="9"/>
      <c r="R29" s="9"/>
      <c r="S29" s="9"/>
      <c r="T29" s="9"/>
      <c r="U29" s="9"/>
      <c r="V29" s="9"/>
      <c r="W29" s="9"/>
      <c r="X29" s="9"/>
      <c r="Y29" s="9"/>
      <c r="Z29" s="9"/>
      <c r="AA29" s="122"/>
      <c r="AB29" s="5"/>
      <c r="AC29" s="5"/>
      <c r="AD29" s="5"/>
      <c r="AE29" s="5"/>
      <c r="AF29" s="5"/>
      <c r="AG29" s="5"/>
      <c r="AH29" s="5"/>
      <c r="AI29" s="5"/>
      <c r="AJ29" s="5"/>
    </row>
    <row r="30" spans="1:36" x14ac:dyDescent="0.25">
      <c r="A30" s="31"/>
      <c r="B30" s="31"/>
      <c r="C30" s="9"/>
      <c r="D30" s="9"/>
      <c r="E30" s="9"/>
      <c r="F30" s="9"/>
      <c r="G30" s="9"/>
      <c r="H30" s="9"/>
      <c r="I30" s="9"/>
      <c r="J30" s="30"/>
      <c r="K30" s="9"/>
      <c r="L30" s="9"/>
      <c r="M30" s="9"/>
      <c r="N30" s="9"/>
      <c r="O30" s="9"/>
      <c r="P30" s="9"/>
      <c r="Q30" s="9"/>
      <c r="R30" s="9"/>
      <c r="S30" s="9"/>
      <c r="T30" s="9"/>
      <c r="U30" s="9"/>
      <c r="V30" s="9"/>
      <c r="W30" s="9"/>
      <c r="X30" s="9"/>
      <c r="Y30" s="9"/>
      <c r="Z30" s="9"/>
      <c r="AA30" s="122"/>
      <c r="AB30" s="5"/>
      <c r="AC30" s="5"/>
      <c r="AD30" s="5"/>
      <c r="AE30" s="5"/>
      <c r="AF30" s="5"/>
      <c r="AG30" s="5"/>
      <c r="AH30" s="5"/>
      <c r="AI30" s="5"/>
      <c r="AJ30" s="5"/>
    </row>
    <row r="31" spans="1:36" x14ac:dyDescent="0.25">
      <c r="A31" s="24"/>
      <c r="B31" s="24"/>
      <c r="C31" s="9"/>
      <c r="D31" s="9"/>
      <c r="E31" s="9"/>
      <c r="F31" s="32"/>
      <c r="G31" s="32"/>
      <c r="H31" s="32"/>
      <c r="I31" s="32"/>
      <c r="J31" s="32"/>
      <c r="K31" s="32"/>
      <c r="L31" s="32"/>
      <c r="M31" s="32"/>
      <c r="N31" s="32"/>
      <c r="O31" s="32"/>
      <c r="P31" s="32"/>
      <c r="Q31" s="32"/>
      <c r="R31" s="32"/>
      <c r="S31" s="32"/>
      <c r="T31" s="32"/>
      <c r="U31" s="32"/>
      <c r="V31" s="32"/>
      <c r="W31" s="32"/>
      <c r="X31" s="32"/>
      <c r="Y31" s="32"/>
      <c r="Z31" s="32"/>
      <c r="AA31" s="5"/>
      <c r="AB31" s="7"/>
      <c r="AC31" s="7"/>
      <c r="AD31" s="7"/>
      <c r="AE31" s="7"/>
      <c r="AF31" s="7"/>
      <c r="AG31" s="7"/>
      <c r="AH31" s="7"/>
      <c r="AI31" s="7"/>
      <c r="AJ31" s="7"/>
    </row>
    <row r="32" spans="1:36" x14ac:dyDescent="0.25">
      <c r="A32" s="24"/>
      <c r="B32" s="24"/>
      <c r="C32" s="9"/>
      <c r="D32" s="9"/>
      <c r="E32" s="9"/>
      <c r="F32" s="32"/>
      <c r="G32" s="32"/>
      <c r="H32" s="32"/>
      <c r="I32" s="32"/>
      <c r="J32" s="32"/>
      <c r="K32" s="32"/>
      <c r="L32" s="32"/>
      <c r="M32" s="32"/>
      <c r="N32" s="32"/>
      <c r="O32" s="32"/>
      <c r="P32" s="32"/>
      <c r="Q32" s="32"/>
      <c r="R32" s="32"/>
      <c r="S32" s="32"/>
      <c r="T32" s="32"/>
      <c r="U32" s="32"/>
      <c r="V32" s="32"/>
      <c r="W32" s="32"/>
      <c r="X32" s="32"/>
      <c r="Y32" s="32"/>
      <c r="Z32" s="32"/>
      <c r="AA32" s="5"/>
      <c r="AB32" s="8"/>
      <c r="AC32" s="8"/>
      <c r="AD32" s="8"/>
      <c r="AE32" s="8"/>
      <c r="AF32" s="8"/>
      <c r="AG32" s="8"/>
      <c r="AH32" s="8"/>
      <c r="AI32" s="8"/>
      <c r="AJ32" s="8"/>
    </row>
    <row r="33" spans="1:36" x14ac:dyDescent="0.25">
      <c r="A33" s="24"/>
      <c r="B33" s="24"/>
      <c r="C33" s="9"/>
      <c r="D33" s="9"/>
      <c r="E33" s="9"/>
      <c r="F33" s="32"/>
      <c r="G33" s="32"/>
      <c r="H33" s="32"/>
      <c r="I33" s="32"/>
      <c r="J33" s="32"/>
      <c r="K33" s="32"/>
      <c r="L33" s="32"/>
      <c r="M33" s="32"/>
      <c r="N33" s="32"/>
      <c r="O33" s="32"/>
      <c r="P33" s="32"/>
      <c r="Q33" s="32"/>
      <c r="R33" s="32"/>
      <c r="S33" s="32"/>
      <c r="T33" s="32"/>
      <c r="U33" s="32"/>
      <c r="V33" s="32"/>
      <c r="W33" s="32"/>
      <c r="X33" s="32"/>
      <c r="Y33" s="32"/>
      <c r="Z33" s="32"/>
      <c r="AA33" s="5"/>
      <c r="AB33" s="123"/>
      <c r="AC33" s="123"/>
      <c r="AD33" s="123"/>
      <c r="AE33" s="123"/>
      <c r="AF33" s="123"/>
      <c r="AG33" s="123"/>
      <c r="AH33" s="123"/>
      <c r="AI33" s="123"/>
      <c r="AJ33" s="123"/>
    </row>
    <row r="34" spans="1:36" x14ac:dyDescent="0.25">
      <c r="A34" s="24"/>
      <c r="B34" s="24"/>
      <c r="C34" s="9"/>
      <c r="D34" s="9"/>
      <c r="E34" s="9"/>
      <c r="F34" s="32"/>
      <c r="G34" s="32"/>
      <c r="H34" s="32"/>
      <c r="I34" s="32"/>
      <c r="J34" s="32"/>
      <c r="K34" s="32"/>
      <c r="L34" s="32"/>
      <c r="M34" s="32"/>
      <c r="N34" s="32"/>
      <c r="O34" s="32"/>
      <c r="P34" s="32"/>
      <c r="Q34" s="32"/>
      <c r="R34" s="32"/>
      <c r="S34" s="32"/>
      <c r="T34" s="32"/>
      <c r="U34" s="32"/>
      <c r="V34" s="32"/>
      <c r="W34" s="32"/>
      <c r="X34" s="32"/>
      <c r="Y34" s="32"/>
      <c r="Z34" s="32"/>
      <c r="AA34" s="5"/>
      <c r="AB34" s="123"/>
      <c r="AC34" s="123"/>
      <c r="AD34" s="123"/>
      <c r="AE34" s="123"/>
      <c r="AF34" s="123"/>
      <c r="AG34" s="123"/>
      <c r="AH34" s="123"/>
      <c r="AI34" s="123"/>
      <c r="AJ34" s="123"/>
    </row>
    <row r="35" spans="1:36" x14ac:dyDescent="0.25">
      <c r="A35" s="24"/>
      <c r="B35" s="24"/>
      <c r="C35" s="9"/>
      <c r="D35" s="9"/>
      <c r="E35" s="9"/>
      <c r="F35" s="32"/>
      <c r="G35" s="32"/>
      <c r="H35" s="32"/>
      <c r="I35" s="32"/>
      <c r="J35" s="32"/>
      <c r="K35" s="32"/>
      <c r="L35" s="32"/>
      <c r="M35" s="32"/>
      <c r="N35" s="32"/>
      <c r="O35" s="32"/>
      <c r="P35" s="32"/>
      <c r="Q35" s="32"/>
      <c r="R35" s="32"/>
      <c r="S35" s="32"/>
      <c r="T35" s="32"/>
      <c r="U35" s="32"/>
      <c r="V35" s="32"/>
      <c r="W35" s="32"/>
      <c r="X35" s="32"/>
      <c r="Y35" s="32"/>
      <c r="Z35" s="32"/>
      <c r="AA35" s="5"/>
      <c r="AB35" s="7"/>
      <c r="AC35" s="7"/>
      <c r="AD35" s="7"/>
      <c r="AE35" s="7"/>
      <c r="AF35" s="7"/>
      <c r="AG35" s="7"/>
      <c r="AH35" s="7"/>
      <c r="AI35" s="7"/>
      <c r="AJ35" s="7"/>
    </row>
    <row r="36" spans="1:36" x14ac:dyDescent="0.25">
      <c r="A36" s="33"/>
      <c r="B36" s="33"/>
      <c r="C36" s="9"/>
      <c r="D36" s="9"/>
      <c r="E36" s="9"/>
      <c r="F36" s="27"/>
      <c r="G36" s="27"/>
      <c r="H36" s="27"/>
      <c r="I36" s="27"/>
      <c r="J36" s="27"/>
      <c r="K36" s="27"/>
      <c r="L36" s="27"/>
      <c r="M36" s="27"/>
      <c r="N36" s="27"/>
      <c r="O36" s="27"/>
      <c r="P36" s="27"/>
      <c r="Q36" s="27"/>
      <c r="R36" s="27"/>
      <c r="S36" s="27"/>
      <c r="T36" s="27"/>
      <c r="U36" s="27"/>
      <c r="V36" s="27"/>
      <c r="W36" s="27"/>
      <c r="X36" s="27"/>
      <c r="Y36" s="27"/>
      <c r="Z36" s="27"/>
      <c r="AA36" s="7"/>
      <c r="AB36" s="8"/>
      <c r="AC36" s="8"/>
      <c r="AD36" s="8"/>
      <c r="AE36" s="8"/>
      <c r="AF36" s="8"/>
      <c r="AG36" s="8"/>
      <c r="AH36" s="8"/>
      <c r="AI36" s="8"/>
      <c r="AJ36" s="8"/>
    </row>
    <row r="37" spans="1:36" x14ac:dyDescent="0.25">
      <c r="A37" s="12"/>
      <c r="B37" s="11"/>
      <c r="C37" s="9"/>
      <c r="D37" s="9"/>
      <c r="E37" s="9"/>
      <c r="F37" s="28"/>
      <c r="G37" s="28"/>
      <c r="H37" s="28"/>
      <c r="I37" s="28"/>
      <c r="J37" s="28"/>
      <c r="K37" s="28"/>
      <c r="L37" s="28"/>
      <c r="M37" s="28"/>
      <c r="N37" s="28"/>
      <c r="O37" s="28"/>
      <c r="P37" s="28"/>
      <c r="Q37" s="28"/>
      <c r="R37" s="28"/>
      <c r="S37" s="28"/>
      <c r="T37" s="28"/>
      <c r="U37" s="28"/>
      <c r="V37" s="28"/>
      <c r="W37" s="28"/>
      <c r="X37" s="28"/>
      <c r="Y37" s="28"/>
      <c r="Z37" s="28"/>
      <c r="AA37" s="8"/>
      <c r="AB37" s="122"/>
      <c r="AC37" s="122"/>
      <c r="AD37" s="122"/>
      <c r="AE37" s="122"/>
      <c r="AF37" s="122"/>
      <c r="AG37" s="122"/>
      <c r="AH37" s="122"/>
      <c r="AI37" s="122"/>
      <c r="AJ37" s="122"/>
    </row>
    <row r="38" spans="1:36" x14ac:dyDescent="0.25">
      <c r="A38" s="34"/>
      <c r="B38" s="34"/>
      <c r="C38" s="9"/>
      <c r="D38" s="9"/>
      <c r="E38" s="9"/>
      <c r="F38" s="9"/>
      <c r="G38" s="9"/>
      <c r="H38" s="10"/>
      <c r="I38" s="10"/>
      <c r="J38" s="10"/>
      <c r="K38" s="10"/>
      <c r="L38" s="10"/>
      <c r="M38" s="10"/>
      <c r="N38" s="10"/>
      <c r="O38" s="10"/>
      <c r="P38" s="10"/>
      <c r="Q38" s="10"/>
      <c r="R38" s="10"/>
      <c r="S38" s="10"/>
      <c r="T38" s="10"/>
      <c r="U38" s="10"/>
      <c r="V38" s="10"/>
      <c r="W38" s="10"/>
      <c r="X38" s="10"/>
      <c r="Y38" s="10"/>
      <c r="Z38" s="10"/>
      <c r="AA38" s="123"/>
      <c r="AB38" s="122"/>
      <c r="AC38" s="122"/>
      <c r="AD38" s="122"/>
      <c r="AE38" s="122"/>
      <c r="AF38" s="122"/>
      <c r="AG38" s="122"/>
      <c r="AH38" s="122"/>
      <c r="AI38" s="122"/>
      <c r="AJ38" s="122"/>
    </row>
    <row r="39" spans="1:36" x14ac:dyDescent="0.25">
      <c r="A39" s="33"/>
      <c r="B39" s="33"/>
      <c r="C39" s="9"/>
      <c r="D39" s="9"/>
      <c r="E39" s="9"/>
      <c r="F39" s="10"/>
      <c r="G39" s="10"/>
      <c r="H39" s="10"/>
      <c r="I39" s="10"/>
      <c r="J39" s="10"/>
      <c r="K39" s="10"/>
      <c r="L39" s="10"/>
      <c r="M39" s="10"/>
      <c r="N39" s="10"/>
      <c r="O39" s="10"/>
      <c r="P39" s="10"/>
      <c r="Q39" s="10"/>
      <c r="R39" s="10"/>
      <c r="S39" s="10"/>
      <c r="T39" s="10"/>
      <c r="U39" s="10"/>
      <c r="V39" s="10"/>
      <c r="W39" s="10"/>
      <c r="X39" s="10"/>
      <c r="Y39" s="10"/>
      <c r="Z39" s="10"/>
      <c r="AA39" s="123"/>
      <c r="AB39" s="122"/>
      <c r="AC39" s="122"/>
      <c r="AD39" s="122"/>
      <c r="AE39" s="122"/>
      <c r="AF39" s="122"/>
      <c r="AG39" s="122"/>
      <c r="AH39" s="122"/>
      <c r="AI39" s="122"/>
      <c r="AJ39" s="122"/>
    </row>
    <row r="40" spans="1:36" x14ac:dyDescent="0.25">
      <c r="A40" s="33"/>
      <c r="B40" s="33"/>
      <c r="C40" s="9"/>
      <c r="D40" s="9"/>
      <c r="E40" s="9"/>
      <c r="F40" s="27"/>
      <c r="G40" s="27"/>
      <c r="H40" s="27"/>
      <c r="I40" s="27"/>
      <c r="J40" s="27"/>
      <c r="K40" s="27"/>
      <c r="L40" s="27"/>
      <c r="M40" s="27"/>
      <c r="N40" s="27"/>
      <c r="O40" s="27"/>
      <c r="P40" s="27"/>
      <c r="Q40" s="27"/>
      <c r="R40" s="27"/>
      <c r="S40" s="27"/>
      <c r="T40" s="27"/>
      <c r="U40" s="27"/>
      <c r="V40" s="27"/>
      <c r="W40" s="27"/>
      <c r="X40" s="27"/>
      <c r="Y40" s="27"/>
      <c r="Z40" s="27"/>
      <c r="AA40" s="7"/>
      <c r="AB40" s="122"/>
      <c r="AC40" s="122"/>
      <c r="AD40" s="122"/>
      <c r="AE40" s="122"/>
      <c r="AF40" s="122"/>
      <c r="AG40" s="122"/>
      <c r="AH40" s="122"/>
      <c r="AI40" s="122"/>
      <c r="AJ40" s="122"/>
    </row>
    <row r="41" spans="1:36" x14ac:dyDescent="0.25">
      <c r="A41" s="33"/>
      <c r="B41" s="11"/>
      <c r="C41" s="9"/>
      <c r="D41" s="9"/>
      <c r="E41" s="9"/>
      <c r="F41" s="28"/>
      <c r="G41" s="28"/>
      <c r="H41" s="28"/>
      <c r="I41" s="28"/>
      <c r="J41" s="28"/>
      <c r="K41" s="28"/>
      <c r="L41" s="28"/>
      <c r="M41" s="28"/>
      <c r="N41" s="28"/>
      <c r="O41" s="28"/>
      <c r="P41" s="28"/>
      <c r="Q41" s="28"/>
      <c r="R41" s="28"/>
      <c r="S41" s="28"/>
      <c r="T41" s="28"/>
      <c r="U41" s="28"/>
      <c r="V41" s="28"/>
      <c r="W41" s="28"/>
      <c r="X41" s="28"/>
      <c r="Y41" s="28"/>
      <c r="Z41" s="28"/>
      <c r="AA41" s="8"/>
      <c r="AB41" s="7"/>
      <c r="AC41" s="7"/>
      <c r="AD41" s="7"/>
      <c r="AE41" s="7"/>
      <c r="AF41" s="7"/>
      <c r="AG41" s="7"/>
      <c r="AH41" s="7"/>
      <c r="AI41" s="7"/>
      <c r="AJ41" s="7"/>
    </row>
    <row r="42" spans="1:36" x14ac:dyDescent="0.25">
      <c r="A42" s="34"/>
      <c r="B42" s="34"/>
      <c r="C42" s="9"/>
      <c r="D42" s="9"/>
      <c r="E42" s="9"/>
      <c r="F42" s="9"/>
      <c r="G42" s="9"/>
      <c r="H42" s="9"/>
      <c r="I42" s="9"/>
      <c r="J42" s="9"/>
      <c r="K42" s="9"/>
      <c r="L42" s="9"/>
      <c r="M42" s="9"/>
      <c r="N42" s="9"/>
      <c r="O42" s="9"/>
      <c r="P42" s="9"/>
      <c r="Q42" s="10"/>
      <c r="R42" s="9"/>
      <c r="S42" s="9"/>
      <c r="T42" s="9"/>
      <c r="U42" s="9"/>
      <c r="V42" s="9"/>
      <c r="W42" s="9"/>
      <c r="X42" s="9"/>
      <c r="Y42" s="9"/>
      <c r="Z42" s="9"/>
      <c r="AA42" s="122"/>
      <c r="AB42" s="122"/>
      <c r="AC42" s="122"/>
      <c r="AD42" s="122"/>
      <c r="AE42" s="122"/>
      <c r="AF42" s="122"/>
      <c r="AG42" s="122"/>
      <c r="AH42" s="122"/>
      <c r="AI42" s="122"/>
      <c r="AJ42" s="122"/>
    </row>
    <row r="43" spans="1:36" x14ac:dyDescent="0.25">
      <c r="A43" s="34"/>
      <c r="B43" s="34"/>
      <c r="C43" s="9"/>
      <c r="D43" s="9"/>
      <c r="E43" s="9"/>
      <c r="F43" s="9"/>
      <c r="G43" s="9"/>
      <c r="H43" s="9"/>
      <c r="I43" s="9"/>
      <c r="J43" s="9"/>
      <c r="K43" s="9"/>
      <c r="L43" s="9"/>
      <c r="M43" s="9"/>
      <c r="N43" s="9"/>
      <c r="O43" s="9"/>
      <c r="P43" s="9"/>
      <c r="Q43" s="9"/>
      <c r="R43" s="9"/>
      <c r="S43" s="9"/>
      <c r="T43" s="9"/>
      <c r="U43" s="9"/>
      <c r="V43" s="9"/>
      <c r="W43" s="9"/>
      <c r="X43" s="9"/>
      <c r="Y43" s="9"/>
      <c r="Z43" s="9"/>
      <c r="AA43" s="122"/>
      <c r="AB43" s="122"/>
      <c r="AC43" s="122"/>
      <c r="AD43" s="122"/>
      <c r="AE43" s="122"/>
      <c r="AF43" s="122"/>
      <c r="AG43" s="122"/>
      <c r="AH43" s="122"/>
      <c r="AI43" s="122"/>
      <c r="AJ43" s="122"/>
    </row>
    <row r="44" spans="1:36" x14ac:dyDescent="0.25">
      <c r="A44" s="34"/>
      <c r="B44" s="34"/>
      <c r="C44" s="9"/>
      <c r="D44" s="9"/>
      <c r="E44" s="9"/>
      <c r="F44" s="9"/>
      <c r="G44" s="9"/>
      <c r="H44" s="9"/>
      <c r="I44" s="9"/>
      <c r="J44" s="9"/>
      <c r="K44" s="9"/>
      <c r="L44" s="9"/>
      <c r="M44" s="9"/>
      <c r="N44" s="9"/>
      <c r="O44" s="9"/>
      <c r="P44" s="9"/>
      <c r="Q44" s="9"/>
      <c r="R44" s="9"/>
      <c r="S44" s="9"/>
      <c r="T44" s="9"/>
      <c r="U44" s="9"/>
      <c r="V44" s="9"/>
      <c r="W44" s="9"/>
      <c r="X44" s="9"/>
      <c r="Y44" s="9"/>
      <c r="Z44" s="9"/>
      <c r="AA44" s="122"/>
      <c r="AB44" s="122"/>
      <c r="AC44" s="122"/>
      <c r="AD44" s="122"/>
      <c r="AE44" s="122"/>
      <c r="AF44" s="122"/>
      <c r="AG44" s="122"/>
      <c r="AH44" s="122"/>
      <c r="AI44" s="122"/>
      <c r="AJ44" s="122"/>
    </row>
    <row r="45" spans="1:36" x14ac:dyDescent="0.25">
      <c r="A45" s="34"/>
      <c r="B45" s="34"/>
      <c r="C45" s="9"/>
      <c r="D45" s="9"/>
      <c r="E45" s="9"/>
      <c r="F45" s="9"/>
      <c r="G45" s="9"/>
      <c r="H45" s="9"/>
      <c r="I45" s="9"/>
      <c r="J45" s="9"/>
      <c r="K45" s="9"/>
      <c r="L45" s="9"/>
      <c r="M45" s="9"/>
      <c r="N45" s="9"/>
      <c r="O45" s="9"/>
      <c r="P45" s="9"/>
      <c r="Q45" s="9"/>
      <c r="R45" s="9"/>
      <c r="S45" s="9"/>
      <c r="T45" s="9"/>
      <c r="U45" s="9"/>
      <c r="V45" s="9"/>
      <c r="W45" s="9"/>
      <c r="X45" s="9"/>
      <c r="Y45" s="9"/>
      <c r="Z45" s="9"/>
      <c r="AA45" s="122"/>
      <c r="AB45" s="122"/>
      <c r="AC45" s="122"/>
      <c r="AD45" s="122"/>
      <c r="AE45" s="122"/>
      <c r="AF45" s="122"/>
      <c r="AG45" s="122"/>
      <c r="AH45" s="122"/>
      <c r="AI45" s="122"/>
      <c r="AJ45" s="122"/>
    </row>
    <row r="46" spans="1:36" x14ac:dyDescent="0.25">
      <c r="A46" s="34"/>
      <c r="B46" s="34"/>
      <c r="C46" s="9"/>
      <c r="D46" s="27"/>
      <c r="E46" s="27"/>
      <c r="F46" s="27"/>
      <c r="G46" s="27"/>
      <c r="H46" s="27"/>
      <c r="I46" s="27"/>
      <c r="J46" s="27"/>
      <c r="K46" s="27"/>
      <c r="L46" s="27"/>
      <c r="M46" s="27"/>
      <c r="N46" s="27"/>
      <c r="O46" s="27"/>
      <c r="P46" s="27"/>
      <c r="Q46" s="27"/>
      <c r="R46" s="27"/>
      <c r="S46" s="27"/>
      <c r="T46" s="27"/>
      <c r="U46" s="27"/>
      <c r="V46" s="27"/>
      <c r="W46" s="27"/>
      <c r="X46" s="27"/>
      <c r="Y46" s="27"/>
      <c r="Z46" s="27"/>
      <c r="AA46" s="7"/>
      <c r="AB46" s="122"/>
      <c r="AC46" s="122"/>
      <c r="AD46" s="122"/>
      <c r="AE46" s="122"/>
      <c r="AF46" s="122"/>
      <c r="AG46" s="122"/>
      <c r="AH46" s="122"/>
      <c r="AI46" s="122"/>
      <c r="AJ46" s="122"/>
    </row>
    <row r="47" spans="1:36"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122"/>
      <c r="AB47" s="122"/>
      <c r="AC47" s="122"/>
      <c r="AD47" s="122"/>
      <c r="AE47" s="122"/>
      <c r="AF47" s="122"/>
      <c r="AG47" s="122"/>
      <c r="AH47" s="122"/>
      <c r="AI47" s="122"/>
      <c r="AJ47" s="122"/>
    </row>
    <row r="54" spans="1:2" x14ac:dyDescent="0.25">
      <c r="A54" s="3"/>
      <c r="B54" s="3"/>
    </row>
    <row r="56" spans="1:2" x14ac:dyDescent="0.25">
      <c r="A56" s="3"/>
      <c r="B56"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68E0-443F-4E8D-A3AE-5C16C0B21695}">
  <sheetPr>
    <tabColor rgb="FF92D050"/>
  </sheetPr>
  <dimension ref="A1:AQ34"/>
  <sheetViews>
    <sheetView zoomScaleNormal="100" workbookViewId="0">
      <selection activeCell="G35" sqref="G35"/>
    </sheetView>
  </sheetViews>
  <sheetFormatPr defaultRowHeight="15" x14ac:dyDescent="0.25"/>
  <cols>
    <col min="1" max="1" width="39.5703125" customWidth="1"/>
    <col min="2" max="2" width="12.5703125" style="122" customWidth="1"/>
    <col min="3" max="3" width="23" style="122" customWidth="1"/>
    <col min="4" max="7" width="11.5703125" customWidth="1"/>
    <col min="8" max="8" width="11.140625" bestFit="1" customWidth="1"/>
    <col min="9" max="28" width="11.5703125" customWidth="1"/>
    <col min="29" max="34" width="10.140625" bestFit="1" customWidth="1"/>
    <col min="35" max="37" width="9.5703125" bestFit="1" customWidth="1"/>
  </cols>
  <sheetData>
    <row r="1" spans="1:43" ht="18.75" x14ac:dyDescent="0.3">
      <c r="A1" s="6" t="s">
        <v>25</v>
      </c>
      <c r="B1" s="6"/>
      <c r="C1" s="6"/>
      <c r="D1" s="17"/>
      <c r="E1" s="17"/>
      <c r="F1" s="17"/>
      <c r="G1" s="17"/>
      <c r="H1" s="17"/>
      <c r="I1" s="17"/>
      <c r="J1" s="17"/>
      <c r="K1" s="17"/>
      <c r="L1" s="17"/>
      <c r="M1" s="17"/>
      <c r="N1" s="17"/>
      <c r="O1" s="17"/>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row>
    <row r="2" spans="1:43" ht="18.75" x14ac:dyDescent="0.3">
      <c r="A2" s="6"/>
      <c r="B2" s="6"/>
      <c r="C2" s="6"/>
      <c r="D2" s="122"/>
      <c r="E2" s="122"/>
      <c r="F2" s="122"/>
      <c r="G2" s="122"/>
      <c r="H2" s="122"/>
      <c r="I2" s="122"/>
      <c r="J2" s="122"/>
      <c r="K2" s="323" t="s">
        <v>35</v>
      </c>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row>
    <row r="3" spans="1:43" x14ac:dyDescent="0.25">
      <c r="A3" s="215" t="s">
        <v>36</v>
      </c>
      <c r="B3" s="215" t="s">
        <v>11</v>
      </c>
      <c r="C3" s="215"/>
      <c r="D3" s="213">
        <v>2020</v>
      </c>
      <c r="E3" s="213">
        <v>2021</v>
      </c>
      <c r="F3" s="213">
        <v>2022</v>
      </c>
      <c r="G3" s="214">
        <v>2023</v>
      </c>
      <c r="H3" s="214">
        <v>2024</v>
      </c>
      <c r="I3" s="214">
        <v>2025</v>
      </c>
      <c r="J3" s="214">
        <f>I3+1</f>
        <v>2026</v>
      </c>
      <c r="K3" s="214">
        <f t="shared" ref="K3:AI3" si="0">J3+1</f>
        <v>2027</v>
      </c>
      <c r="L3" s="214">
        <f t="shared" si="0"/>
        <v>2028</v>
      </c>
      <c r="M3" s="214">
        <f t="shared" si="0"/>
        <v>2029</v>
      </c>
      <c r="N3" s="214">
        <f t="shared" si="0"/>
        <v>2030</v>
      </c>
      <c r="O3" s="214">
        <f t="shared" si="0"/>
        <v>2031</v>
      </c>
      <c r="P3" s="214">
        <f t="shared" si="0"/>
        <v>2032</v>
      </c>
      <c r="Q3" s="214">
        <f t="shared" si="0"/>
        <v>2033</v>
      </c>
      <c r="R3" s="214">
        <f t="shared" si="0"/>
        <v>2034</v>
      </c>
      <c r="S3" s="214">
        <f t="shared" si="0"/>
        <v>2035</v>
      </c>
      <c r="T3" s="214">
        <f t="shared" si="0"/>
        <v>2036</v>
      </c>
      <c r="U3" s="214">
        <f t="shared" si="0"/>
        <v>2037</v>
      </c>
      <c r="V3" s="214">
        <f t="shared" si="0"/>
        <v>2038</v>
      </c>
      <c r="W3" s="214">
        <f t="shared" si="0"/>
        <v>2039</v>
      </c>
      <c r="X3" s="214">
        <f t="shared" si="0"/>
        <v>2040</v>
      </c>
      <c r="Y3" s="214">
        <f t="shared" si="0"/>
        <v>2041</v>
      </c>
      <c r="Z3" s="214">
        <f t="shared" si="0"/>
        <v>2042</v>
      </c>
      <c r="AA3" s="214">
        <f t="shared" si="0"/>
        <v>2043</v>
      </c>
      <c r="AB3" s="214">
        <f t="shared" si="0"/>
        <v>2044</v>
      </c>
      <c r="AC3" s="214">
        <f t="shared" si="0"/>
        <v>2045</v>
      </c>
      <c r="AD3" s="214">
        <f t="shared" si="0"/>
        <v>2046</v>
      </c>
      <c r="AE3" s="214">
        <f t="shared" si="0"/>
        <v>2047</v>
      </c>
      <c r="AF3" s="214">
        <f t="shared" si="0"/>
        <v>2048</v>
      </c>
      <c r="AG3" s="214">
        <f t="shared" si="0"/>
        <v>2049</v>
      </c>
      <c r="AH3" s="214">
        <f t="shared" si="0"/>
        <v>2050</v>
      </c>
      <c r="AI3" s="246">
        <f t="shared" si="0"/>
        <v>2051</v>
      </c>
      <c r="AJ3" s="122"/>
      <c r="AK3" s="122"/>
      <c r="AL3" s="122"/>
      <c r="AM3" s="122"/>
      <c r="AN3" s="123"/>
      <c r="AO3" s="123"/>
      <c r="AP3" s="123"/>
      <c r="AQ3" s="123"/>
    </row>
    <row r="4" spans="1:43" ht="18" x14ac:dyDescent="0.25">
      <c r="A4" s="65" t="s">
        <v>37</v>
      </c>
      <c r="B4" s="320">
        <f>SUM(K4:AI4)</f>
        <v>9151719.6510844678</v>
      </c>
      <c r="C4" s="65"/>
      <c r="D4" s="119" t="s">
        <v>2</v>
      </c>
      <c r="E4" s="119" t="s">
        <v>2</v>
      </c>
      <c r="F4" s="119" t="s">
        <v>2</v>
      </c>
      <c r="G4" s="119" t="s">
        <v>2</v>
      </c>
      <c r="H4" s="119" t="s">
        <v>2</v>
      </c>
      <c r="I4" s="120">
        <f>I13*'Look Up'!I18</f>
        <v>231399.16663005197</v>
      </c>
      <c r="J4" s="120">
        <f>J13*'Look Up'!J18</f>
        <v>238869.47472870655</v>
      </c>
      <c r="K4" s="120">
        <f>K13*'Look Up'!K18</f>
        <v>246456.91195448808</v>
      </c>
      <c r="L4" s="120">
        <f>L13*'Look Up'!L18</f>
        <v>258469.29997362365</v>
      </c>
      <c r="M4" s="120">
        <f>M13*'Look Up'!M18</f>
        <v>266349.56001722254</v>
      </c>
      <c r="N4" s="120">
        <f>N13*'Look Up'!N18</f>
        <v>274346.94918794843</v>
      </c>
      <c r="O4" s="120">
        <f>O13*'Look Up'!O18</f>
        <v>282722.92830201774</v>
      </c>
      <c r="P4" s="120">
        <f>P13*'Look Up'!P18</f>
        <v>291224.33688658598</v>
      </c>
      <c r="Q4" s="120">
        <f>Q13*'Look Up'!Q18</f>
        <v>299851.17494165309</v>
      </c>
      <c r="R4" s="120">
        <f>R13*'Look Up'!R18</f>
        <v>308603.44246721914</v>
      </c>
      <c r="S4" s="120">
        <f>S13*'Look Up'!S18</f>
        <v>317481.13946328394</v>
      </c>
      <c r="T4" s="120">
        <f>T13*'Look Up'!T18</f>
        <v>331592.15998339048</v>
      </c>
      <c r="U4" s="120">
        <f>U13*'Look Up'!U18</f>
        <v>341098.97405073355</v>
      </c>
      <c r="V4" s="120">
        <f>V13*'Look Up'!V18</f>
        <v>350740.10613491444</v>
      </c>
      <c r="W4" s="120">
        <f>W13*'Look Up'!W18</f>
        <v>360515.55623593315</v>
      </c>
      <c r="X4" s="120">
        <f>X13*'Look Up'!X18</f>
        <v>370425.32435378974</v>
      </c>
      <c r="Y4" s="120">
        <f>Y13*'Look Up'!Y18</f>
        <v>380821.59248164989</v>
      </c>
      <c r="Z4" s="120">
        <f>Z13*'Look Up'!Z18</f>
        <v>391361.69705859566</v>
      </c>
      <c r="AA4" s="120">
        <f>AA13*'Look Up'!AA18</f>
        <v>407335.71226995089</v>
      </c>
      <c r="AB4" s="120">
        <f>AB13*'Look Up'!AB18</f>
        <v>418235.40796961047</v>
      </c>
      <c r="AC4" s="120">
        <f>AC13*'Look Up'!AC18</f>
        <v>429278.94011835556</v>
      </c>
      <c r="AD4" s="120">
        <f>AD13*'Look Up'!AD18</f>
        <v>440093.96990506147</v>
      </c>
      <c r="AE4" s="120">
        <f>AE13*'Look Up'!AE18</f>
        <v>451043.52767057472</v>
      </c>
      <c r="AF4" s="120">
        <f>AF13*'Look Up'!AF18</f>
        <v>462127.61341489543</v>
      </c>
      <c r="AG4" s="120">
        <f>AG13*'Look Up'!AG18</f>
        <v>479049.1937300479</v>
      </c>
      <c r="AH4" s="120">
        <f>AH13*'Look Up'!AH18</f>
        <v>490469.59942138707</v>
      </c>
      <c r="AI4" s="247">
        <f>AI13*'Look Up'!AI18</f>
        <v>502024.5330915337</v>
      </c>
      <c r="AJ4" s="122"/>
      <c r="AK4" s="122"/>
      <c r="AL4" s="122"/>
      <c r="AM4" s="122"/>
      <c r="AN4" s="123"/>
      <c r="AO4" s="123"/>
      <c r="AP4" s="123"/>
      <c r="AQ4" s="123"/>
    </row>
    <row r="5" spans="1:43" ht="14.1" customHeight="1" x14ac:dyDescent="0.25">
      <c r="A5" s="65" t="s">
        <v>38</v>
      </c>
      <c r="B5" s="320">
        <f t="shared" ref="B5:B8" si="1">SUM(K5:AI5)</f>
        <v>99178.313568314072</v>
      </c>
      <c r="C5" s="65"/>
      <c r="D5" s="119" t="s">
        <v>2</v>
      </c>
      <c r="E5" s="119" t="s">
        <v>2</v>
      </c>
      <c r="F5" s="119" t="s">
        <v>2</v>
      </c>
      <c r="G5" s="119" t="s">
        <v>2</v>
      </c>
      <c r="H5" s="119" t="s">
        <v>2</v>
      </c>
      <c r="I5" s="120">
        <f>I14*'Look Up'!I19</f>
        <v>3263.3905147776463</v>
      </c>
      <c r="J5" s="120">
        <f>J14*'Look Up'!J19</f>
        <v>3309.6424804395542</v>
      </c>
      <c r="K5" s="120">
        <f>K14*'Look Up'!K19</f>
        <v>3355.8944461014621</v>
      </c>
      <c r="L5" s="120">
        <f>L14*'Look Up'!L19</f>
        <v>3402.14641176337</v>
      </c>
      <c r="M5" s="120">
        <f>M14*'Look Up'!M19</f>
        <v>3448.3983774252783</v>
      </c>
      <c r="N5" s="120">
        <f>N14*'Look Up'!N19</f>
        <v>3494.6503430871871</v>
      </c>
      <c r="O5" s="120">
        <f>O14*'Look Up'!O19</f>
        <v>3544.179949469541</v>
      </c>
      <c r="P5" s="120">
        <f>P14*'Look Up'!P19</f>
        <v>3593.7095558518949</v>
      </c>
      <c r="Q5" s="120">
        <f>Q14*'Look Up'!Q19</f>
        <v>3643.2391622342489</v>
      </c>
      <c r="R5" s="120">
        <f>R14*'Look Up'!R19</f>
        <v>3692.7687686166028</v>
      </c>
      <c r="S5" s="120">
        <f>S14*'Look Up'!S19</f>
        <v>3742.2983749989567</v>
      </c>
      <c r="T5" s="120">
        <f>T14*'Look Up'!T19</f>
        <v>3795.3378917694031</v>
      </c>
      <c r="U5" s="120">
        <f>U14*'Look Up'!U19</f>
        <v>3848.37740853985</v>
      </c>
      <c r="V5" s="120">
        <f>V14*'Look Up'!V19</f>
        <v>3901.4169253102964</v>
      </c>
      <c r="W5" s="120">
        <f>W14*'Look Up'!W19</f>
        <v>3954.4564420807433</v>
      </c>
      <c r="X5" s="120">
        <f>X14*'Look Up'!X19</f>
        <v>4007.4959588511911</v>
      </c>
      <c r="Y5" s="120">
        <f>Y14*'Look Up'!Y19</f>
        <v>4064.2941154431396</v>
      </c>
      <c r="Z5" s="120">
        <f>Z14*'Look Up'!Z19</f>
        <v>4121.0922720350882</v>
      </c>
      <c r="AA5" s="120">
        <f>AA14*'Look Up'!AA19</f>
        <v>4177.8904286270363</v>
      </c>
      <c r="AB5" s="120">
        <f>AB14*'Look Up'!AB19</f>
        <v>4234.6885852189853</v>
      </c>
      <c r="AC5" s="120">
        <f>AC14*'Look Up'!AC19</f>
        <v>4291.4867418109343</v>
      </c>
      <c r="AD5" s="120">
        <f>AD14*'Look Up'!AD19</f>
        <v>4344.6091683925179</v>
      </c>
      <c r="AE5" s="120">
        <f>AE14*'Look Up'!AE19</f>
        <v>4397.7315949741005</v>
      </c>
      <c r="AF5" s="120">
        <f>AF14*'Look Up'!AF19</f>
        <v>4450.8540215556841</v>
      </c>
      <c r="AG5" s="120">
        <f>AG14*'Look Up'!AG19</f>
        <v>4503.9764481372667</v>
      </c>
      <c r="AH5" s="120">
        <f>AH14*'Look Up'!AH19</f>
        <v>4557.0988747188494</v>
      </c>
      <c r="AI5" s="247">
        <f>AI14*'Look Up'!AI19</f>
        <v>4610.221301300433</v>
      </c>
      <c r="AJ5" s="122"/>
      <c r="AK5" s="122"/>
      <c r="AL5" s="122"/>
      <c r="AM5" s="122"/>
      <c r="AN5" s="7"/>
      <c r="AO5" s="7"/>
      <c r="AP5" s="7"/>
      <c r="AQ5" s="7"/>
    </row>
    <row r="6" spans="1:43" x14ac:dyDescent="0.25">
      <c r="A6" s="65" t="s">
        <v>39</v>
      </c>
      <c r="B6" s="320">
        <f t="shared" si="1"/>
        <v>3186262.5703650154</v>
      </c>
      <c r="C6" s="65"/>
      <c r="D6" s="119" t="s">
        <v>2</v>
      </c>
      <c r="E6" s="119" t="s">
        <v>2</v>
      </c>
      <c r="F6" s="119" t="s">
        <v>2</v>
      </c>
      <c r="G6" s="119" t="s">
        <v>2</v>
      </c>
      <c r="H6" s="119" t="s">
        <v>2</v>
      </c>
      <c r="I6" s="120">
        <f>I15*'Look Up'!I20</f>
        <v>95954.298522012701</v>
      </c>
      <c r="J6" s="120">
        <f>J15*'Look Up'!J20</f>
        <v>99083.606915984681</v>
      </c>
      <c r="K6" s="120">
        <f>K15*'Look Up'!K20</f>
        <v>102262.36833797385</v>
      </c>
      <c r="L6" s="120">
        <f>L15*'Look Up'!L20</f>
        <v>105490.58278798018</v>
      </c>
      <c r="M6" s="120">
        <f>M15*'Look Up'!M20</f>
        <v>108768.2502660037</v>
      </c>
      <c r="N6" s="120">
        <f>N15*'Look Up'!N20</f>
        <v>112718.12283188906</v>
      </c>
      <c r="O6" s="120">
        <f>O15*'Look Up'!O20</f>
        <v>114315.67443445922</v>
      </c>
      <c r="P6" s="120">
        <f>P15*'Look Up'!P20</f>
        <v>115913.22603702937</v>
      </c>
      <c r="Q6" s="120">
        <f>Q15*'Look Up'!Q20</f>
        <v>117510.77763959952</v>
      </c>
      <c r="R6" s="120">
        <f>R15*'Look Up'!R20</f>
        <v>119108.32924216967</v>
      </c>
      <c r="S6" s="120">
        <f>S15*'Look Up'!S20</f>
        <v>120705.88084473986</v>
      </c>
      <c r="T6" s="120">
        <f>T15*'Look Up'!T20</f>
        <v>122416.64277492878</v>
      </c>
      <c r="U6" s="120">
        <f>U15*'Look Up'!U20</f>
        <v>124127.40470511772</v>
      </c>
      <c r="V6" s="120">
        <f>V15*'Look Up'!V20</f>
        <v>125838.16663530665</v>
      </c>
      <c r="W6" s="120">
        <f>W15*'Look Up'!W20</f>
        <v>127548.92856549557</v>
      </c>
      <c r="X6" s="120">
        <f>X15*'Look Up'!X20</f>
        <v>129259.69049568454</v>
      </c>
      <c r="Y6" s="120">
        <f>Y15*'Look Up'!Y20</f>
        <v>131091.68539154599</v>
      </c>
      <c r="Z6" s="120">
        <f>Z15*'Look Up'!Z20</f>
        <v>132923.68028740745</v>
      </c>
      <c r="AA6" s="120">
        <f>AA15*'Look Up'!AA20</f>
        <v>134755.67518326888</v>
      </c>
      <c r="AB6" s="120">
        <f>AB15*'Look Up'!AB20</f>
        <v>136587.67007913033</v>
      </c>
      <c r="AC6" s="120">
        <f>AC15*'Look Up'!AC20</f>
        <v>138419.66497499176</v>
      </c>
      <c r="AD6" s="120">
        <f>AD15*'Look Up'!AD20</f>
        <v>140133.10111786527</v>
      </c>
      <c r="AE6" s="120">
        <f>AE15*'Look Up'!AE20</f>
        <v>141846.53726073878</v>
      </c>
      <c r="AF6" s="120">
        <f>AF15*'Look Up'!AF20</f>
        <v>143559.9734036123</v>
      </c>
      <c r="AG6" s="120">
        <f>AG15*'Look Up'!AG20</f>
        <v>145273.40954648581</v>
      </c>
      <c r="AH6" s="120">
        <f>AH15*'Look Up'!AH20</f>
        <v>146986.8456893593</v>
      </c>
      <c r="AI6" s="247">
        <f>AI15*'Look Up'!AI20</f>
        <v>148700.28183223281</v>
      </c>
      <c r="AJ6" s="122"/>
      <c r="AK6" s="122"/>
      <c r="AL6" s="122"/>
      <c r="AM6" s="122"/>
      <c r="AN6" s="7"/>
      <c r="AO6" s="7"/>
      <c r="AP6" s="7"/>
      <c r="AQ6" s="7"/>
    </row>
    <row r="7" spans="1:43" x14ac:dyDescent="0.25">
      <c r="A7" s="65" t="s">
        <v>40</v>
      </c>
      <c r="B7" s="320">
        <f t="shared" si="1"/>
        <v>5494839.3256423585</v>
      </c>
      <c r="C7" s="65"/>
      <c r="D7" s="119" t="s">
        <v>2</v>
      </c>
      <c r="E7" s="119" t="s">
        <v>2</v>
      </c>
      <c r="F7" s="119" t="s">
        <v>2</v>
      </c>
      <c r="G7" s="119" t="s">
        <v>2</v>
      </c>
      <c r="H7" s="119" t="s">
        <v>2</v>
      </c>
      <c r="I7" s="120">
        <f>I16*'Look Up'!I21</f>
        <v>167603.50302576675</v>
      </c>
      <c r="J7" s="120">
        <f>J16*'Look Up'!J21</f>
        <v>172692.84005088045</v>
      </c>
      <c r="K7" s="120">
        <f>K16*'Look Up'!K21</f>
        <v>177879.52861251569</v>
      </c>
      <c r="L7" s="120">
        <f>L16*'Look Up'!L21</f>
        <v>183208.04744019816</v>
      </c>
      <c r="M7" s="120">
        <f>M16*'Look Up'!M21</f>
        <v>188658.97202372798</v>
      </c>
      <c r="N7" s="120">
        <f>N16*'Look Up'!N21</f>
        <v>194234.08016598702</v>
      </c>
      <c r="O7" s="120">
        <f>O16*'Look Up'!O21</f>
        <v>196986.95573068838</v>
      </c>
      <c r="P7" s="120">
        <f>P16*'Look Up'!P21</f>
        <v>199739.83129538974</v>
      </c>
      <c r="Q7" s="120">
        <f>Q16*'Look Up'!Q21</f>
        <v>202492.7068600911</v>
      </c>
      <c r="R7" s="120">
        <f>R16*'Look Up'!R21</f>
        <v>205245.58242479246</v>
      </c>
      <c r="S7" s="120">
        <f>S16*'Look Up'!S21</f>
        <v>207998.45798949379</v>
      </c>
      <c r="T7" s="120">
        <f>T16*'Look Up'!T21</f>
        <v>210946.41579383746</v>
      </c>
      <c r="U7" s="120">
        <f>U16*'Look Up'!U21</f>
        <v>213894.37359818112</v>
      </c>
      <c r="V7" s="120">
        <f>V16*'Look Up'!V21</f>
        <v>216842.33140252481</v>
      </c>
      <c r="W7" s="120">
        <f>W16*'Look Up'!W21</f>
        <v>219790.28920686847</v>
      </c>
      <c r="X7" s="120">
        <f>X16*'Look Up'!X21</f>
        <v>222738.2470112122</v>
      </c>
      <c r="Y7" s="120">
        <f>Y16*'Look Up'!Y21</f>
        <v>225895.11153775451</v>
      </c>
      <c r="Z7" s="120">
        <f>Z16*'Look Up'!Z21</f>
        <v>229051.97606429682</v>
      </c>
      <c r="AA7" s="120">
        <f>AA16*'Look Up'!AA21</f>
        <v>232208.84059083913</v>
      </c>
      <c r="AB7" s="120">
        <f>AB16*'Look Up'!AB21</f>
        <v>235365.70511738144</v>
      </c>
      <c r="AC7" s="120">
        <f>AC16*'Look Up'!AC21</f>
        <v>238522.56964392372</v>
      </c>
      <c r="AD7" s="120">
        <f>AD16*'Look Up'!AD21</f>
        <v>241475.13560911949</v>
      </c>
      <c r="AE7" s="120">
        <f>AE16*'Look Up'!AE21</f>
        <v>244427.70157431529</v>
      </c>
      <c r="AF7" s="120">
        <f>AF16*'Look Up'!AF21</f>
        <v>247380.26753951111</v>
      </c>
      <c r="AG7" s="120">
        <f>AG16*'Look Up'!AG21</f>
        <v>250332.83350470691</v>
      </c>
      <c r="AH7" s="120">
        <f>AH16*'Look Up'!AH21</f>
        <v>253285.39946990271</v>
      </c>
      <c r="AI7" s="247">
        <f>AI16*'Look Up'!AI21</f>
        <v>256237.96543509851</v>
      </c>
      <c r="AJ7" s="122"/>
      <c r="AK7" s="122"/>
      <c r="AL7" s="122"/>
      <c r="AM7" s="122"/>
      <c r="AN7" s="7"/>
      <c r="AO7" s="7"/>
      <c r="AP7" s="7"/>
      <c r="AQ7" s="7"/>
    </row>
    <row r="8" spans="1:43" x14ac:dyDescent="0.25">
      <c r="A8" s="65" t="s">
        <v>41</v>
      </c>
      <c r="B8" s="320">
        <f t="shared" si="1"/>
        <v>44932.180336427075</v>
      </c>
      <c r="C8" s="65"/>
      <c r="D8" s="119" t="s">
        <v>2</v>
      </c>
      <c r="E8" s="119" t="s">
        <v>2</v>
      </c>
      <c r="F8" s="119" t="s">
        <v>2</v>
      </c>
      <c r="G8" s="119" t="s">
        <v>2</v>
      </c>
      <c r="H8" s="119" t="s">
        <v>2</v>
      </c>
      <c r="I8" s="120">
        <f>I17*'Look Up'!I22</f>
        <v>1356.9964862860404</v>
      </c>
      <c r="J8" s="120">
        <f>J17*'Look Up'!J22</f>
        <v>1400.7499561453465</v>
      </c>
      <c r="K8" s="120">
        <f>K17*'Look Up'!K22</f>
        <v>1445.1887777331451</v>
      </c>
      <c r="L8" s="120">
        <f>L17*'Look Up'!L22</f>
        <v>1490.3129510494368</v>
      </c>
      <c r="M8" s="120">
        <f>M17*'Look Up'!M22</f>
        <v>1539.3160779156228</v>
      </c>
      <c r="N8" s="120">
        <f>N17*'Look Up'!N22</f>
        <v>1589.0902254763635</v>
      </c>
      <c r="O8" s="120">
        <f>O17*'Look Up'!O22</f>
        <v>1611.6123680791511</v>
      </c>
      <c r="P8" s="120">
        <f>P17*'Look Up'!P22</f>
        <v>1634.1345106819388</v>
      </c>
      <c r="Q8" s="120">
        <f>Q17*'Look Up'!Q22</f>
        <v>1656.6566532847264</v>
      </c>
      <c r="R8" s="120">
        <f>R17*'Look Up'!R22</f>
        <v>1679.1787958875141</v>
      </c>
      <c r="S8" s="120">
        <f>S17*'Look Up'!S22</f>
        <v>1701.7009384903013</v>
      </c>
      <c r="T8" s="120">
        <f>T17*'Look Up'!T22</f>
        <v>1725.8191103785507</v>
      </c>
      <c r="U8" s="120">
        <f>U17*'Look Up'!U22</f>
        <v>1749.9372822668001</v>
      </c>
      <c r="V8" s="120">
        <f>V17*'Look Up'!V22</f>
        <v>1774.0554541550496</v>
      </c>
      <c r="W8" s="120">
        <f>W17*'Look Up'!W22</f>
        <v>1798.173626043299</v>
      </c>
      <c r="X8" s="120">
        <f>X17*'Look Up'!X22</f>
        <v>1822.2917979315489</v>
      </c>
      <c r="Y8" s="120">
        <f>Y17*'Look Up'!Y22</f>
        <v>1848.119101554036</v>
      </c>
      <c r="Z8" s="120">
        <f>Z17*'Look Up'!Z22</f>
        <v>1873.9464051765233</v>
      </c>
      <c r="AA8" s="120">
        <f>AA17*'Look Up'!AA22</f>
        <v>1899.7737087990106</v>
      </c>
      <c r="AB8" s="120">
        <f>AB17*'Look Up'!AB22</f>
        <v>1925.6010124214977</v>
      </c>
      <c r="AC8" s="120">
        <f>AC17*'Look Up'!AC22</f>
        <v>1951.4283160439843</v>
      </c>
      <c r="AD8" s="120">
        <f>AD17*'Look Up'!AD22</f>
        <v>1975.5841887484924</v>
      </c>
      <c r="AE8" s="120">
        <f>AE17*'Look Up'!AE22</f>
        <v>1999.7400614530004</v>
      </c>
      <c r="AF8" s="120">
        <f>AF17*'Look Up'!AF22</f>
        <v>2023.8959341575087</v>
      </c>
      <c r="AG8" s="120">
        <f>AG17*'Look Up'!AG22</f>
        <v>2048.0518068620167</v>
      </c>
      <c r="AH8" s="120">
        <f>AH17*'Look Up'!AH22</f>
        <v>2072.2076795665248</v>
      </c>
      <c r="AI8" s="247">
        <f>AI17*'Look Up'!AI22</f>
        <v>2096.3635522710329</v>
      </c>
      <c r="AJ8" s="122"/>
      <c r="AK8" s="122"/>
      <c r="AL8" s="122"/>
      <c r="AM8" s="122"/>
      <c r="AN8" s="122"/>
      <c r="AO8" s="122"/>
      <c r="AP8" s="122"/>
      <c r="AQ8" s="122"/>
    </row>
    <row r="9" spans="1:43" x14ac:dyDescent="0.25">
      <c r="A9" s="109" t="s">
        <v>42</v>
      </c>
      <c r="B9" s="321">
        <f>SUM(B5:B8)</f>
        <v>8825212.3899121154</v>
      </c>
      <c r="C9" s="109"/>
      <c r="D9" s="119" t="s">
        <v>2</v>
      </c>
      <c r="E9" s="119" t="s">
        <v>2</v>
      </c>
      <c r="F9" s="119" t="s">
        <v>2</v>
      </c>
      <c r="G9" s="119" t="s">
        <v>2</v>
      </c>
      <c r="H9" s="119" t="s">
        <v>2</v>
      </c>
      <c r="I9" s="121">
        <f>SUM(I5:I8)</f>
        <v>268178.18854884314</v>
      </c>
      <c r="J9" s="121">
        <f t="shared" ref="J9:AI9" si="2">SUM(J5:J8)</f>
        <v>276486.83940345002</v>
      </c>
      <c r="K9" s="121">
        <f t="shared" si="2"/>
        <v>284942.98017432413</v>
      </c>
      <c r="L9" s="121">
        <f t="shared" si="2"/>
        <v>293591.08959099115</v>
      </c>
      <c r="M9" s="121">
        <f t="shared" si="2"/>
        <v>302414.9367450726</v>
      </c>
      <c r="N9" s="121">
        <f t="shared" si="2"/>
        <v>312035.94356643962</v>
      </c>
      <c r="O9" s="121">
        <f t="shared" si="2"/>
        <v>316458.42248269625</v>
      </c>
      <c r="P9" s="121">
        <f t="shared" si="2"/>
        <v>320880.90139895293</v>
      </c>
      <c r="Q9" s="121">
        <f t="shared" si="2"/>
        <v>325303.38031520962</v>
      </c>
      <c r="R9" s="121">
        <f t="shared" si="2"/>
        <v>329725.85923146625</v>
      </c>
      <c r="S9" s="121">
        <f t="shared" si="2"/>
        <v>334148.33814772288</v>
      </c>
      <c r="T9" s="121">
        <f t="shared" si="2"/>
        <v>338884.21557091421</v>
      </c>
      <c r="U9" s="121">
        <f t="shared" si="2"/>
        <v>343620.09299410548</v>
      </c>
      <c r="V9" s="121">
        <f t="shared" si="2"/>
        <v>348355.9704172968</v>
      </c>
      <c r="W9" s="121">
        <f t="shared" si="2"/>
        <v>353091.84784048813</v>
      </c>
      <c r="X9" s="121">
        <f t="shared" si="2"/>
        <v>357827.72526367946</v>
      </c>
      <c r="Y9" s="121">
        <f t="shared" si="2"/>
        <v>362899.2101462977</v>
      </c>
      <c r="Z9" s="121">
        <f t="shared" si="2"/>
        <v>367970.69502891588</v>
      </c>
      <c r="AA9" s="121">
        <f t="shared" si="2"/>
        <v>373042.17991153407</v>
      </c>
      <c r="AB9" s="121">
        <f t="shared" si="2"/>
        <v>378113.6647941522</v>
      </c>
      <c r="AC9" s="121">
        <f t="shared" si="2"/>
        <v>383185.14967677038</v>
      </c>
      <c r="AD9" s="121">
        <f t="shared" si="2"/>
        <v>387928.43008412578</v>
      </c>
      <c r="AE9" s="121">
        <f t="shared" si="2"/>
        <v>392671.71049148118</v>
      </c>
      <c r="AF9" s="121">
        <f t="shared" si="2"/>
        <v>397414.99089883658</v>
      </c>
      <c r="AG9" s="121">
        <f t="shared" si="2"/>
        <v>402158.27130619198</v>
      </c>
      <c r="AH9" s="121">
        <f t="shared" si="2"/>
        <v>406901.55171354738</v>
      </c>
      <c r="AI9" s="248">
        <f t="shared" si="2"/>
        <v>411644.83212090278</v>
      </c>
      <c r="AJ9" s="8"/>
      <c r="AK9" s="8"/>
      <c r="AL9" s="8"/>
      <c r="AM9" s="8"/>
      <c r="AN9" s="122"/>
      <c r="AO9" s="122"/>
      <c r="AP9" s="122"/>
      <c r="AQ9" s="122"/>
    </row>
    <row r="10" spans="1:43" s="122" customFormat="1" x14ac:dyDescent="0.25">
      <c r="A10" s="109" t="s">
        <v>43</v>
      </c>
      <c r="B10" s="321">
        <f>SUM(B4:B8)</f>
        <v>17976932.040996585</v>
      </c>
      <c r="C10" s="109"/>
      <c r="D10" s="119"/>
      <c r="E10" s="119"/>
      <c r="F10" s="119"/>
      <c r="G10" s="119"/>
      <c r="H10" s="119"/>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248"/>
      <c r="AJ10" s="8"/>
      <c r="AK10" s="8"/>
      <c r="AL10" s="8"/>
      <c r="AM10" s="8"/>
    </row>
    <row r="11" spans="1:43" x14ac:dyDescent="0.25">
      <c r="A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249"/>
      <c r="AJ11" s="122"/>
      <c r="AK11" s="122"/>
      <c r="AL11" s="122"/>
      <c r="AM11" s="122"/>
      <c r="AN11" s="122"/>
      <c r="AO11" s="122"/>
      <c r="AP11" s="122"/>
      <c r="AQ11" s="122"/>
    </row>
    <row r="12" spans="1:43" x14ac:dyDescent="0.25">
      <c r="A12" s="215" t="s">
        <v>44</v>
      </c>
      <c r="B12" s="215" t="s">
        <v>11</v>
      </c>
      <c r="C12" s="215" t="s">
        <v>45</v>
      </c>
      <c r="D12" s="213">
        <v>2020</v>
      </c>
      <c r="E12" s="213">
        <v>2021</v>
      </c>
      <c r="F12" s="213">
        <v>2022</v>
      </c>
      <c r="G12" s="214">
        <v>2023</v>
      </c>
      <c r="H12" s="214">
        <v>2024</v>
      </c>
      <c r="I12" s="216">
        <v>2025</v>
      </c>
      <c r="J12" s="214">
        <f>I12+1</f>
        <v>2026</v>
      </c>
      <c r="K12" s="214">
        <f t="shared" ref="K12" si="3">J12+1</f>
        <v>2027</v>
      </c>
      <c r="L12" s="214">
        <f t="shared" ref="L12" si="4">K12+1</f>
        <v>2028</v>
      </c>
      <c r="M12" s="214">
        <f t="shared" ref="M12" si="5">L12+1</f>
        <v>2029</v>
      </c>
      <c r="N12" s="216">
        <f t="shared" ref="N12" si="6">M12+1</f>
        <v>2030</v>
      </c>
      <c r="O12" s="214">
        <f t="shared" ref="O12" si="7">N12+1</f>
        <v>2031</v>
      </c>
      <c r="P12" s="214">
        <f t="shared" ref="P12" si="8">O12+1</f>
        <v>2032</v>
      </c>
      <c r="Q12" s="214">
        <f t="shared" ref="Q12" si="9">P12+1</f>
        <v>2033</v>
      </c>
      <c r="R12" s="214">
        <f t="shared" ref="R12" si="10">Q12+1</f>
        <v>2034</v>
      </c>
      <c r="S12" s="216">
        <f t="shared" ref="S12" si="11">R12+1</f>
        <v>2035</v>
      </c>
      <c r="T12" s="214">
        <f t="shared" ref="T12" si="12">S12+1</f>
        <v>2036</v>
      </c>
      <c r="U12" s="214">
        <f t="shared" ref="U12" si="13">T12+1</f>
        <v>2037</v>
      </c>
      <c r="V12" s="214">
        <f t="shared" ref="V12" si="14">U12+1</f>
        <v>2038</v>
      </c>
      <c r="W12" s="214">
        <f t="shared" ref="W12" si="15">V12+1</f>
        <v>2039</v>
      </c>
      <c r="X12" s="216">
        <f t="shared" ref="X12" si="16">W12+1</f>
        <v>2040</v>
      </c>
      <c r="Y12" s="214">
        <f t="shared" ref="Y12" si="17">X12+1</f>
        <v>2041</v>
      </c>
      <c r="Z12" s="214">
        <f t="shared" ref="Z12" si="18">Y12+1</f>
        <v>2042</v>
      </c>
      <c r="AA12" s="214">
        <f t="shared" ref="AA12" si="19">Z12+1</f>
        <v>2043</v>
      </c>
      <c r="AB12" s="214">
        <f t="shared" ref="AB12" si="20">AA12+1</f>
        <v>2044</v>
      </c>
      <c r="AC12" s="216">
        <f t="shared" ref="AC12" si="21">AB12+1</f>
        <v>2045</v>
      </c>
      <c r="AD12" s="214">
        <f t="shared" ref="AD12" si="22">AC12+1</f>
        <v>2046</v>
      </c>
      <c r="AE12" s="214">
        <f t="shared" ref="AE12" si="23">AD12+1</f>
        <v>2047</v>
      </c>
      <c r="AF12" s="214">
        <f t="shared" ref="AF12" si="24">AE12+1</f>
        <v>2048</v>
      </c>
      <c r="AG12" s="214">
        <f t="shared" ref="AG12" si="25">AF12+1</f>
        <v>2049</v>
      </c>
      <c r="AH12" s="214">
        <f t="shared" ref="AH12:AI12" si="26">AG12+1</f>
        <v>2050</v>
      </c>
      <c r="AI12" s="246">
        <f t="shared" si="26"/>
        <v>2051</v>
      </c>
      <c r="AJ12" s="122"/>
      <c r="AK12" s="122"/>
      <c r="AL12" s="122"/>
      <c r="AM12" s="122"/>
      <c r="AN12" s="123"/>
      <c r="AO12" s="123"/>
      <c r="AP12" s="123"/>
      <c r="AQ12" s="123"/>
    </row>
    <row r="13" spans="1:43" ht="18" x14ac:dyDescent="0.25">
      <c r="A13" s="65" t="s">
        <v>46</v>
      </c>
      <c r="B13" s="306">
        <f>SUM(K13:AI13)</f>
        <v>125580.27677239206</v>
      </c>
      <c r="C13" s="306">
        <f>B13/COUNT($K$12:$AI$12)</f>
        <v>5023.2110708956825</v>
      </c>
      <c r="D13" s="122"/>
      <c r="E13" s="118"/>
      <c r="F13" s="118"/>
      <c r="G13" s="118"/>
      <c r="H13" s="118"/>
      <c r="I13" s="254">
        <f>SUMPRODUCT($B$25:$B$27,TDM!$B$24:$B$26)*10^-6</f>
        <v>4132.1279755366422</v>
      </c>
      <c r="J13" s="255">
        <f>I13-($I13-$N13)/($N$3-$I$3)</f>
        <v>4190.692539100115</v>
      </c>
      <c r="K13" s="255">
        <f t="shared" ref="K13:M13" si="27">J13-($I13-$N13)/($N$3-$I$3)</f>
        <v>4249.2571026635878</v>
      </c>
      <c r="L13" s="255">
        <f t="shared" si="27"/>
        <v>4307.8216662270606</v>
      </c>
      <c r="M13" s="255">
        <f t="shared" si="27"/>
        <v>4366.3862297905334</v>
      </c>
      <c r="N13" s="254">
        <f>SUMPRODUCT($B$25:$B$27,TDM!$C$24:$C$26)*10^-6</f>
        <v>4424.9507933540071</v>
      </c>
      <c r="O13" s="255">
        <f>N13-($N13-$S13)/($S$3-$N$3)</f>
        <v>4487.6655286034566</v>
      </c>
      <c r="P13" s="255">
        <f t="shared" ref="P13:R13" si="28">O13-($N13-$S13)/($S$3-$N$3)</f>
        <v>4550.380263852906</v>
      </c>
      <c r="Q13" s="255">
        <f t="shared" si="28"/>
        <v>4613.0949991023554</v>
      </c>
      <c r="R13" s="255">
        <f t="shared" si="28"/>
        <v>4675.8097343518048</v>
      </c>
      <c r="S13" s="254">
        <f>SUMPRODUCT($B$25:$B$27,TDM!$D$24:$D$26)*10^-6</f>
        <v>4738.5244696012523</v>
      </c>
      <c r="T13" s="255">
        <f>S13-($S13-$X13)/($X$3-$S$3)</f>
        <v>4805.6834780201516</v>
      </c>
      <c r="U13" s="255">
        <f t="shared" ref="U13:W13" si="29">T13-($S13-$X13)/($X$3-$S$3)</f>
        <v>4872.8424864390508</v>
      </c>
      <c r="V13" s="255">
        <f t="shared" si="29"/>
        <v>4940.0014948579501</v>
      </c>
      <c r="W13" s="255">
        <f t="shared" si="29"/>
        <v>5007.1605032768493</v>
      </c>
      <c r="X13" s="254">
        <f>SUMPRODUCT($B$25:$B$27,TDM!$E$24:$E$26)*10^-6</f>
        <v>5074.3195116957495</v>
      </c>
      <c r="Y13" s="255">
        <f>X13-($X13-$AC13)/($AC$3-$X$3)</f>
        <v>5146.2377362385123</v>
      </c>
      <c r="Z13" s="255">
        <f t="shared" ref="Z13:AB13" si="30">Y13-($X13-$AC13)/($AC$3-$X$3)</f>
        <v>5218.1559607812751</v>
      </c>
      <c r="AA13" s="255">
        <f t="shared" si="30"/>
        <v>5290.0741853240379</v>
      </c>
      <c r="AB13" s="255">
        <f t="shared" si="30"/>
        <v>5361.9924098668007</v>
      </c>
      <c r="AC13" s="254">
        <f>SUMPRODUCT($B$25:$B$27,TDM!$F$24:$F$26)*10^-6</f>
        <v>5433.9106344095644</v>
      </c>
      <c r="AD13" s="255">
        <f>AC13-($N13-$AC13)/($AC$3-$N$3)</f>
        <v>5501.1746238132682</v>
      </c>
      <c r="AE13" s="255">
        <f t="shared" ref="AE13:AH13" si="31">AD13-($N13-$AC13)/($AC$3-$N$3)</f>
        <v>5568.438613216972</v>
      </c>
      <c r="AF13" s="255">
        <f t="shared" si="31"/>
        <v>5635.7026026206759</v>
      </c>
      <c r="AG13" s="255">
        <f t="shared" si="31"/>
        <v>5702.9665920243797</v>
      </c>
      <c r="AH13" s="255">
        <f t="shared" si="31"/>
        <v>5770.2305814280835</v>
      </c>
      <c r="AI13" s="256">
        <f t="shared" ref="AI13" si="32">AH13-($N13-$AC13)/($AC$3-$N$3)</f>
        <v>5837.4945708317873</v>
      </c>
      <c r="AJ13" s="122"/>
      <c r="AK13" s="122"/>
      <c r="AL13" s="122"/>
      <c r="AM13" s="122"/>
      <c r="AN13" s="123"/>
      <c r="AO13" s="123"/>
      <c r="AP13" s="123"/>
      <c r="AQ13" s="123"/>
    </row>
    <row r="14" spans="1:43" ht="15" customHeight="1" x14ac:dyDescent="0.25">
      <c r="A14" s="65" t="s">
        <v>38</v>
      </c>
      <c r="B14" s="306">
        <f t="shared" ref="B14:B17" si="33">SUM(K14:AI14)</f>
        <v>41.60164159744717</v>
      </c>
      <c r="C14" s="306">
        <f>B14/COUNT($K$12:$AI$12)</f>
        <v>1.6640656638978868</v>
      </c>
      <c r="D14" s="122"/>
      <c r="E14" s="117"/>
      <c r="F14" s="117"/>
      <c r="G14" s="117"/>
      <c r="H14" s="117"/>
      <c r="I14" s="245">
        <f>SUMPRODUCT($C$25:$C$27,TDM!$B$24:$B$26)*10^-6</f>
        <v>1.3688718602255228</v>
      </c>
      <c r="J14" s="118">
        <f t="shared" ref="J14:M17" si="34">I14-($I14-$N14)/($N$3-$I$3)</f>
        <v>1.3882728525333701</v>
      </c>
      <c r="K14" s="118">
        <f t="shared" si="34"/>
        <v>1.4076738448412174</v>
      </c>
      <c r="L14" s="118">
        <f t="shared" si="34"/>
        <v>1.4270748371490647</v>
      </c>
      <c r="M14" s="118">
        <f t="shared" si="34"/>
        <v>1.446475829456912</v>
      </c>
      <c r="N14" s="245">
        <f>SUMPRODUCT($C$25:$C$27,TDM!$C$24:$C$26)*10^-6</f>
        <v>1.4658768217647598</v>
      </c>
      <c r="O14" s="118">
        <f t="shared" ref="O14:R17" si="35">N14-($N14-$S14)/($S$3-$N$3)</f>
        <v>1.4866526633680961</v>
      </c>
      <c r="P14" s="118">
        <f t="shared" si="35"/>
        <v>1.5074285049714324</v>
      </c>
      <c r="Q14" s="118">
        <f t="shared" si="35"/>
        <v>1.5282043465747688</v>
      </c>
      <c r="R14" s="118">
        <f t="shared" si="35"/>
        <v>1.5489801881781051</v>
      </c>
      <c r="S14" s="245">
        <f>SUMPRODUCT($C$25:$C$27,TDM!$D$24:$D$26)*10^-6</f>
        <v>1.5697560297814415</v>
      </c>
      <c r="T14" s="118">
        <f t="shared" ref="T14:W17" si="36">S14-($S14-$X14)/($X$3-$S$3)</f>
        <v>1.5920041492321322</v>
      </c>
      <c r="U14" s="118">
        <f t="shared" si="36"/>
        <v>1.6142522686828229</v>
      </c>
      <c r="V14" s="118">
        <f t="shared" si="36"/>
        <v>1.6365003881335136</v>
      </c>
      <c r="W14" s="118">
        <f t="shared" si="36"/>
        <v>1.6587485075842043</v>
      </c>
      <c r="X14" s="245">
        <f>SUMPRODUCT($C$25:$C$27,TDM!$E$24:$E$26)*10^-6</f>
        <v>1.6809966270348955</v>
      </c>
      <c r="Y14" s="118">
        <f t="shared" ref="Y14:AB17" si="37">X14-($X14-$AC14)/($AC$3-$X$3)</f>
        <v>1.7048213571489679</v>
      </c>
      <c r="Z14" s="118">
        <f t="shared" si="37"/>
        <v>1.7286460872630403</v>
      </c>
      <c r="AA14" s="118">
        <f t="shared" si="37"/>
        <v>1.7524708173771126</v>
      </c>
      <c r="AB14" s="118">
        <f t="shared" si="37"/>
        <v>1.776295547491185</v>
      </c>
      <c r="AC14" s="245">
        <f>SUMPRODUCT($C$25:$C$27,TDM!$F$24:$F$26)*10^-6</f>
        <v>1.8001202776052578</v>
      </c>
      <c r="AD14" s="118">
        <f t="shared" ref="AD14:AH17" si="38">AC14-($N14-$AC14)/($AC$3-$N$3)</f>
        <v>1.822403174661291</v>
      </c>
      <c r="AE14" s="118">
        <f t="shared" si="38"/>
        <v>1.8446860717173241</v>
      </c>
      <c r="AF14" s="118">
        <f t="shared" si="38"/>
        <v>1.8669689687733573</v>
      </c>
      <c r="AG14" s="118">
        <f t="shared" si="38"/>
        <v>1.8892518658293904</v>
      </c>
      <c r="AH14" s="118">
        <f t="shared" si="38"/>
        <v>1.9115347628854236</v>
      </c>
      <c r="AI14" s="250">
        <f t="shared" ref="AI14" si="39">AH14-($N14-$AC14)/($AC$3-$N$3)</f>
        <v>1.9338176599414567</v>
      </c>
      <c r="AJ14" s="122"/>
      <c r="AK14" s="122"/>
      <c r="AL14" s="122"/>
      <c r="AM14" s="122"/>
      <c r="AN14" s="7"/>
      <c r="AO14" s="7"/>
      <c r="AP14" s="7"/>
      <c r="AQ14" s="7"/>
    </row>
    <row r="15" spans="1:43" x14ac:dyDescent="0.25">
      <c r="A15" s="65" t="s">
        <v>47</v>
      </c>
      <c r="B15" s="306">
        <f t="shared" si="33"/>
        <v>176.73727841975787</v>
      </c>
      <c r="C15" s="306">
        <f>B15/COUNT($K$12:$AI$12)</f>
        <v>7.0694911367903153</v>
      </c>
      <c r="D15" s="122"/>
      <c r="E15" s="118"/>
      <c r="F15" s="118"/>
      <c r="G15" s="118"/>
      <c r="H15" s="118"/>
      <c r="I15" s="245">
        <f>SUMPRODUCT($D$25:$D$27,TDM!$B$24:$B$26)*10^-6</f>
        <v>5.8154120316371332</v>
      </c>
      <c r="J15" s="118">
        <f t="shared" si="34"/>
        <v>5.8978337449990885</v>
      </c>
      <c r="K15" s="118">
        <f t="shared" si="34"/>
        <v>5.9802554583610439</v>
      </c>
      <c r="L15" s="118">
        <f t="shared" si="34"/>
        <v>6.0626771717229992</v>
      </c>
      <c r="M15" s="118">
        <f t="shared" si="34"/>
        <v>6.1450988850849546</v>
      </c>
      <c r="N15" s="245">
        <f>SUMPRODUCT($D$25:$D$27,TDM!$C$24:$C$26)*10^-6</f>
        <v>6.22752059844691</v>
      </c>
      <c r="O15" s="118">
        <f t="shared" si="35"/>
        <v>6.3157831179259238</v>
      </c>
      <c r="P15" s="118">
        <f t="shared" si="35"/>
        <v>6.4040456374049377</v>
      </c>
      <c r="Q15" s="118">
        <f t="shared" si="35"/>
        <v>6.4923081568839516</v>
      </c>
      <c r="R15" s="118">
        <f t="shared" si="35"/>
        <v>6.5805706763629654</v>
      </c>
      <c r="S15" s="245">
        <f>SUMPRODUCT($D$25:$D$27,TDM!$D$24:$D$26)*10^-6</f>
        <v>6.6688331958419811</v>
      </c>
      <c r="T15" s="118">
        <f t="shared" si="36"/>
        <v>6.7633504295540767</v>
      </c>
      <c r="U15" s="118">
        <f t="shared" si="36"/>
        <v>6.8578676632661724</v>
      </c>
      <c r="V15" s="118">
        <f t="shared" si="36"/>
        <v>6.952384896978268</v>
      </c>
      <c r="W15" s="118">
        <f t="shared" si="36"/>
        <v>7.0469021306903636</v>
      </c>
      <c r="X15" s="245">
        <f>SUMPRODUCT($D$25:$D$27,TDM!$E$24:$E$26)*10^-6</f>
        <v>7.1414193644024611</v>
      </c>
      <c r="Y15" s="118">
        <f t="shared" si="37"/>
        <v>7.2426345520191155</v>
      </c>
      <c r="Z15" s="118">
        <f t="shared" si="37"/>
        <v>7.34384973963577</v>
      </c>
      <c r="AA15" s="118">
        <f t="shared" si="37"/>
        <v>7.4450649272524245</v>
      </c>
      <c r="AB15" s="118">
        <f t="shared" si="37"/>
        <v>7.546280114869079</v>
      </c>
      <c r="AC15" s="245">
        <f>SUMPRODUCT($D$25:$D$27,TDM!$F$24:$F$26)*10^-6</f>
        <v>7.6474953024857317</v>
      </c>
      <c r="AD15" s="118">
        <f t="shared" si="38"/>
        <v>7.7421602827549867</v>
      </c>
      <c r="AE15" s="118">
        <f t="shared" si="38"/>
        <v>7.8368252630242417</v>
      </c>
      <c r="AF15" s="118">
        <f t="shared" si="38"/>
        <v>7.9314902432934966</v>
      </c>
      <c r="AG15" s="118">
        <f t="shared" si="38"/>
        <v>8.0261552235627516</v>
      </c>
      <c r="AH15" s="118">
        <f t="shared" si="38"/>
        <v>8.1208202038320056</v>
      </c>
      <c r="AI15" s="250">
        <f t="shared" ref="AI15" si="40">AH15-($N15-$AC15)/($AC$3-$N$3)</f>
        <v>8.2154851841012597</v>
      </c>
      <c r="AJ15" s="122"/>
      <c r="AK15" s="122"/>
      <c r="AL15" s="122"/>
      <c r="AM15" s="122"/>
      <c r="AN15" s="7"/>
      <c r="AO15" s="7"/>
      <c r="AP15" s="7"/>
      <c r="AQ15" s="7"/>
    </row>
    <row r="16" spans="1:43" x14ac:dyDescent="0.25">
      <c r="A16" s="65" t="s">
        <v>48</v>
      </c>
      <c r="B16" s="306">
        <f t="shared" si="33"/>
        <v>6.3535855235832575</v>
      </c>
      <c r="C16" s="306">
        <f>B16/COUNT($K$12:$AI$12)</f>
        <v>0.25414342094333031</v>
      </c>
      <c r="D16" s="122"/>
      <c r="E16" s="118"/>
      <c r="F16" s="118"/>
      <c r="G16" s="118"/>
      <c r="H16" s="118"/>
      <c r="I16" s="245">
        <f>SUMPRODUCT($E$25:$E$27,TDM!$B$24:$B$26)*10^-6</f>
        <v>0.20906012601442778</v>
      </c>
      <c r="J16" s="118">
        <f t="shared" si="34"/>
        <v>0.21202313081753277</v>
      </c>
      <c r="K16" s="118">
        <f t="shared" si="34"/>
        <v>0.21498613562063776</v>
      </c>
      <c r="L16" s="118">
        <f t="shared" si="34"/>
        <v>0.21794914042374275</v>
      </c>
      <c r="M16" s="118">
        <f t="shared" si="34"/>
        <v>0.22091214522684774</v>
      </c>
      <c r="N16" s="245">
        <f>SUMPRODUCT($E$25:$E$27,TDM!$C$24:$C$26)*10^-6</f>
        <v>0.22387515002995276</v>
      </c>
      <c r="O16" s="118">
        <f t="shared" si="35"/>
        <v>0.22704812785925355</v>
      </c>
      <c r="P16" s="118">
        <f t="shared" si="35"/>
        <v>0.23022110568855433</v>
      </c>
      <c r="Q16" s="118">
        <f t="shared" si="35"/>
        <v>0.23339408351785512</v>
      </c>
      <c r="R16" s="118">
        <f t="shared" si="35"/>
        <v>0.23656706134715591</v>
      </c>
      <c r="S16" s="245">
        <f>SUMPRODUCT($E$25:$E$27,TDM!$D$24:$D$26)*10^-6</f>
        <v>0.23974003917645664</v>
      </c>
      <c r="T16" s="118">
        <f t="shared" si="36"/>
        <v>0.24313786974854479</v>
      </c>
      <c r="U16" s="118">
        <f t="shared" si="36"/>
        <v>0.24653570032063293</v>
      </c>
      <c r="V16" s="118">
        <f t="shared" si="36"/>
        <v>0.24993353089272108</v>
      </c>
      <c r="W16" s="118">
        <f t="shared" si="36"/>
        <v>0.25333136146480922</v>
      </c>
      <c r="X16" s="245">
        <f>SUMPRODUCT($E$25:$E$27,TDM!$E$24:$E$26)*10^-6</f>
        <v>0.25672919203689742</v>
      </c>
      <c r="Y16" s="118">
        <f t="shared" si="37"/>
        <v>0.26036780951792821</v>
      </c>
      <c r="Z16" s="118">
        <f t="shared" si="37"/>
        <v>0.26400642699895899</v>
      </c>
      <c r="AA16" s="118">
        <f t="shared" si="37"/>
        <v>0.26764504447998977</v>
      </c>
      <c r="AB16" s="118">
        <f t="shared" si="37"/>
        <v>0.27128366196102055</v>
      </c>
      <c r="AC16" s="245">
        <f>SUMPRODUCT($E$25:$E$27,TDM!$F$24:$F$26)*10^-6</f>
        <v>0.27492227944205133</v>
      </c>
      <c r="AD16" s="118">
        <f t="shared" si="38"/>
        <v>0.27832542140285788</v>
      </c>
      <c r="AE16" s="118">
        <f t="shared" si="38"/>
        <v>0.28172856336366447</v>
      </c>
      <c r="AF16" s="118">
        <f t="shared" si="38"/>
        <v>0.28513170532447107</v>
      </c>
      <c r="AG16" s="118">
        <f t="shared" si="38"/>
        <v>0.28853484728527767</v>
      </c>
      <c r="AH16" s="118">
        <f t="shared" si="38"/>
        <v>0.29193798924608427</v>
      </c>
      <c r="AI16" s="250">
        <f t="shared" ref="AI16" si="41">AH16-($N16-$AC16)/($AC$3-$N$3)</f>
        <v>0.29534113120689087</v>
      </c>
      <c r="AJ16" s="122"/>
      <c r="AK16" s="122"/>
      <c r="AL16" s="122"/>
      <c r="AM16" s="122"/>
      <c r="AN16" s="7"/>
      <c r="AO16" s="7"/>
      <c r="AP16" s="7"/>
      <c r="AQ16" s="7"/>
    </row>
    <row r="17" spans="1:35" x14ac:dyDescent="0.25">
      <c r="A17" s="65" t="s">
        <v>49</v>
      </c>
      <c r="B17" s="306">
        <f t="shared" si="33"/>
        <v>0.91850189041037067</v>
      </c>
      <c r="C17" s="306">
        <f>B17/COUNT($K$12:$AI$12)</f>
        <v>3.6740075616414826E-2</v>
      </c>
      <c r="D17" s="122"/>
      <c r="E17" s="118"/>
      <c r="F17" s="118"/>
      <c r="G17" s="118"/>
      <c r="H17" s="118"/>
      <c r="I17" s="245">
        <f>SUMPRODUCT($F$25:$F$27,TDM!$B$24:$B$26)*10^-6</f>
        <v>3.0222638892784866E-2</v>
      </c>
      <c r="J17" s="118">
        <f t="shared" si="34"/>
        <v>3.0650983723092919E-2</v>
      </c>
      <c r="K17" s="118">
        <f t="shared" si="34"/>
        <v>3.1079328553400971E-2</v>
      </c>
      <c r="L17" s="118">
        <f t="shared" si="34"/>
        <v>3.1507673383709023E-2</v>
      </c>
      <c r="M17" s="118">
        <f t="shared" si="34"/>
        <v>3.1936018214017071E-2</v>
      </c>
      <c r="N17" s="245">
        <f>SUMPRODUCT($F$25:$F$27,TDM!$C$24:$C$26)*10^-6</f>
        <v>3.236436304432512E-2</v>
      </c>
      <c r="O17" s="118">
        <f t="shared" si="35"/>
        <v>3.2823062486337089E-2</v>
      </c>
      <c r="P17" s="118">
        <f t="shared" si="35"/>
        <v>3.3281761928349057E-2</v>
      </c>
      <c r="Q17" s="118">
        <f t="shared" si="35"/>
        <v>3.3740461370361026E-2</v>
      </c>
      <c r="R17" s="118">
        <f t="shared" si="35"/>
        <v>3.4199160812372995E-2</v>
      </c>
      <c r="S17" s="245">
        <f>SUMPRODUCT($F$25:$F$27,TDM!$D$24:$D$26)*10^-6</f>
        <v>3.4657860254384956E-2</v>
      </c>
      <c r="T17" s="118">
        <f t="shared" si="36"/>
        <v>3.5149065384491869E-2</v>
      </c>
      <c r="U17" s="118">
        <f t="shared" si="36"/>
        <v>3.5640270514598782E-2</v>
      </c>
      <c r="V17" s="118">
        <f t="shared" si="36"/>
        <v>3.6131475644705695E-2</v>
      </c>
      <c r="W17" s="118">
        <f t="shared" si="36"/>
        <v>3.6622680774812608E-2</v>
      </c>
      <c r="X17" s="245">
        <f>SUMPRODUCT($F$25:$F$27,TDM!$E$24:$E$26)*10^-6</f>
        <v>3.7113885904919527E-2</v>
      </c>
      <c r="Y17" s="118">
        <f t="shared" si="37"/>
        <v>3.7639900235316416E-2</v>
      </c>
      <c r="Z17" s="118">
        <f t="shared" si="37"/>
        <v>3.8165914565713305E-2</v>
      </c>
      <c r="AA17" s="118">
        <f t="shared" si="37"/>
        <v>3.8691928896110193E-2</v>
      </c>
      <c r="AB17" s="118">
        <f t="shared" si="37"/>
        <v>3.9217943226507082E-2</v>
      </c>
      <c r="AC17" s="245">
        <f>SUMPRODUCT($F$25:$F$27,TDM!$F$24:$F$26)*10^-6</f>
        <v>3.9743957556903957E-2</v>
      </c>
      <c r="AD17" s="118">
        <f t="shared" si="38"/>
        <v>4.0235930524409214E-2</v>
      </c>
      <c r="AE17" s="118">
        <f t="shared" si="38"/>
        <v>4.072790349191447E-2</v>
      </c>
      <c r="AF17" s="118">
        <f t="shared" si="38"/>
        <v>4.1219876459419727E-2</v>
      </c>
      <c r="AG17" s="118">
        <f t="shared" si="38"/>
        <v>4.1711849426924984E-2</v>
      </c>
      <c r="AH17" s="118">
        <f t="shared" si="38"/>
        <v>4.220382239443024E-2</v>
      </c>
      <c r="AI17" s="250">
        <f t="shared" ref="AI17" si="42">AH17-($N17-$AC17)/($AC$3-$N$3)</f>
        <v>4.2695795361935497E-2</v>
      </c>
    </row>
    <row r="18" spans="1:35" s="122" customFormat="1" x14ac:dyDescent="0.25">
      <c r="A18" s="65"/>
      <c r="B18" s="65"/>
      <c r="C18" s="65"/>
      <c r="D18" s="118"/>
      <c r="E18" s="118"/>
      <c r="F18" s="118"/>
      <c r="G18" s="118"/>
      <c r="H18" s="118"/>
      <c r="I18" s="118"/>
      <c r="J18" s="118"/>
      <c r="K18" s="118"/>
      <c r="L18" s="118"/>
      <c r="M18" s="118"/>
      <c r="N18" s="212"/>
      <c r="O18" s="118"/>
      <c r="P18" s="118"/>
      <c r="Q18" s="118"/>
      <c r="R18" s="118"/>
      <c r="S18" s="118"/>
      <c r="T18" s="118"/>
      <c r="U18" s="118"/>
      <c r="V18" s="118"/>
      <c r="W18" s="118"/>
      <c r="X18" s="118"/>
      <c r="Y18" s="118"/>
      <c r="Z18" s="118"/>
      <c r="AA18" s="118"/>
      <c r="AB18" s="118"/>
      <c r="AC18" s="212"/>
      <c r="AD18" s="118"/>
      <c r="AE18" s="118"/>
      <c r="AF18" s="118"/>
      <c r="AG18" s="118"/>
      <c r="AH18" s="118"/>
    </row>
    <row r="19" spans="1:35" s="122" customFormat="1" x14ac:dyDescent="0.25">
      <c r="A19" s="65"/>
      <c r="B19" s="65"/>
      <c r="C19" s="65"/>
      <c r="D19" s="118"/>
      <c r="E19" s="118"/>
      <c r="F19" s="118"/>
      <c r="G19" s="118"/>
      <c r="H19" s="118"/>
      <c r="I19" s="118"/>
      <c r="J19" s="118"/>
      <c r="K19" s="118"/>
      <c r="L19" s="118"/>
      <c r="M19" s="118"/>
      <c r="N19" s="117"/>
      <c r="O19" s="118"/>
      <c r="P19" s="118"/>
      <c r="Q19" s="118"/>
      <c r="R19" s="118"/>
      <c r="S19" s="118"/>
      <c r="T19" s="118"/>
      <c r="U19" s="118"/>
      <c r="V19" s="118"/>
      <c r="W19" s="118"/>
      <c r="X19" s="118"/>
      <c r="Y19" s="118"/>
      <c r="Z19" s="118"/>
      <c r="AA19" s="118"/>
      <c r="AB19" s="118"/>
      <c r="AC19" s="212"/>
      <c r="AD19" s="118"/>
      <c r="AE19" s="118"/>
      <c r="AF19" s="118"/>
      <c r="AG19" s="118"/>
      <c r="AH19" s="118"/>
    </row>
    <row r="20" spans="1:35" s="122" customFormat="1" x14ac:dyDescent="0.25">
      <c r="A20" s="65"/>
      <c r="B20" s="65"/>
      <c r="C20" s="65"/>
      <c r="D20" s="118"/>
      <c r="E20" s="118"/>
      <c r="F20" s="118"/>
      <c r="G20" s="118"/>
      <c r="H20" s="118"/>
      <c r="I20" s="118">
        <f>I4/I13</f>
        <v>56</v>
      </c>
      <c r="J20" s="118"/>
      <c r="K20" s="118"/>
      <c r="L20" s="118"/>
      <c r="M20" s="118"/>
      <c r="N20" s="117"/>
      <c r="O20" s="118"/>
      <c r="P20" s="118"/>
      <c r="Q20" s="118"/>
      <c r="R20" s="118"/>
      <c r="S20" s="118"/>
      <c r="T20" s="118"/>
      <c r="U20" s="118"/>
      <c r="V20" s="118"/>
      <c r="W20" s="118"/>
      <c r="X20" s="118"/>
      <c r="Y20" s="118"/>
      <c r="Z20" s="118"/>
      <c r="AA20" s="118"/>
      <c r="AB20" s="118"/>
      <c r="AC20" s="117"/>
      <c r="AD20" s="118"/>
      <c r="AE20" s="118"/>
      <c r="AF20" s="118"/>
      <c r="AG20" s="118"/>
      <c r="AH20" s="118"/>
    </row>
    <row r="21" spans="1:35" s="49" customFormat="1" x14ac:dyDescent="0.25">
      <c r="A21" s="116"/>
      <c r="B21" s="116"/>
      <c r="C21" s="116"/>
      <c r="J21" s="40"/>
      <c r="K21" s="40"/>
    </row>
    <row r="22" spans="1:35" s="49" customFormat="1" ht="16.5" x14ac:dyDescent="0.25">
      <c r="A22" s="238" t="s">
        <v>50</v>
      </c>
      <c r="B22" s="238"/>
      <c r="C22" s="238"/>
      <c r="D22" s="239"/>
      <c r="E22" s="239"/>
      <c r="F22" s="239"/>
      <c r="G22" s="239"/>
      <c r="H22" s="239"/>
    </row>
    <row r="23" spans="1:35" x14ac:dyDescent="0.25">
      <c r="A23" s="115"/>
      <c r="B23" s="115"/>
      <c r="C23" s="114"/>
      <c r="D23" s="114"/>
      <c r="E23" s="114"/>
      <c r="F23" s="114"/>
      <c r="G23" s="122"/>
      <c r="H23" s="114"/>
      <c r="I23" s="114"/>
      <c r="J23" s="14"/>
      <c r="K23" s="9"/>
      <c r="L23" s="9"/>
      <c r="M23" s="9"/>
      <c r="N23" s="9"/>
      <c r="O23" s="9"/>
      <c r="P23" s="9"/>
      <c r="Q23" s="9"/>
      <c r="R23" s="9"/>
      <c r="S23" s="9"/>
      <c r="T23" s="9"/>
      <c r="U23" s="9"/>
      <c r="V23" s="9"/>
      <c r="W23" s="9"/>
      <c r="X23" s="9"/>
      <c r="Y23" s="9"/>
      <c r="Z23" s="9"/>
      <c r="AA23" s="9"/>
      <c r="AB23" s="122"/>
      <c r="AC23" s="122"/>
      <c r="AD23" s="122"/>
      <c r="AE23" s="122"/>
      <c r="AF23" s="122"/>
      <c r="AG23" s="122"/>
      <c r="AH23" s="122"/>
      <c r="AI23" s="122"/>
    </row>
    <row r="24" spans="1:35" x14ac:dyDescent="0.25">
      <c r="A24" s="240"/>
      <c r="B24" s="241" t="s">
        <v>51</v>
      </c>
      <c r="C24" s="241" t="s">
        <v>38</v>
      </c>
      <c r="D24" s="241" t="s">
        <v>47</v>
      </c>
      <c r="E24" s="241" t="s">
        <v>48</v>
      </c>
      <c r="F24" s="242" t="s">
        <v>49</v>
      </c>
      <c r="G24" s="122"/>
      <c r="H24" s="122"/>
      <c r="I24" s="114"/>
      <c r="J24" s="14"/>
      <c r="K24" s="27"/>
      <c r="L24" s="27"/>
      <c r="M24" s="27"/>
      <c r="N24" s="27"/>
      <c r="O24" s="27"/>
      <c r="P24" s="27"/>
      <c r="Q24" s="27"/>
      <c r="R24" s="27"/>
      <c r="S24" s="27"/>
      <c r="T24" s="27"/>
      <c r="U24" s="27"/>
      <c r="V24" s="27"/>
      <c r="W24" s="27"/>
      <c r="X24" s="27"/>
      <c r="Y24" s="27"/>
      <c r="Z24" s="27"/>
      <c r="AA24" s="27"/>
      <c r="AB24" s="7"/>
      <c r="AC24" s="122"/>
      <c r="AD24" s="122"/>
      <c r="AE24" s="122"/>
      <c r="AF24" s="122"/>
      <c r="AG24" s="122"/>
      <c r="AH24" s="122"/>
      <c r="AI24" s="122"/>
    </row>
    <row r="25" spans="1:35" x14ac:dyDescent="0.25">
      <c r="A25" s="243" t="s">
        <v>52</v>
      </c>
      <c r="B25" s="302">
        <f>'NEW Factors'!F97</f>
        <v>12884.901590000001</v>
      </c>
      <c r="C25" s="302">
        <f>'NEW Factors'!B97</f>
        <v>4.9580000000000002</v>
      </c>
      <c r="D25" s="302">
        <f>'NEW Factors'!C97</f>
        <v>7.79</v>
      </c>
      <c r="E25" s="302">
        <f>'NEW Factors'!E97</f>
        <v>0.36799999999999999</v>
      </c>
      <c r="F25" s="303">
        <f>'NEW Factors'!D97</f>
        <v>8.4000000000000005E-2</v>
      </c>
      <c r="G25" s="122"/>
      <c r="H25" s="122"/>
      <c r="I25" s="9"/>
      <c r="J25" s="9"/>
      <c r="K25" s="9"/>
      <c r="L25" s="9"/>
      <c r="M25" s="9"/>
      <c r="N25" s="9"/>
      <c r="O25" s="9"/>
      <c r="P25" s="9"/>
      <c r="Q25" s="9"/>
      <c r="R25" s="9"/>
      <c r="S25" s="9"/>
      <c r="T25" s="9"/>
      <c r="U25" s="9"/>
      <c r="V25" s="9"/>
      <c r="W25" s="9"/>
      <c r="X25" s="9"/>
      <c r="Y25" s="9"/>
      <c r="Z25" s="9"/>
      <c r="AA25" s="9"/>
      <c r="AB25" s="122"/>
      <c r="AC25" s="122"/>
      <c r="AD25" s="122"/>
      <c r="AE25" s="122"/>
      <c r="AF25" s="122"/>
      <c r="AG25" s="122"/>
      <c r="AH25" s="122"/>
      <c r="AI25" s="122"/>
    </row>
    <row r="26" spans="1:35" x14ac:dyDescent="0.25">
      <c r="A26" s="243" t="s">
        <v>53</v>
      </c>
      <c r="B26" s="302">
        <f>'NEW Factors'!F98</f>
        <v>40664.215900000003</v>
      </c>
      <c r="C26" s="302">
        <f>'NEW Factors'!B98</f>
        <v>6.8289999999999997</v>
      </c>
      <c r="D26" s="302">
        <f>'NEW Factors'!C98</f>
        <v>64.334000000000003</v>
      </c>
      <c r="E26" s="302">
        <f>'NEW Factors'!E98</f>
        <v>2.9870000000000001</v>
      </c>
      <c r="F26" s="303">
        <f>'NEW Factors'!D98</f>
        <v>0.34</v>
      </c>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row>
    <row r="27" spans="1:35" x14ac:dyDescent="0.25">
      <c r="A27" s="244" t="s">
        <v>54</v>
      </c>
      <c r="B27" s="304">
        <f>'NEW Factors'!F99</f>
        <v>76946.749550000008</v>
      </c>
      <c r="C27" s="304">
        <f>'NEW Factors'!B99</f>
        <v>19.881</v>
      </c>
      <c r="D27" s="304">
        <f>'NEW Factors'!C99</f>
        <v>241.779</v>
      </c>
      <c r="E27" s="304">
        <f>'NEW Factors'!E99</f>
        <v>7.165</v>
      </c>
      <c r="F27" s="305">
        <f>'NEW Factors'!D99</f>
        <v>0.67600000000000005</v>
      </c>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row>
    <row r="28" spans="1:35" x14ac:dyDescent="0.25">
      <c r="A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row>
    <row r="29" spans="1:35" x14ac:dyDescent="0.25">
      <c r="A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row>
    <row r="30" spans="1:35" x14ac:dyDescent="0.25">
      <c r="A30" s="114"/>
      <c r="B30" s="114"/>
      <c r="C30" s="114"/>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row>
    <row r="31" spans="1:35" x14ac:dyDescent="0.25">
      <c r="A31" s="9"/>
      <c r="B31" s="9"/>
      <c r="C31" s="9"/>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row>
    <row r="32" spans="1:35" x14ac:dyDescent="0.25">
      <c r="A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row>
    <row r="33" spans="1:1" x14ac:dyDescent="0.25">
      <c r="A33" s="122"/>
    </row>
    <row r="34" spans="1:1" x14ac:dyDescent="0.25">
      <c r="A34" s="12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B6051-F2CD-40C4-8170-27E5BBD05F83}">
  <sheetPr>
    <tabColor rgb="FF92D050"/>
  </sheetPr>
  <dimension ref="A1:AC58"/>
  <sheetViews>
    <sheetView zoomScale="85" zoomScaleNormal="85" workbookViewId="0">
      <selection activeCell="A2" sqref="A2"/>
    </sheetView>
  </sheetViews>
  <sheetFormatPr defaultRowHeight="15" x14ac:dyDescent="0.25"/>
  <cols>
    <col min="1" max="1" width="37" customWidth="1"/>
    <col min="2" max="13" width="15.5703125" customWidth="1"/>
    <col min="14" max="28" width="11" bestFit="1" customWidth="1"/>
    <col min="29" max="29" width="12.140625" customWidth="1"/>
  </cols>
  <sheetData>
    <row r="1" spans="1:3" ht="18.75" x14ac:dyDescent="0.3">
      <c r="A1" s="6" t="s">
        <v>339</v>
      </c>
      <c r="B1" s="122"/>
      <c r="C1" s="122"/>
    </row>
    <row r="2" spans="1:3" x14ac:dyDescent="0.25">
      <c r="A2" s="124" t="s">
        <v>165</v>
      </c>
      <c r="B2" s="122" t="s">
        <v>11</v>
      </c>
      <c r="C2" s="122" t="s">
        <v>166</v>
      </c>
    </row>
    <row r="3" spans="1:3" x14ac:dyDescent="0.25">
      <c r="A3" s="1" t="s">
        <v>167</v>
      </c>
      <c r="B3" s="73">
        <v>408</v>
      </c>
      <c r="C3" s="47">
        <f>B3/5</f>
        <v>81.599999999999994</v>
      </c>
    </row>
    <row r="4" spans="1:3" x14ac:dyDescent="0.25">
      <c r="A4" s="1" t="s">
        <v>168</v>
      </c>
      <c r="B4" s="73">
        <v>201</v>
      </c>
      <c r="C4" s="47">
        <f t="shared" ref="C4:C7" si="0">B4/5</f>
        <v>40.200000000000003</v>
      </c>
    </row>
    <row r="5" spans="1:3" x14ac:dyDescent="0.25">
      <c r="A5" s="1" t="s">
        <v>169</v>
      </c>
      <c r="B5" s="73">
        <v>134</v>
      </c>
      <c r="C5" s="47">
        <f t="shared" si="0"/>
        <v>26.8</v>
      </c>
    </row>
    <row r="6" spans="1:3" x14ac:dyDescent="0.25">
      <c r="A6" s="1" t="s">
        <v>170</v>
      </c>
      <c r="B6" s="73">
        <v>25</v>
      </c>
      <c r="C6" s="47">
        <f t="shared" si="0"/>
        <v>5</v>
      </c>
    </row>
    <row r="7" spans="1:3" x14ac:dyDescent="0.25">
      <c r="A7" s="1" t="s">
        <v>171</v>
      </c>
      <c r="B7" s="73">
        <v>5</v>
      </c>
      <c r="C7" s="47">
        <f t="shared" si="0"/>
        <v>1</v>
      </c>
    </row>
    <row r="9" spans="1:3" x14ac:dyDescent="0.25">
      <c r="A9" s="13" t="s">
        <v>172</v>
      </c>
      <c r="B9" s="122"/>
      <c r="C9" s="122"/>
    </row>
    <row r="10" spans="1:3" x14ac:dyDescent="0.25">
      <c r="A10" s="1" t="s">
        <v>173</v>
      </c>
      <c r="B10" s="14">
        <v>29739324.000000004</v>
      </c>
      <c r="C10" s="14"/>
    </row>
    <row r="11" spans="1:3" x14ac:dyDescent="0.25">
      <c r="A11" s="1" t="s">
        <v>174</v>
      </c>
      <c r="B11" s="14">
        <v>28454998.499999996</v>
      </c>
      <c r="C11" s="14"/>
    </row>
    <row r="12" spans="1:3" x14ac:dyDescent="0.25">
      <c r="A12" s="1" t="s">
        <v>175</v>
      </c>
      <c r="B12" s="14">
        <v>15673172.999999998</v>
      </c>
      <c r="C12" s="14"/>
    </row>
    <row r="13" spans="1:3" x14ac:dyDescent="0.25">
      <c r="A13" s="15" t="s">
        <v>11</v>
      </c>
      <c r="B13" s="16">
        <f>SUM(B10:B12)</f>
        <v>73867495.5</v>
      </c>
      <c r="C13" s="16"/>
    </row>
    <row r="14" spans="1:3" x14ac:dyDescent="0.25">
      <c r="A14" s="15"/>
      <c r="B14" s="17"/>
      <c r="C14" s="17"/>
    </row>
    <row r="15" spans="1:3" x14ac:dyDescent="0.25">
      <c r="A15" s="13" t="s">
        <v>176</v>
      </c>
      <c r="B15" s="17"/>
      <c r="C15" s="17"/>
    </row>
    <row r="16" spans="1:3" x14ac:dyDescent="0.25">
      <c r="A16" s="1" t="s">
        <v>173</v>
      </c>
      <c r="B16" s="14">
        <v>42872224.75</v>
      </c>
      <c r="C16" s="14"/>
    </row>
    <row r="17" spans="1:9" x14ac:dyDescent="0.25">
      <c r="A17" s="1" t="s">
        <v>174</v>
      </c>
      <c r="B17" s="14">
        <v>38123063.75</v>
      </c>
      <c r="C17" s="14"/>
      <c r="D17" s="122"/>
      <c r="E17" s="122"/>
      <c r="F17" s="122"/>
      <c r="G17" s="122"/>
      <c r="H17" s="122"/>
    </row>
    <row r="18" spans="1:9" x14ac:dyDescent="0.25">
      <c r="A18" s="1" t="s">
        <v>175</v>
      </c>
      <c r="B18" s="14">
        <v>21149030.75</v>
      </c>
      <c r="C18" s="14"/>
      <c r="D18" s="122"/>
      <c r="E18" s="122"/>
      <c r="F18" s="122"/>
      <c r="G18" s="122"/>
      <c r="H18" s="122"/>
    </row>
    <row r="19" spans="1:9" x14ac:dyDescent="0.25">
      <c r="A19" s="15" t="s">
        <v>11</v>
      </c>
      <c r="B19" s="18">
        <f>SUM(B16:B18)</f>
        <v>102144319.25</v>
      </c>
      <c r="C19" s="18"/>
      <c r="D19" s="122"/>
      <c r="E19" s="122"/>
      <c r="F19" s="122"/>
      <c r="G19" s="122"/>
      <c r="H19" s="122"/>
    </row>
    <row r="21" spans="1:9" x14ac:dyDescent="0.25">
      <c r="A21" s="19" t="s">
        <v>177</v>
      </c>
      <c r="B21" s="122"/>
      <c r="C21" s="122"/>
      <c r="D21" s="122"/>
      <c r="E21" s="122"/>
      <c r="F21" s="122"/>
      <c r="G21" s="122"/>
      <c r="H21" s="122"/>
    </row>
    <row r="22" spans="1:9" x14ac:dyDescent="0.25">
      <c r="A22" s="1" t="s">
        <v>167</v>
      </c>
      <c r="B22" s="74">
        <f>C3/($B$13*10^-6)</f>
        <v>1.1046807455384757</v>
      </c>
      <c r="C22" s="186"/>
      <c r="D22" s="186"/>
      <c r="E22" s="122"/>
      <c r="F22" s="122"/>
      <c r="G22" s="122"/>
      <c r="H22" s="122"/>
    </row>
    <row r="23" spans="1:9" x14ac:dyDescent="0.25">
      <c r="A23" s="1" t="s">
        <v>168</v>
      </c>
      <c r="B23" s="74">
        <f t="shared" ref="B23:B26" si="1">C4/($B$13*10^-6)</f>
        <v>0.54421772022851389</v>
      </c>
      <c r="C23" s="20"/>
      <c r="D23" s="122"/>
      <c r="E23" s="122"/>
      <c r="F23" s="122"/>
      <c r="G23" s="122"/>
      <c r="H23" s="122"/>
    </row>
    <row r="24" spans="1:9" x14ac:dyDescent="0.25">
      <c r="A24" s="1" t="s">
        <v>169</v>
      </c>
      <c r="B24" s="74">
        <f t="shared" si="1"/>
        <v>0.36281181348567593</v>
      </c>
      <c r="C24" s="20"/>
      <c r="D24" s="122"/>
      <c r="E24" s="122"/>
      <c r="F24" s="122"/>
      <c r="G24" s="122"/>
      <c r="H24" s="122"/>
    </row>
    <row r="25" spans="1:9" x14ac:dyDescent="0.25">
      <c r="A25" s="1" t="s">
        <v>170</v>
      </c>
      <c r="B25" s="74">
        <f t="shared" si="1"/>
        <v>6.7688771172700724E-2</v>
      </c>
      <c r="C25" s="20"/>
      <c r="D25" s="122"/>
      <c r="E25" s="122"/>
      <c r="F25" s="122"/>
      <c r="G25" s="122"/>
      <c r="H25" s="122"/>
    </row>
    <row r="26" spans="1:9" x14ac:dyDescent="0.25">
      <c r="A26" s="1" t="s">
        <v>171</v>
      </c>
      <c r="B26" s="74">
        <f t="shared" si="1"/>
        <v>1.3537754234540145E-2</v>
      </c>
      <c r="C26" s="20"/>
      <c r="D26" s="122"/>
      <c r="E26" s="122"/>
      <c r="F26" s="122"/>
      <c r="G26" s="122"/>
      <c r="H26" s="122"/>
    </row>
    <row r="27" spans="1:9" x14ac:dyDescent="0.25">
      <c r="A27" s="1"/>
      <c r="B27" s="20"/>
      <c r="C27" s="20"/>
      <c r="D27" s="122"/>
      <c r="E27" s="122"/>
      <c r="F27" s="122"/>
      <c r="G27" s="122"/>
      <c r="H27" s="122"/>
    </row>
    <row r="28" spans="1:9" s="54" customFormat="1" x14ac:dyDescent="0.25">
      <c r="A28" s="81" t="s">
        <v>178</v>
      </c>
      <c r="B28" s="125">
        <v>2016</v>
      </c>
      <c r="C28" s="125">
        <v>2025</v>
      </c>
      <c r="D28" s="125">
        <v>2030</v>
      </c>
      <c r="E28" s="125">
        <v>2035</v>
      </c>
      <c r="F28" s="125">
        <v>2040</v>
      </c>
      <c r="G28" s="125">
        <v>2045</v>
      </c>
      <c r="H28" s="125">
        <v>2050</v>
      </c>
      <c r="I28" s="80" t="s">
        <v>11</v>
      </c>
    </row>
    <row r="29" spans="1:9" s="54" customFormat="1" x14ac:dyDescent="0.25">
      <c r="A29" s="24" t="s">
        <v>167</v>
      </c>
      <c r="B29" s="56">
        <f>C3</f>
        <v>81.599999999999994</v>
      </c>
      <c r="C29" s="57">
        <f>B29*((1+'Look Up'!$B$5)^(C$28-B$28))</f>
        <v>92.148777000444454</v>
      </c>
      <c r="D29" s="57">
        <f>C29*((1+'Look Up'!$B$5)^(D$28-C$28))</f>
        <v>98.5876659813689</v>
      </c>
      <c r="E29" s="57">
        <f>D29*((1+'Look Up'!$B$5)^(E$28-D$28))</f>
        <v>105.47647185384874</v>
      </c>
      <c r="F29" s="57">
        <f>E29*((1+'Look Up'!$B$5)^(F$28-E$28))</f>
        <v>112.84663252742185</v>
      </c>
      <c r="G29" s="57">
        <f>F29*((1+'Look Up'!$B$5)^(G$28-F$28))</f>
        <v>120.73178263323109</v>
      </c>
      <c r="H29" s="57">
        <f>G29*((1+'Look Up'!$B$5)^(H$28-G$28))</f>
        <v>129.16790701978402</v>
      </c>
      <c r="I29" s="77">
        <f>(H29+C29)/2*25</f>
        <v>2766.4585502528562</v>
      </c>
    </row>
    <row r="30" spans="1:9" s="54" customFormat="1" x14ac:dyDescent="0.25">
      <c r="A30" s="24" t="s">
        <v>168</v>
      </c>
      <c r="B30" s="56">
        <f>C4</f>
        <v>40.200000000000003</v>
      </c>
      <c r="C30" s="57">
        <f>B30*((1+'Look Up'!$B$5)^(C$28-B$28))</f>
        <v>45.39682396345426</v>
      </c>
      <c r="D30" s="57">
        <f>C30*((1+'Look Up'!$B$5)^(D$28-C$28))</f>
        <v>48.568923681997923</v>
      </c>
      <c r="E30" s="57">
        <f>D30*((1+'Look Up'!$B$5)^(E$28-D$28))</f>
        <v>51.962673633881373</v>
      </c>
      <c r="F30" s="57">
        <f>E30*((1+'Look Up'!$B$5)^(F$28-E$28))</f>
        <v>55.59356161277401</v>
      </c>
      <c r="G30" s="57">
        <f>F30*((1+'Look Up'!$B$5)^(G$28-F$28))</f>
        <v>59.47815762078298</v>
      </c>
      <c r="H30" s="57">
        <f>G30*((1+'Look Up'!$B$5)^(H$28-G$28))</f>
        <v>63.634189487687735</v>
      </c>
      <c r="I30" s="77">
        <f>(H30+C30)/2*25</f>
        <v>1362.8876681392751</v>
      </c>
    </row>
    <row r="31" spans="1:9" s="54" customFormat="1" x14ac:dyDescent="0.25">
      <c r="A31" s="24" t="s">
        <v>169</v>
      </c>
      <c r="B31" s="56">
        <f>C5</f>
        <v>26.8</v>
      </c>
      <c r="C31" s="57">
        <f>B31*((1+'Look Up'!$B$5)^(C$28-B$28))</f>
        <v>30.264549308969503</v>
      </c>
      <c r="D31" s="57">
        <f>C31*((1+'Look Up'!$B$5)^(D$28-C$28))</f>
        <v>32.37928245466528</v>
      </c>
      <c r="E31" s="57">
        <f>D31*((1+'Look Up'!$B$5)^(E$28-D$28))</f>
        <v>34.641782422587575</v>
      </c>
      <c r="F31" s="57">
        <f>E31*((1+'Look Up'!$B$5)^(F$28-E$28))</f>
        <v>37.062374408516</v>
      </c>
      <c r="G31" s="57">
        <f>F31*((1+'Look Up'!$B$5)^(G$28-F$28))</f>
        <v>39.652105080521977</v>
      </c>
      <c r="H31" s="57">
        <f>G31*((1+'Look Up'!$B$5)^(H$28-G$28))</f>
        <v>42.422792991791816</v>
      </c>
      <c r="I31" s="77">
        <f>(H31+C31)/2*25</f>
        <v>908.5917787595165</v>
      </c>
    </row>
    <row r="32" spans="1:9" s="54" customFormat="1" x14ac:dyDescent="0.25">
      <c r="A32" s="24" t="s">
        <v>170</v>
      </c>
      <c r="B32" s="56">
        <f>C6</f>
        <v>5</v>
      </c>
      <c r="C32" s="57">
        <f>B32*((1+'Look Up'!$B$5)^(C$28-B$28))</f>
        <v>5.646371139733116</v>
      </c>
      <c r="D32" s="57">
        <f>C32*((1+'Look Up'!$B$5)^(D$28-C$28))</f>
        <v>6.0409109057211339</v>
      </c>
      <c r="E32" s="57">
        <f>D32*((1+'Look Up'!$B$5)^(E$28-D$28))</f>
        <v>6.4630191086917117</v>
      </c>
      <c r="F32" s="57">
        <f>E32*((1+'Look Up'!$B$5)^(F$28-E$28))</f>
        <v>6.9146220911410445</v>
      </c>
      <c r="G32" s="57">
        <f>F32*((1+'Look Up'!$B$5)^(G$28-F$28))</f>
        <v>7.3977807986048463</v>
      </c>
      <c r="H32" s="57">
        <f>G32*((1+'Look Up'!$B$5)^(H$28-G$28))</f>
        <v>7.9147001850357857</v>
      </c>
      <c r="I32" s="77">
        <f>(H32+C32)/2*25</f>
        <v>169.51339155961128</v>
      </c>
    </row>
    <row r="33" spans="1:29" s="54" customFormat="1" x14ac:dyDescent="0.25">
      <c r="A33" s="24" t="s">
        <v>171</v>
      </c>
      <c r="B33" s="56">
        <f>C7</f>
        <v>1</v>
      </c>
      <c r="C33" s="57">
        <f>B33*((1+'Look Up'!$B$5)^(C$28-B$28))</f>
        <v>1.1292742279466232</v>
      </c>
      <c r="D33" s="57">
        <f>C33*((1+'Look Up'!$B$5)^(D$28-C$28))</f>
        <v>1.2081821811442268</v>
      </c>
      <c r="E33" s="57">
        <f>D33*((1+'Look Up'!$B$5)^(E$28-D$28))</f>
        <v>1.2926038217383424</v>
      </c>
      <c r="F33" s="57">
        <f>E33*((1+'Look Up'!$B$5)^(F$28-E$28))</f>
        <v>1.382924418228209</v>
      </c>
      <c r="G33" s="57">
        <f>F33*((1+'Look Up'!$B$5)^(G$28-F$28))</f>
        <v>1.4795561597209694</v>
      </c>
      <c r="H33" s="57">
        <f>G33*((1+'Look Up'!$B$5)^(H$28-G$28))</f>
        <v>1.5829400370071574</v>
      </c>
      <c r="I33" s="77">
        <f>(H33+C33)/2*25</f>
        <v>33.902678311922259</v>
      </c>
      <c r="J33" s="125"/>
      <c r="K33" s="125"/>
      <c r="L33" s="125"/>
      <c r="M33" s="125"/>
      <c r="N33" s="125"/>
      <c r="O33" s="125"/>
      <c r="P33" s="125"/>
      <c r="Q33" s="125"/>
      <c r="R33" s="125"/>
      <c r="S33" s="125"/>
      <c r="T33" s="125"/>
      <c r="U33" s="125"/>
      <c r="V33" s="125"/>
      <c r="W33" s="125"/>
      <c r="X33" s="125"/>
      <c r="Y33" s="125"/>
      <c r="Z33" s="125"/>
      <c r="AA33" s="125"/>
      <c r="AB33" s="125"/>
      <c r="AC33" s="125"/>
    </row>
    <row r="34" spans="1:29" s="54" customFormat="1" x14ac:dyDescent="0.25">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row>
    <row r="35" spans="1:29" s="54" customFormat="1" ht="30" x14ac:dyDescent="0.25">
      <c r="A35" s="81" t="s">
        <v>179</v>
      </c>
      <c r="B35" s="125">
        <v>2016</v>
      </c>
      <c r="C35" s="25">
        <v>2025</v>
      </c>
      <c r="D35" s="25">
        <v>2030</v>
      </c>
      <c r="E35" s="25">
        <v>2035</v>
      </c>
      <c r="F35" s="25">
        <v>2040</v>
      </c>
      <c r="G35" s="25">
        <v>2045</v>
      </c>
      <c r="H35" s="25">
        <v>2050</v>
      </c>
      <c r="I35" s="80" t="s">
        <v>11</v>
      </c>
      <c r="J35" s="329" t="s">
        <v>333</v>
      </c>
      <c r="K35" s="125"/>
      <c r="L35" s="125"/>
      <c r="M35" s="329" t="s">
        <v>332</v>
      </c>
      <c r="N35" s="125"/>
      <c r="O35" s="125"/>
      <c r="P35" s="125"/>
      <c r="Q35" s="125"/>
      <c r="R35" s="125"/>
      <c r="S35" s="125"/>
      <c r="T35" s="125"/>
      <c r="U35" s="125"/>
      <c r="V35" s="125"/>
      <c r="W35" s="125"/>
      <c r="X35" s="125"/>
      <c r="Y35" s="125"/>
      <c r="Z35" s="125"/>
      <c r="AA35" s="125"/>
      <c r="AB35" s="125"/>
      <c r="AC35" s="125"/>
    </row>
    <row r="36" spans="1:29" s="54" customFormat="1" x14ac:dyDescent="0.25">
      <c r="A36" s="25" t="s">
        <v>167</v>
      </c>
      <c r="B36" s="25" t="s">
        <v>180</v>
      </c>
      <c r="C36" s="23">
        <f>C29*$A$43</f>
        <v>41.466949650200007</v>
      </c>
      <c r="D36" s="23">
        <f t="shared" ref="C36:H40" si="2">D29*$A$43</f>
        <v>44.364449691616009</v>
      </c>
      <c r="E36" s="23">
        <f t="shared" si="2"/>
        <v>47.46441233423193</v>
      </c>
      <c r="F36" s="23">
        <f t="shared" si="2"/>
        <v>50.780984637339834</v>
      </c>
      <c r="G36" s="23">
        <f t="shared" si="2"/>
        <v>54.329302184953995</v>
      </c>
      <c r="H36" s="23">
        <f t="shared" si="2"/>
        <v>58.125558158902813</v>
      </c>
      <c r="I36" s="77">
        <f>(H36+C36)/2*25</f>
        <v>1244.9063476137851</v>
      </c>
      <c r="J36" s="330">
        <f>I29-I36</f>
        <v>1521.5522026390711</v>
      </c>
      <c r="K36" s="125"/>
      <c r="L36" s="125"/>
      <c r="M36" s="125"/>
      <c r="N36" s="125"/>
      <c r="O36" s="125"/>
      <c r="P36" s="125"/>
      <c r="Q36" s="125"/>
      <c r="R36" s="125"/>
      <c r="S36" s="125"/>
      <c r="T36" s="125"/>
      <c r="U36" s="125"/>
      <c r="V36" s="125"/>
      <c r="W36" s="125"/>
      <c r="X36" s="125"/>
      <c r="Y36" s="125"/>
      <c r="Z36" s="125"/>
      <c r="AA36" s="125"/>
      <c r="AB36" s="125"/>
      <c r="AC36" s="125"/>
    </row>
    <row r="37" spans="1:29" s="54" customFormat="1" x14ac:dyDescent="0.25">
      <c r="A37" s="25" t="s">
        <v>168</v>
      </c>
      <c r="B37" s="25" t="s">
        <v>180</v>
      </c>
      <c r="C37" s="23">
        <f t="shared" si="2"/>
        <v>20.428570783554417</v>
      </c>
      <c r="D37" s="23">
        <f t="shared" si="2"/>
        <v>21.856015656899064</v>
      </c>
      <c r="E37" s="23">
        <f t="shared" si="2"/>
        <v>23.383203135246617</v>
      </c>
      <c r="F37" s="23">
        <f t="shared" si="2"/>
        <v>25.017102725748305</v>
      </c>
      <c r="G37" s="23">
        <f t="shared" si="2"/>
        <v>26.76517092935234</v>
      </c>
      <c r="H37" s="23">
        <f t="shared" si="2"/>
        <v>28.63538526945948</v>
      </c>
      <c r="I37" s="77">
        <f>(H37+C37)/2*25</f>
        <v>613.29945066267373</v>
      </c>
      <c r="J37" s="330">
        <f t="shared" ref="J37:J40" si="3">I30-I37</f>
        <v>749.58821747660136</v>
      </c>
      <c r="K37" s="125"/>
      <c r="M37" s="125"/>
      <c r="N37" s="125"/>
      <c r="O37" s="125"/>
      <c r="P37" s="125"/>
      <c r="Q37" s="125"/>
      <c r="R37" s="125"/>
      <c r="S37" s="125"/>
      <c r="T37" s="125"/>
      <c r="U37" s="125"/>
      <c r="V37" s="125"/>
      <c r="W37" s="125"/>
      <c r="X37" s="125"/>
      <c r="Y37" s="125"/>
      <c r="Z37" s="125"/>
      <c r="AA37" s="125"/>
      <c r="AB37" s="125"/>
      <c r="AC37" s="125"/>
    </row>
    <row r="38" spans="1:29" s="54" customFormat="1" x14ac:dyDescent="0.25">
      <c r="A38" s="25" t="s">
        <v>169</v>
      </c>
      <c r="B38" s="25" t="s">
        <v>180</v>
      </c>
      <c r="C38" s="23">
        <f t="shared" si="2"/>
        <v>13.619047189036277</v>
      </c>
      <c r="D38" s="23">
        <f t="shared" si="2"/>
        <v>14.570677104599376</v>
      </c>
      <c r="E38" s="23">
        <f t="shared" si="2"/>
        <v>15.588802090164409</v>
      </c>
      <c r="F38" s="23">
        <f t="shared" si="2"/>
        <v>16.678068483832199</v>
      </c>
      <c r="G38" s="23">
        <f t="shared" si="2"/>
        <v>17.843447286234891</v>
      </c>
      <c r="H38" s="23">
        <f t="shared" si="2"/>
        <v>19.090256846306318</v>
      </c>
      <c r="I38" s="77">
        <f>(H38+C38)/2*25</f>
        <v>408.86630044178247</v>
      </c>
      <c r="J38" s="330">
        <f t="shared" si="3"/>
        <v>499.72547831773403</v>
      </c>
      <c r="K38" s="125"/>
      <c r="L38" s="125"/>
      <c r="M38" s="125"/>
      <c r="N38" s="125"/>
      <c r="O38" s="125"/>
      <c r="P38" s="125"/>
      <c r="Q38" s="125"/>
      <c r="R38" s="125"/>
      <c r="S38" s="125"/>
      <c r="T38" s="125"/>
      <c r="U38" s="125"/>
      <c r="V38" s="125"/>
      <c r="W38" s="125"/>
      <c r="X38" s="125"/>
      <c r="Y38" s="125"/>
      <c r="Z38" s="125"/>
      <c r="AA38" s="125"/>
      <c r="AB38" s="125"/>
      <c r="AC38" s="125"/>
    </row>
    <row r="39" spans="1:29" s="54" customFormat="1" x14ac:dyDescent="0.25">
      <c r="A39" s="25" t="s">
        <v>170</v>
      </c>
      <c r="B39" s="25" t="s">
        <v>180</v>
      </c>
      <c r="C39" s="23">
        <f t="shared" si="2"/>
        <v>2.5408670128799025</v>
      </c>
      <c r="D39" s="23">
        <f t="shared" si="2"/>
        <v>2.7184099075745105</v>
      </c>
      <c r="E39" s="23">
        <f t="shared" si="2"/>
        <v>2.9083585989112701</v>
      </c>
      <c r="F39" s="23">
        <f t="shared" si="2"/>
        <v>3.1115799410134701</v>
      </c>
      <c r="G39" s="23">
        <f t="shared" si="2"/>
        <v>3.3290013593721808</v>
      </c>
      <c r="H39" s="23">
        <f t="shared" si="2"/>
        <v>3.5616150832661035</v>
      </c>
      <c r="I39" s="77">
        <f>(H39+C39)/2*25</f>
        <v>76.281026201825071</v>
      </c>
      <c r="J39" s="330">
        <f t="shared" si="3"/>
        <v>93.232365357786207</v>
      </c>
      <c r="L39" s="125"/>
      <c r="M39" s="125" t="s">
        <v>331</v>
      </c>
      <c r="N39" s="57">
        <f>SUM(H29:H33)-SUM(H36:H40)</f>
        <v>134.59739134671861</v>
      </c>
      <c r="O39" s="125"/>
      <c r="P39" s="125"/>
      <c r="Q39" s="125"/>
      <c r="R39" s="125"/>
      <c r="S39" s="125"/>
      <c r="T39" s="125"/>
      <c r="U39" s="125"/>
      <c r="V39" s="125"/>
      <c r="W39" s="125"/>
      <c r="X39" s="125"/>
      <c r="Y39" s="125"/>
      <c r="Z39" s="125"/>
      <c r="AA39" s="125"/>
      <c r="AB39" s="125"/>
      <c r="AC39" s="125"/>
    </row>
    <row r="40" spans="1:29" s="54" customFormat="1" x14ac:dyDescent="0.25">
      <c r="A40" s="25" t="s">
        <v>171</v>
      </c>
      <c r="B40" s="25" t="s">
        <v>180</v>
      </c>
      <c r="C40" s="23">
        <f t="shared" si="2"/>
        <v>0.50817340257598043</v>
      </c>
      <c r="D40" s="23">
        <f t="shared" si="2"/>
        <v>0.5436819815149021</v>
      </c>
      <c r="E40" s="23">
        <f t="shared" si="2"/>
        <v>0.58167171978225407</v>
      </c>
      <c r="F40" s="23">
        <f t="shared" si="2"/>
        <v>0.62231598820269407</v>
      </c>
      <c r="G40" s="23">
        <f t="shared" si="2"/>
        <v>0.66580027187443624</v>
      </c>
      <c r="H40" s="23">
        <f t="shared" si="2"/>
        <v>0.71232301665322084</v>
      </c>
      <c r="I40" s="77">
        <f>(H40+C40)/2*25</f>
        <v>15.256205240365016</v>
      </c>
      <c r="J40" s="330">
        <f t="shared" si="3"/>
        <v>18.646473071557242</v>
      </c>
      <c r="M40" s="54" t="s">
        <v>330</v>
      </c>
      <c r="N40" s="57">
        <f>SUM(H31:H33)-SUM(H38:H40)</f>
        <v>28.55623826760911</v>
      </c>
      <c r="O40" s="125"/>
      <c r="P40" s="125"/>
      <c r="Q40" s="125"/>
      <c r="R40" s="125"/>
      <c r="S40" s="125"/>
      <c r="T40" s="125"/>
      <c r="U40" s="125"/>
      <c r="V40" s="125"/>
      <c r="W40" s="125"/>
      <c r="X40" s="125"/>
      <c r="Y40" s="125"/>
      <c r="Z40" s="125"/>
      <c r="AA40" s="125"/>
      <c r="AB40" s="125"/>
      <c r="AC40" s="125"/>
    </row>
    <row r="41" spans="1:29" s="54" customFormat="1" x14ac:dyDescent="0.25">
      <c r="A41" s="25"/>
      <c r="B41" s="75"/>
      <c r="C41" s="78"/>
      <c r="D41" s="23"/>
      <c r="E41" s="23"/>
      <c r="F41" s="23"/>
      <c r="G41" s="23"/>
      <c r="H41" s="23"/>
      <c r="I41" s="23"/>
      <c r="J41" s="125"/>
      <c r="M41" s="125"/>
      <c r="N41" s="125"/>
      <c r="O41" s="125"/>
      <c r="P41" s="125"/>
      <c r="Q41" s="125"/>
      <c r="R41" s="125"/>
      <c r="S41" s="125"/>
      <c r="T41" s="125"/>
      <c r="U41" s="125"/>
      <c r="V41" s="125"/>
      <c r="W41" s="125"/>
      <c r="X41" s="125"/>
      <c r="Y41" s="125"/>
      <c r="Z41" s="125"/>
      <c r="AA41" s="125"/>
      <c r="AB41" s="125"/>
      <c r="AC41" s="125"/>
    </row>
    <row r="42" spans="1:29" x14ac:dyDescent="0.25">
      <c r="A42" s="36" t="s">
        <v>181</v>
      </c>
      <c r="B42" s="124" t="s">
        <v>182</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row>
    <row r="43" spans="1:29" x14ac:dyDescent="0.25">
      <c r="A43" s="76">
        <v>0.45</v>
      </c>
      <c r="B43" s="79" t="s">
        <v>183</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row>
    <row r="44" spans="1:29" x14ac:dyDescent="0.25">
      <c r="A44" s="122"/>
      <c r="B44" s="122"/>
      <c r="C44" s="122"/>
      <c r="D44" s="122"/>
      <c r="E44" s="323" t="s">
        <v>35</v>
      </c>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row>
    <row r="45" spans="1:29" x14ac:dyDescent="0.25">
      <c r="A45" s="36" t="s">
        <v>184</v>
      </c>
      <c r="B45" s="25">
        <v>2016</v>
      </c>
      <c r="C45" s="122">
        <v>2025</v>
      </c>
      <c r="D45" s="122">
        <f t="shared" ref="D45:AC45" si="4">C45+1</f>
        <v>2026</v>
      </c>
      <c r="E45" s="122">
        <f t="shared" si="4"/>
        <v>2027</v>
      </c>
      <c r="F45" s="122">
        <f t="shared" si="4"/>
        <v>2028</v>
      </c>
      <c r="G45" s="122">
        <f t="shared" si="4"/>
        <v>2029</v>
      </c>
      <c r="H45" s="122">
        <f t="shared" si="4"/>
        <v>2030</v>
      </c>
      <c r="I45" s="122">
        <f t="shared" si="4"/>
        <v>2031</v>
      </c>
      <c r="J45" s="122">
        <f t="shared" si="4"/>
        <v>2032</v>
      </c>
      <c r="K45" s="122">
        <f t="shared" si="4"/>
        <v>2033</v>
      </c>
      <c r="L45" s="122">
        <f t="shared" si="4"/>
        <v>2034</v>
      </c>
      <c r="M45" s="122">
        <f t="shared" si="4"/>
        <v>2035</v>
      </c>
      <c r="N45" s="122">
        <f t="shared" si="4"/>
        <v>2036</v>
      </c>
      <c r="O45" s="122">
        <f t="shared" si="4"/>
        <v>2037</v>
      </c>
      <c r="P45" s="122">
        <f t="shared" si="4"/>
        <v>2038</v>
      </c>
      <c r="Q45" s="122">
        <f t="shared" si="4"/>
        <v>2039</v>
      </c>
      <c r="R45" s="122">
        <f t="shared" si="4"/>
        <v>2040</v>
      </c>
      <c r="S45" s="122">
        <f t="shared" si="4"/>
        <v>2041</v>
      </c>
      <c r="T45" s="122">
        <f t="shared" si="4"/>
        <v>2042</v>
      </c>
      <c r="U45" s="122">
        <f t="shared" si="4"/>
        <v>2043</v>
      </c>
      <c r="V45" s="122">
        <f t="shared" si="4"/>
        <v>2044</v>
      </c>
      <c r="W45" s="122">
        <f t="shared" si="4"/>
        <v>2045</v>
      </c>
      <c r="X45" s="122">
        <f t="shared" si="4"/>
        <v>2046</v>
      </c>
      <c r="Y45" s="122">
        <f t="shared" si="4"/>
        <v>2047</v>
      </c>
      <c r="Z45" s="122">
        <f t="shared" si="4"/>
        <v>2048</v>
      </c>
      <c r="AA45" s="122">
        <f t="shared" si="4"/>
        <v>2049</v>
      </c>
      <c r="AB45" s="122">
        <f t="shared" si="4"/>
        <v>2050</v>
      </c>
      <c r="AC45" s="122">
        <f t="shared" si="4"/>
        <v>2051</v>
      </c>
    </row>
    <row r="46" spans="1:29" x14ac:dyDescent="0.25">
      <c r="A46" s="21" t="s">
        <v>167</v>
      </c>
      <c r="B46" s="22" t="s">
        <v>180</v>
      </c>
      <c r="C46" s="14">
        <f>Safety!C36*'Look Up'!I26</f>
        <v>161721.10363578002</v>
      </c>
      <c r="D46" s="14">
        <f t="shared" ref="D46:G50" si="5">(($H46-$C46)/5)+C46</f>
        <v>163981.1536680845</v>
      </c>
      <c r="E46" s="14">
        <f t="shared" si="5"/>
        <v>166241.20370038899</v>
      </c>
      <c r="F46" s="14">
        <f t="shared" si="5"/>
        <v>168501.25373269347</v>
      </c>
      <c r="G46" s="14">
        <f t="shared" si="5"/>
        <v>170761.30376499795</v>
      </c>
      <c r="H46" s="14">
        <f>Safety!D36*'Look Up'!N26</f>
        <v>173021.35379730244</v>
      </c>
      <c r="I46" s="14">
        <f t="shared" ref="I46:L50" si="6">(($M46-$H46)/5)+H46</f>
        <v>175439.32465854284</v>
      </c>
      <c r="J46" s="14">
        <f t="shared" si="6"/>
        <v>177857.29551978325</v>
      </c>
      <c r="K46" s="14">
        <f t="shared" si="6"/>
        <v>180275.26638102366</v>
      </c>
      <c r="L46" s="14">
        <f t="shared" si="6"/>
        <v>182693.23724226406</v>
      </c>
      <c r="M46" s="14">
        <f>Safety!E36*'Look Up'!S26</f>
        <v>185111.20810350453</v>
      </c>
      <c r="N46" s="14">
        <f t="shared" ref="N46:Q50" si="7">(($R46-$M46)/5)+M46</f>
        <v>187698.13449992868</v>
      </c>
      <c r="O46" s="14">
        <f t="shared" si="7"/>
        <v>190285.06089635284</v>
      </c>
      <c r="P46" s="14">
        <f t="shared" si="7"/>
        <v>192871.98729277699</v>
      </c>
      <c r="Q46" s="14">
        <f t="shared" si="7"/>
        <v>195458.91368920114</v>
      </c>
      <c r="R46" s="14">
        <f>Safety!F36*'Look Up'!X26</f>
        <v>198045.84008562536</v>
      </c>
      <c r="S46" s="14">
        <f t="shared" ref="S46:V50" si="8">(($W46-$R46)/5)+R46</f>
        <v>200813.52777276441</v>
      </c>
      <c r="T46" s="14">
        <f t="shared" si="8"/>
        <v>203581.21545990347</v>
      </c>
      <c r="U46" s="14">
        <f t="shared" si="8"/>
        <v>206348.90314704253</v>
      </c>
      <c r="V46" s="14">
        <f t="shared" si="8"/>
        <v>209116.59083418158</v>
      </c>
      <c r="W46" s="14">
        <f>Safety!G36*'Look Up'!AC26</f>
        <v>211884.27852132058</v>
      </c>
      <c r="X46" s="14">
        <f t="shared" ref="X46:AC50" si="9">(($AB46-$W46)/5)+W46</f>
        <v>214845.35818100066</v>
      </c>
      <c r="Y46" s="14">
        <f t="shared" si="9"/>
        <v>217806.43784068074</v>
      </c>
      <c r="Z46" s="14">
        <f t="shared" si="9"/>
        <v>220767.51750036082</v>
      </c>
      <c r="AA46" s="14">
        <f t="shared" si="9"/>
        <v>223728.5971600409</v>
      </c>
      <c r="AB46" s="14">
        <f>Safety!H36*'Look Up'!AH26</f>
        <v>226689.67681972097</v>
      </c>
      <c r="AC46" s="14">
        <f t="shared" si="9"/>
        <v>229650.75647940105</v>
      </c>
    </row>
    <row r="47" spans="1:29" x14ac:dyDescent="0.25">
      <c r="A47" s="21" t="s">
        <v>168</v>
      </c>
      <c r="B47" s="22" t="s">
        <v>180</v>
      </c>
      <c r="C47" s="14">
        <f>Safety!C37*'Look Up'!I27</f>
        <v>1577085.664490401</v>
      </c>
      <c r="D47" s="14">
        <f t="shared" si="5"/>
        <v>1599125.4133348423</v>
      </c>
      <c r="E47" s="14">
        <f t="shared" si="5"/>
        <v>1621165.1621792836</v>
      </c>
      <c r="F47" s="14">
        <f t="shared" si="5"/>
        <v>1643204.9110237248</v>
      </c>
      <c r="G47" s="14">
        <f t="shared" si="5"/>
        <v>1665244.6598681661</v>
      </c>
      <c r="H47" s="14">
        <f>Safety!D37*'Look Up'!N27</f>
        <v>1687284.4087126078</v>
      </c>
      <c r="I47" s="14">
        <f t="shared" si="6"/>
        <v>1710864.1833782941</v>
      </c>
      <c r="J47" s="14">
        <f t="shared" si="6"/>
        <v>1734443.9580439804</v>
      </c>
      <c r="K47" s="14">
        <f t="shared" si="6"/>
        <v>1758023.7327096667</v>
      </c>
      <c r="L47" s="14">
        <f t="shared" si="6"/>
        <v>1781603.507375353</v>
      </c>
      <c r="M47" s="14">
        <f>Safety!E37*'Look Up'!S27</f>
        <v>1805183.2820410389</v>
      </c>
      <c r="N47" s="14">
        <f t="shared" si="7"/>
        <v>1830410.6917183849</v>
      </c>
      <c r="O47" s="14">
        <f t="shared" si="7"/>
        <v>1855638.1013957309</v>
      </c>
      <c r="P47" s="14">
        <f t="shared" si="7"/>
        <v>1880865.5110730769</v>
      </c>
      <c r="Q47" s="14">
        <f t="shared" si="7"/>
        <v>1906092.9207504229</v>
      </c>
      <c r="R47" s="14">
        <f>Safety!F37*'Look Up'!X27</f>
        <v>1931320.3304277691</v>
      </c>
      <c r="S47" s="14">
        <f t="shared" si="8"/>
        <v>1958310.5034914154</v>
      </c>
      <c r="T47" s="14">
        <f t="shared" si="8"/>
        <v>1985300.6765550617</v>
      </c>
      <c r="U47" s="14">
        <f t="shared" si="8"/>
        <v>2012290.849618708</v>
      </c>
      <c r="V47" s="14">
        <f t="shared" si="8"/>
        <v>2039281.0226823543</v>
      </c>
      <c r="W47" s="14">
        <f>Safety!G37*'Look Up'!AC27</f>
        <v>2066271.1957460006</v>
      </c>
      <c r="X47" s="14">
        <f t="shared" si="9"/>
        <v>2095147.3051572549</v>
      </c>
      <c r="Y47" s="14">
        <f t="shared" si="9"/>
        <v>2124023.414568509</v>
      </c>
      <c r="Z47" s="14">
        <f t="shared" si="9"/>
        <v>2152899.523979763</v>
      </c>
      <c r="AA47" s="14">
        <f t="shared" si="9"/>
        <v>2181775.6333910171</v>
      </c>
      <c r="AB47" s="14">
        <f>Safety!H37*'Look Up'!AH27</f>
        <v>2210651.7428022716</v>
      </c>
      <c r="AC47" s="14">
        <f t="shared" si="9"/>
        <v>2239527.8522135257</v>
      </c>
    </row>
    <row r="48" spans="1:29" x14ac:dyDescent="0.25">
      <c r="A48" s="21" t="s">
        <v>169</v>
      </c>
      <c r="B48" s="22" t="s">
        <v>180</v>
      </c>
      <c r="C48" s="14">
        <f>Safety!C38*'Look Up'!I28</f>
        <v>2057838.0302633813</v>
      </c>
      <c r="D48" s="14">
        <f t="shared" si="5"/>
        <v>2086596.2863116981</v>
      </c>
      <c r="E48" s="14">
        <f t="shared" si="5"/>
        <v>2115354.5423600152</v>
      </c>
      <c r="F48" s="14">
        <f t="shared" si="5"/>
        <v>2144112.7984083323</v>
      </c>
      <c r="G48" s="14">
        <f t="shared" si="5"/>
        <v>2172871.0544566493</v>
      </c>
      <c r="H48" s="14">
        <f>Safety!D38*'Look Up'!N28</f>
        <v>2201629.3105049659</v>
      </c>
      <c r="I48" s="14">
        <f t="shared" si="6"/>
        <v>2232397.0475687413</v>
      </c>
      <c r="J48" s="14">
        <f t="shared" si="6"/>
        <v>2263164.7846325166</v>
      </c>
      <c r="K48" s="14">
        <f t="shared" si="6"/>
        <v>2293932.5216962919</v>
      </c>
      <c r="L48" s="14">
        <f t="shared" si="6"/>
        <v>2324700.2587600672</v>
      </c>
      <c r="M48" s="14">
        <f>Safety!E38*'Look Up'!S28</f>
        <v>2355467.995823842</v>
      </c>
      <c r="N48" s="14">
        <f t="shared" si="7"/>
        <v>2388385.6262404826</v>
      </c>
      <c r="O48" s="14">
        <f t="shared" si="7"/>
        <v>2421303.2566571231</v>
      </c>
      <c r="P48" s="14">
        <f t="shared" si="7"/>
        <v>2454220.8870737636</v>
      </c>
      <c r="Q48" s="14">
        <f t="shared" si="7"/>
        <v>2487138.5174904042</v>
      </c>
      <c r="R48" s="14">
        <f>Safety!F38*'Look Up'!X28</f>
        <v>2520056.1479070452</v>
      </c>
      <c r="S48" s="14">
        <f t="shared" si="8"/>
        <v>2555273.8953156546</v>
      </c>
      <c r="T48" s="14">
        <f t="shared" si="8"/>
        <v>2590491.6427242639</v>
      </c>
      <c r="U48" s="14">
        <f t="shared" si="8"/>
        <v>2625709.3901328733</v>
      </c>
      <c r="V48" s="14">
        <f t="shared" si="8"/>
        <v>2660927.1375414827</v>
      </c>
      <c r="W48" s="14">
        <f>Safety!G38*'Look Up'!AC28</f>
        <v>2696144.8849500921</v>
      </c>
      <c r="X48" s="14">
        <f t="shared" si="9"/>
        <v>2733823.4698554506</v>
      </c>
      <c r="Y48" s="14">
        <f t="shared" si="9"/>
        <v>2771502.0547608091</v>
      </c>
      <c r="Z48" s="14">
        <f t="shared" si="9"/>
        <v>2809180.6396661676</v>
      </c>
      <c r="AA48" s="14">
        <f t="shared" si="9"/>
        <v>2846859.2245715261</v>
      </c>
      <c r="AB48" s="14">
        <f>Safety!H38*'Look Up'!AH28</f>
        <v>2884537.8094768845</v>
      </c>
      <c r="AC48" s="14">
        <f t="shared" si="9"/>
        <v>2922216.394382243</v>
      </c>
    </row>
    <row r="49" spans="1:29" x14ac:dyDescent="0.25">
      <c r="A49" s="21" t="s">
        <v>170</v>
      </c>
      <c r="B49" s="22" t="s">
        <v>180</v>
      </c>
      <c r="C49" s="14">
        <f>Safety!C39*'Look Up'!I29</f>
        <v>1409673.01874577</v>
      </c>
      <c r="D49" s="14">
        <f t="shared" si="5"/>
        <v>1429373.1783410837</v>
      </c>
      <c r="E49" s="14">
        <f t="shared" si="5"/>
        <v>1449073.3379363974</v>
      </c>
      <c r="F49" s="14">
        <f t="shared" si="5"/>
        <v>1468773.4975317111</v>
      </c>
      <c r="G49" s="14">
        <f t="shared" si="5"/>
        <v>1488473.6571270248</v>
      </c>
      <c r="H49" s="14">
        <f>Safety!D39*'Look Up'!N29</f>
        <v>1508173.8167223383</v>
      </c>
      <c r="I49" s="14">
        <f t="shared" si="6"/>
        <v>1529250.5235130652</v>
      </c>
      <c r="J49" s="14">
        <f t="shared" si="6"/>
        <v>1550327.2303037921</v>
      </c>
      <c r="K49" s="14">
        <f t="shared" si="6"/>
        <v>1571403.9370945189</v>
      </c>
      <c r="L49" s="14">
        <f t="shared" si="6"/>
        <v>1592480.6438852458</v>
      </c>
      <c r="M49" s="14">
        <f>Safety!E39*'Look Up'!S29</f>
        <v>1613557.3506759726</v>
      </c>
      <c r="N49" s="14">
        <f t="shared" si="7"/>
        <v>1636106.7907956329</v>
      </c>
      <c r="O49" s="14">
        <f t="shared" si="7"/>
        <v>1658656.2309152931</v>
      </c>
      <c r="P49" s="14">
        <f t="shared" si="7"/>
        <v>1681205.6710349533</v>
      </c>
      <c r="Q49" s="14">
        <f t="shared" si="7"/>
        <v>1703755.1111546136</v>
      </c>
      <c r="R49" s="14">
        <f>Safety!F39*'Look Up'!X29</f>
        <v>1726304.5512742733</v>
      </c>
      <c r="S49" s="14">
        <f t="shared" si="8"/>
        <v>1750429.6318553558</v>
      </c>
      <c r="T49" s="14">
        <f t="shared" si="8"/>
        <v>1774554.7124364383</v>
      </c>
      <c r="U49" s="14">
        <f t="shared" si="8"/>
        <v>1798679.7930175208</v>
      </c>
      <c r="V49" s="14">
        <f t="shared" si="8"/>
        <v>1822804.8735986033</v>
      </c>
      <c r="W49" s="14">
        <f>Safety!G39*'Look Up'!AC29</f>
        <v>1846929.9541796858</v>
      </c>
      <c r="X49" s="14">
        <f t="shared" si="9"/>
        <v>1872740.7729829554</v>
      </c>
      <c r="Y49" s="14">
        <f t="shared" si="9"/>
        <v>1898551.5917862251</v>
      </c>
      <c r="Z49" s="14">
        <f t="shared" si="9"/>
        <v>1924362.4105894947</v>
      </c>
      <c r="AA49" s="14">
        <f t="shared" si="9"/>
        <v>1950173.2293927644</v>
      </c>
      <c r="AB49" s="14">
        <f>Safety!H39*'Look Up'!AH29</f>
        <v>1975984.0481960343</v>
      </c>
      <c r="AC49" s="14">
        <f t="shared" si="9"/>
        <v>2001794.8669993039</v>
      </c>
    </row>
    <row r="50" spans="1:29" x14ac:dyDescent="0.25">
      <c r="A50" s="22" t="s">
        <v>171</v>
      </c>
      <c r="B50" s="22" t="s">
        <v>180</v>
      </c>
      <c r="C50" s="14">
        <f>Safety!C40*'Look Up'!I30</f>
        <v>5894811.4698813725</v>
      </c>
      <c r="D50" s="14">
        <f t="shared" si="5"/>
        <v>5977191.3730196711</v>
      </c>
      <c r="E50" s="14">
        <f t="shared" si="5"/>
        <v>6059571.2761579696</v>
      </c>
      <c r="F50" s="14">
        <f t="shared" si="5"/>
        <v>6141951.1792962682</v>
      </c>
      <c r="G50" s="14">
        <f t="shared" si="5"/>
        <v>6224331.0824345667</v>
      </c>
      <c r="H50" s="14">
        <f>Safety!D40*'Look Up'!N30</f>
        <v>6306710.9855728643</v>
      </c>
      <c r="I50" s="14">
        <f t="shared" si="6"/>
        <v>6394847.1783531206</v>
      </c>
      <c r="J50" s="14">
        <f t="shared" si="6"/>
        <v>6482983.3711333768</v>
      </c>
      <c r="K50" s="14">
        <f t="shared" si="6"/>
        <v>6571119.5639136331</v>
      </c>
      <c r="L50" s="14">
        <f t="shared" si="6"/>
        <v>6659255.7566938894</v>
      </c>
      <c r="M50" s="14">
        <f>Safety!E40*'Look Up'!S30</f>
        <v>6747391.9494741475</v>
      </c>
      <c r="N50" s="14">
        <f t="shared" si="7"/>
        <v>6841686.6522095678</v>
      </c>
      <c r="O50" s="14">
        <f t="shared" si="7"/>
        <v>6935981.3549449882</v>
      </c>
      <c r="P50" s="14">
        <f t="shared" si="7"/>
        <v>7030276.0576804085</v>
      </c>
      <c r="Q50" s="14">
        <f t="shared" si="7"/>
        <v>7124570.7604158288</v>
      </c>
      <c r="R50" s="14">
        <f>Safety!F40*'Look Up'!X30</f>
        <v>7218865.463151251</v>
      </c>
      <c r="S50" s="14">
        <f t="shared" si="8"/>
        <v>7319749.0012696926</v>
      </c>
      <c r="T50" s="14">
        <f t="shared" si="8"/>
        <v>7420632.5393881341</v>
      </c>
      <c r="U50" s="14">
        <f t="shared" si="8"/>
        <v>7521516.0775065757</v>
      </c>
      <c r="V50" s="14">
        <f t="shared" si="8"/>
        <v>7622399.6156250173</v>
      </c>
      <c r="W50" s="14">
        <f>Safety!G40*'Look Up'!AC30</f>
        <v>7723283.1537434608</v>
      </c>
      <c r="X50" s="14">
        <f t="shared" si="9"/>
        <v>7831215.921630241</v>
      </c>
      <c r="Y50" s="14">
        <f t="shared" si="9"/>
        <v>7939148.6895170212</v>
      </c>
      <c r="Z50" s="14">
        <f t="shared" si="9"/>
        <v>8047081.4574038014</v>
      </c>
      <c r="AA50" s="14">
        <f t="shared" si="9"/>
        <v>8155014.2252905816</v>
      </c>
      <c r="AB50" s="14">
        <f>Safety!H40*'Look Up'!AH30</f>
        <v>8262946.9931773618</v>
      </c>
      <c r="AC50" s="14">
        <f t="shared" si="9"/>
        <v>8370879.761064142</v>
      </c>
    </row>
    <row r="51" spans="1:29" x14ac:dyDescent="0.25">
      <c r="A51" s="25" t="s">
        <v>11</v>
      </c>
      <c r="B51" s="22" t="s">
        <v>180</v>
      </c>
      <c r="C51" s="17">
        <f t="shared" ref="C51:AB51" si="10">SUM(C46:C50)</f>
        <v>11101129.287016705</v>
      </c>
      <c r="D51" s="17">
        <f t="shared" si="10"/>
        <v>11256267.404675379</v>
      </c>
      <c r="E51" s="17">
        <f t="shared" si="10"/>
        <v>11411405.522334054</v>
      </c>
      <c r="F51" s="17">
        <f t="shared" si="10"/>
        <v>11566543.639992729</v>
      </c>
      <c r="G51" s="17">
        <f t="shared" si="10"/>
        <v>11721681.757651404</v>
      </c>
      <c r="H51" s="17">
        <f t="shared" si="10"/>
        <v>11876819.875310078</v>
      </c>
      <c r="I51" s="17">
        <f t="shared" si="10"/>
        <v>12042798.257471763</v>
      </c>
      <c r="J51" s="17">
        <f t="shared" si="10"/>
        <v>12208776.639633449</v>
      </c>
      <c r="K51" s="17">
        <f t="shared" si="10"/>
        <v>12374755.021795135</v>
      </c>
      <c r="L51" s="17">
        <f t="shared" si="10"/>
        <v>12540733.403956819</v>
      </c>
      <c r="M51" s="17">
        <f t="shared" si="10"/>
        <v>12706711.786118504</v>
      </c>
      <c r="N51" s="17">
        <f t="shared" si="10"/>
        <v>12884287.895463996</v>
      </c>
      <c r="O51" s="17">
        <f t="shared" si="10"/>
        <v>13061864.004809488</v>
      </c>
      <c r="P51" s="17">
        <f t="shared" si="10"/>
        <v>13239440.11415498</v>
      </c>
      <c r="Q51" s="17">
        <f t="shared" si="10"/>
        <v>13417016.223500472</v>
      </c>
      <c r="R51" s="17">
        <f t="shared" si="10"/>
        <v>13594592.332845964</v>
      </c>
      <c r="S51" s="17">
        <f t="shared" si="10"/>
        <v>13784576.559704883</v>
      </c>
      <c r="T51" s="17">
        <f t="shared" si="10"/>
        <v>13974560.786563803</v>
      </c>
      <c r="U51" s="17">
        <f t="shared" si="10"/>
        <v>14164545.01342272</v>
      </c>
      <c r="V51" s="17">
        <f t="shared" si="10"/>
        <v>14354529.24028164</v>
      </c>
      <c r="W51" s="17">
        <f t="shared" si="10"/>
        <v>14544513.467140559</v>
      </c>
      <c r="X51" s="17">
        <f t="shared" si="10"/>
        <v>14747772.827806903</v>
      </c>
      <c r="Y51" s="17">
        <f t="shared" si="10"/>
        <v>14951032.188473245</v>
      </c>
      <c r="Z51" s="17">
        <f t="shared" si="10"/>
        <v>15154291.549139589</v>
      </c>
      <c r="AA51" s="17">
        <f t="shared" si="10"/>
        <v>15357550.909805931</v>
      </c>
      <c r="AB51" s="17">
        <f t="shared" si="10"/>
        <v>15560810.270472273</v>
      </c>
      <c r="AC51" s="17">
        <f t="shared" ref="AC51" si="11">SUM(AC46:AC50)</f>
        <v>15764069.631138615</v>
      </c>
    </row>
    <row r="57" spans="1:29" x14ac:dyDescent="0.25">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row>
    <row r="58" spans="1:29" x14ac:dyDescent="0.25">
      <c r="A58" s="122"/>
      <c r="B58" s="122"/>
      <c r="C58" s="122"/>
      <c r="D58" s="122"/>
      <c r="E58" s="122"/>
      <c r="F58" s="122"/>
      <c r="G58" s="122"/>
      <c r="H58" s="122"/>
      <c r="I58" s="122"/>
      <c r="J58" s="122"/>
      <c r="L58" s="122"/>
      <c r="M58" s="122"/>
      <c r="N58" s="122"/>
      <c r="O58" s="122"/>
      <c r="P58" s="122"/>
      <c r="Q58" s="122"/>
      <c r="R58" s="122"/>
      <c r="S58" s="122"/>
      <c r="T58" s="122"/>
      <c r="U58" s="122"/>
      <c r="V58" s="122"/>
      <c r="W58" s="122"/>
      <c r="X58" s="122"/>
      <c r="Y58" s="122"/>
      <c r="Z58" s="122"/>
      <c r="AA58" s="122"/>
      <c r="AB58" s="122"/>
      <c r="AC58" s="122"/>
    </row>
  </sheetData>
  <hyperlinks>
    <hyperlink ref="B43" r:id="rId1" xr:uid="{703F089C-DFA4-438B-81A5-1FEE95402B9B}"/>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28BE-E4C5-469E-AAF8-E72CF108F7D3}">
  <sheetPr>
    <tabColor rgb="FF92D050"/>
  </sheetPr>
  <dimension ref="B2:AR49"/>
  <sheetViews>
    <sheetView workbookViewId="0">
      <selection activeCell="D1" sqref="A1:XFD1048576"/>
    </sheetView>
  </sheetViews>
  <sheetFormatPr defaultColWidth="9.140625" defaultRowHeight="15" x14ac:dyDescent="0.25"/>
  <cols>
    <col min="1" max="1" width="2.85546875" style="96" customWidth="1"/>
    <col min="2" max="2" width="7.5703125" style="96" customWidth="1"/>
    <col min="3" max="3" width="19.42578125" style="96" bestFit="1" customWidth="1"/>
    <col min="4" max="4" width="15.85546875" style="96" customWidth="1"/>
    <col min="5" max="5" width="3.85546875" style="96" customWidth="1"/>
    <col min="6" max="6" width="40.7109375" style="96" customWidth="1"/>
    <col min="7" max="7" width="11.42578125" style="96" customWidth="1"/>
    <col min="8" max="8" width="7.140625" style="96" customWidth="1"/>
    <col min="9" max="9" width="5.85546875" style="96" customWidth="1"/>
    <col min="10" max="10" width="9.140625" style="96"/>
    <col min="11" max="11" width="3" style="96" bestFit="1" customWidth="1"/>
    <col min="12" max="12" width="20.5703125" style="96" bestFit="1" customWidth="1"/>
    <col min="13" max="13" width="9.5703125" style="96" customWidth="1"/>
    <col min="14" max="14" width="4.85546875" style="96" customWidth="1"/>
    <col min="15" max="15" width="4.42578125" style="96" customWidth="1"/>
    <col min="16" max="16" width="7.140625" style="96" customWidth="1"/>
    <col min="17" max="17" width="19.85546875" style="96" bestFit="1" customWidth="1"/>
    <col min="18" max="21" width="8.28515625" style="98" bestFit="1" customWidth="1"/>
    <col min="22" max="33" width="8.28515625" style="96" bestFit="1" customWidth="1"/>
    <col min="34" max="43" width="9.7109375" style="96" bestFit="1" customWidth="1"/>
    <col min="44" max="16384" width="9.140625" style="96"/>
  </cols>
  <sheetData>
    <row r="2" spans="2:44" x14ac:dyDescent="0.25">
      <c r="Q2" s="334" t="s">
        <v>185</v>
      </c>
      <c r="R2" s="334"/>
    </row>
    <row r="3" spans="2:44" ht="14.45" customHeight="1" x14ac:dyDescent="0.25">
      <c r="B3" s="95" t="s">
        <v>186</v>
      </c>
      <c r="E3" s="97"/>
      <c r="Q3" s="334"/>
      <c r="R3" s="334"/>
      <c r="T3" s="325" t="s">
        <v>35</v>
      </c>
    </row>
    <row r="4" spans="2:44" ht="15" customHeight="1" x14ac:dyDescent="0.25">
      <c r="B4" s="335" t="s">
        <v>187</v>
      </c>
      <c r="C4" s="335"/>
      <c r="D4" s="335"/>
      <c r="F4" s="335" t="s">
        <v>188</v>
      </c>
      <c r="G4" s="335"/>
      <c r="H4" s="335"/>
      <c r="J4" s="336" t="s">
        <v>189</v>
      </c>
      <c r="K4" s="336"/>
      <c r="L4" s="336"/>
      <c r="M4" s="336"/>
      <c r="P4" s="101" t="s">
        <v>190</v>
      </c>
      <c r="Q4" s="101" t="s">
        <v>191</v>
      </c>
      <c r="R4" s="110">
        <v>2025</v>
      </c>
      <c r="S4" s="110">
        <v>2026</v>
      </c>
      <c r="T4" s="110">
        <v>2027</v>
      </c>
      <c r="U4" s="110">
        <v>2028</v>
      </c>
      <c r="V4" s="110">
        <v>2029</v>
      </c>
      <c r="W4" s="110">
        <v>2030</v>
      </c>
      <c r="X4" s="110">
        <v>2031</v>
      </c>
      <c r="Y4" s="110">
        <v>2032</v>
      </c>
      <c r="Z4" s="110">
        <v>2033</v>
      </c>
      <c r="AA4" s="110">
        <v>2034</v>
      </c>
      <c r="AB4" s="110">
        <v>2035</v>
      </c>
      <c r="AC4" s="110">
        <v>2036</v>
      </c>
      <c r="AD4" s="110">
        <v>2037</v>
      </c>
      <c r="AE4" s="110">
        <v>2038</v>
      </c>
      <c r="AF4" s="110">
        <v>2039</v>
      </c>
      <c r="AG4" s="110">
        <v>2040</v>
      </c>
      <c r="AH4" s="110">
        <v>2041</v>
      </c>
      <c r="AI4" s="110">
        <v>2042</v>
      </c>
      <c r="AJ4" s="110">
        <v>2043</v>
      </c>
      <c r="AK4" s="110">
        <v>2044</v>
      </c>
      <c r="AL4" s="110">
        <v>2045</v>
      </c>
      <c r="AM4" s="110">
        <v>2046</v>
      </c>
      <c r="AN4" s="110">
        <v>2047</v>
      </c>
      <c r="AO4" s="110">
        <v>2048</v>
      </c>
      <c r="AP4" s="110">
        <v>2049</v>
      </c>
      <c r="AQ4" s="110">
        <v>2050</v>
      </c>
      <c r="AR4" s="110">
        <v>2051</v>
      </c>
    </row>
    <row r="5" spans="2:44" ht="30" x14ac:dyDescent="0.25">
      <c r="B5" s="99" t="s">
        <v>190</v>
      </c>
      <c r="C5" s="99" t="s">
        <v>191</v>
      </c>
      <c r="D5" s="100" t="s">
        <v>192</v>
      </c>
      <c r="F5" s="107" t="s">
        <v>193</v>
      </c>
      <c r="G5" s="99" t="s">
        <v>194</v>
      </c>
      <c r="H5" s="99">
        <v>24.05</v>
      </c>
      <c r="J5" s="336"/>
      <c r="K5" s="336"/>
      <c r="L5" s="336"/>
      <c r="M5" s="336"/>
      <c r="P5" s="99">
        <v>1</v>
      </c>
      <c r="Q5" s="99" t="s">
        <v>195</v>
      </c>
      <c r="R5" s="102">
        <f>TT!B$7*$H$5*$H$6*$D6*$M6</f>
        <v>2937.8446548393113</v>
      </c>
      <c r="S5" s="102">
        <f>TT!C$7*$H$5*$H$6*$D6*$M6</f>
        <v>2979.4826658221632</v>
      </c>
      <c r="T5" s="102">
        <f>TT!D$7*$H$5*$H$6*$D6*$M6</f>
        <v>3021.1206768050156</v>
      </c>
      <c r="U5" s="102">
        <f>TT!E$7*$H$5*$H$6*$D6*$M6</f>
        <v>3062.7586877878684</v>
      </c>
      <c r="V5" s="102">
        <f>TT!F$7*$H$5*$H$6*$D6*$M6</f>
        <v>3104.3966987707204</v>
      </c>
      <c r="W5" s="102">
        <f>TT!G$7*$H$5*$H$6*$D6*$M6</f>
        <v>3146.0347097535728</v>
      </c>
      <c r="X5" s="102">
        <f>TT!H$7*$H$5*$H$6*$D6*$M6</f>
        <v>3190.6233940399852</v>
      </c>
      <c r="Y5" s="102">
        <f>TT!I$7*$H$5*$H$6*$D6*$M6</f>
        <v>3235.2120783263981</v>
      </c>
      <c r="Z5" s="102">
        <f>TT!J$7*$H$5*$H$6*$D6*$M6</f>
        <v>3279.800762612811</v>
      </c>
      <c r="AA5" s="102">
        <f>TT!K$7*$H$5*$H$6*$D6*$M6</f>
        <v>3324.3894468992239</v>
      </c>
      <c r="AB5" s="102">
        <f>TT!L$7*$H$5*$H$6*$D6*$M6</f>
        <v>3368.9781311856354</v>
      </c>
      <c r="AC5" s="102">
        <f>TT!M$7*$H$5*$H$6*$D6*$M6</f>
        <v>3416.7265879313745</v>
      </c>
      <c r="AD5" s="102">
        <f>TT!N$7*$H$5*$H$6*$D6*$M6</f>
        <v>3464.4750446771141</v>
      </c>
      <c r="AE5" s="102">
        <f>TT!O$7*$H$5*$H$6*$D6*$M6</f>
        <v>3512.2235014228536</v>
      </c>
      <c r="AF5" s="102">
        <f>TT!P$7*$H$5*$H$6*$D6*$M6</f>
        <v>3559.9719581685931</v>
      </c>
      <c r="AG5" s="102">
        <f>TT!Q$7*$H$5*$H$6*$D6*$M6</f>
        <v>3607.7204149143327</v>
      </c>
      <c r="AH5" s="102">
        <f>TT!R$7*$H$5*$H$6*$D6*$M6</f>
        <v>3658.8525610650213</v>
      </c>
      <c r="AI5" s="102">
        <f>TT!S$7*$H$5*$H$6*$D6*$M6</f>
        <v>3709.9847072157099</v>
      </c>
      <c r="AJ5" s="102">
        <f>TT!T$7*$H$5*$H$6*$D6*$M6</f>
        <v>3761.1168533663995</v>
      </c>
      <c r="AK5" s="102">
        <f>TT!U$7*$H$5*$H$6*$D6*$M6</f>
        <v>3812.2489995170881</v>
      </c>
      <c r="AL5" s="102">
        <f>TT!V$7*$H$5*$H$6*$D6*$M6</f>
        <v>3863.3811456677777</v>
      </c>
      <c r="AM5" s="102">
        <f>TT!W$7*$H$5*$H$6*$D6*$M6</f>
        <v>3917.3718400593734</v>
      </c>
      <c r="AN5" s="102">
        <f>TT!X$7*$H$5*$H$6*$D6*$M6</f>
        <v>3971.3625344509692</v>
      </c>
      <c r="AO5" s="102">
        <f>TT!Y$7*$H$5*$H$6*$D6*$M6</f>
        <v>4025.353228842564</v>
      </c>
      <c r="AP5" s="102">
        <f>TT!Z$7*$H$5*$H$6*$D6*$M6</f>
        <v>4079.3439232341589</v>
      </c>
      <c r="AQ5" s="102">
        <f>TT!AA$7*$H$5*$H$6*$D6*$M6</f>
        <v>4133.3346176257564</v>
      </c>
      <c r="AR5" s="102">
        <f>TT!AB$7*$H$5*$H$6*$D6*$M6</f>
        <v>4187.3253120173513</v>
      </c>
    </row>
    <row r="6" spans="2:44" ht="14.45" customHeight="1" x14ac:dyDescent="0.25">
      <c r="B6" s="99">
        <v>1</v>
      </c>
      <c r="C6" s="99" t="s">
        <v>195</v>
      </c>
      <c r="D6" s="106">
        <v>2.9622729482045897E-3</v>
      </c>
      <c r="F6" s="107" t="s">
        <v>196</v>
      </c>
      <c r="G6" s="99" t="s">
        <v>194</v>
      </c>
      <c r="H6" s="324">
        <f>G16</f>
        <v>1.17</v>
      </c>
      <c r="J6" s="99" t="s">
        <v>197</v>
      </c>
      <c r="K6" s="99">
        <v>1</v>
      </c>
      <c r="L6" s="99" t="s">
        <v>195</v>
      </c>
      <c r="M6" s="99">
        <v>1.5</v>
      </c>
      <c r="P6" s="99">
        <v>2</v>
      </c>
      <c r="Q6" s="99" t="s">
        <v>198</v>
      </c>
      <c r="R6" s="102">
        <f>TT!B$7*$H$5*$H$6*$D7*$M7</f>
        <v>9332.7241145063308</v>
      </c>
      <c r="S6" s="102">
        <f>TT!C$7*$H$5*$H$6*$D7*$M7</f>
        <v>9464.996618615638</v>
      </c>
      <c r="T6" s="102">
        <f>TT!D$7*$H$5*$H$6*$D7*$M7</f>
        <v>9597.269122724947</v>
      </c>
      <c r="U6" s="102">
        <f>TT!E$7*$H$5*$H$6*$D7*$M7</f>
        <v>9729.5416268342597</v>
      </c>
      <c r="V6" s="102">
        <f>TT!F$7*$H$5*$H$6*$D7*$M7</f>
        <v>9861.8141309435687</v>
      </c>
      <c r="W6" s="102">
        <f>TT!G$7*$H$5*$H$6*$D7*$M7</f>
        <v>9994.0866350528777</v>
      </c>
      <c r="X6" s="102">
        <f>TT!H$7*$H$5*$H$6*$D7*$M7</f>
        <v>10135.732616363852</v>
      </c>
      <c r="Y6" s="102">
        <f>TT!I$7*$H$5*$H$6*$D7*$M7</f>
        <v>10277.378597674826</v>
      </c>
      <c r="Z6" s="102">
        <f>TT!J$7*$H$5*$H$6*$D7*$M7</f>
        <v>10419.024578985798</v>
      </c>
      <c r="AA6" s="102">
        <f>TT!K$7*$H$5*$H$6*$D7*$M7</f>
        <v>10560.670560296772</v>
      </c>
      <c r="AB6" s="102">
        <f>TT!L$7*$H$5*$H$6*$D7*$M7</f>
        <v>10702.316541607743</v>
      </c>
      <c r="AC6" s="102">
        <f>TT!M$7*$H$5*$H$6*$D7*$M7</f>
        <v>10854.000250604193</v>
      </c>
      <c r="AD6" s="102">
        <f>TT!N$7*$H$5*$H$6*$D7*$M7</f>
        <v>11005.683959600645</v>
      </c>
      <c r="AE6" s="102">
        <f>TT!O$7*$H$5*$H$6*$D7*$M7</f>
        <v>11157.367668597095</v>
      </c>
      <c r="AF6" s="102">
        <f>TT!P$7*$H$5*$H$6*$D7*$M7</f>
        <v>11309.051377593545</v>
      </c>
      <c r="AG6" s="102">
        <f>TT!Q$7*$H$5*$H$6*$D7*$M7</f>
        <v>11460.735086589997</v>
      </c>
      <c r="AH6" s="102">
        <f>TT!R$7*$H$5*$H$6*$D7*$M7</f>
        <v>11623.167845796968</v>
      </c>
      <c r="AI6" s="102">
        <f>TT!S$7*$H$5*$H$6*$D7*$M7</f>
        <v>11785.600605003936</v>
      </c>
      <c r="AJ6" s="102">
        <f>TT!T$7*$H$5*$H$6*$D7*$M7</f>
        <v>11948.033364210907</v>
      </c>
      <c r="AK6" s="102">
        <f>TT!U$7*$H$5*$H$6*$D7*$M7</f>
        <v>12110.466123417875</v>
      </c>
      <c r="AL6" s="102">
        <f>TT!V$7*$H$5*$H$6*$D7*$M7</f>
        <v>12272.898882624846</v>
      </c>
      <c r="AM6" s="102">
        <f>TT!W$7*$H$5*$H$6*$D7*$M7</f>
        <v>12444.412463057828</v>
      </c>
      <c r="AN6" s="102">
        <f>TT!X$7*$H$5*$H$6*$D7*$M7</f>
        <v>12615.926043490808</v>
      </c>
      <c r="AO6" s="102">
        <f>TT!Y$7*$H$5*$H$6*$D7*$M7</f>
        <v>12787.43962392379</v>
      </c>
      <c r="AP6" s="102">
        <f>TT!Z$7*$H$5*$H$6*$D7*$M7</f>
        <v>12958.953204356769</v>
      </c>
      <c r="AQ6" s="102">
        <f>TT!AA$7*$H$5*$H$6*$D7*$M7</f>
        <v>13130.466784789754</v>
      </c>
      <c r="AR6" s="102">
        <f>TT!AB$7*$H$5*$H$6*$D7*$M7</f>
        <v>13301.980365222735</v>
      </c>
    </row>
    <row r="7" spans="2:44" ht="14.45" customHeight="1" x14ac:dyDescent="0.25">
      <c r="B7" s="99">
        <v>2</v>
      </c>
      <c r="C7" s="99" t="s">
        <v>198</v>
      </c>
      <c r="D7" s="106">
        <v>2.6632998342547162E-2</v>
      </c>
      <c r="J7" s="99" t="s">
        <v>197</v>
      </c>
      <c r="K7" s="99">
        <v>2</v>
      </c>
      <c r="L7" s="99" t="s">
        <v>198</v>
      </c>
      <c r="M7" s="99">
        <v>0.53</v>
      </c>
      <c r="P7" s="99">
        <v>3</v>
      </c>
      <c r="Q7" s="99" t="s">
        <v>199</v>
      </c>
      <c r="R7" s="102">
        <f>TT!B$7*$H$5*$H$6*$D8*$M8</f>
        <v>2516.1225315866259</v>
      </c>
      <c r="S7" s="102">
        <f>TT!C$7*$H$5*$H$6*$D8*$M8</f>
        <v>2551.7834837175801</v>
      </c>
      <c r="T7" s="102">
        <f>TT!D$7*$H$5*$H$6*$D8*$M8</f>
        <v>2587.4444358485352</v>
      </c>
      <c r="U7" s="102">
        <f>TT!E$7*$H$5*$H$6*$D8*$M8</f>
        <v>2623.1053879794908</v>
      </c>
      <c r="V7" s="102">
        <f>TT!F$7*$H$5*$H$6*$D8*$M8</f>
        <v>2658.7663401104451</v>
      </c>
      <c r="W7" s="102">
        <f>TT!G$7*$H$5*$H$6*$D8*$M8</f>
        <v>2694.4272922413998</v>
      </c>
      <c r="X7" s="102">
        <f>TT!H$7*$H$5*$H$6*$D8*$M8</f>
        <v>2732.6153540240548</v>
      </c>
      <c r="Y7" s="102">
        <f>TT!I$7*$H$5*$H$6*$D8*$M8</f>
        <v>2770.8034158067089</v>
      </c>
      <c r="Z7" s="102">
        <f>TT!J$7*$H$5*$H$6*$D8*$M8</f>
        <v>2808.991477589364</v>
      </c>
      <c r="AA7" s="102">
        <f>TT!K$7*$H$5*$H$6*$D8*$M8</f>
        <v>2847.179539372019</v>
      </c>
      <c r="AB7" s="102">
        <f>TT!L$7*$H$5*$H$6*$D8*$M8</f>
        <v>2885.3676011546727</v>
      </c>
      <c r="AC7" s="102">
        <f>TT!M$7*$H$5*$H$6*$D8*$M8</f>
        <v>2926.2618559508014</v>
      </c>
      <c r="AD7" s="102">
        <f>TT!N$7*$H$5*$H$6*$D8*$M8</f>
        <v>2967.1561107469306</v>
      </c>
      <c r="AE7" s="102">
        <f>TT!O$7*$H$5*$H$6*$D8*$M8</f>
        <v>3008.0503655430593</v>
      </c>
      <c r="AF7" s="102">
        <f>TT!P$7*$H$5*$H$6*$D8*$M8</f>
        <v>3048.9446203391885</v>
      </c>
      <c r="AG7" s="102">
        <f>TT!Q$7*$H$5*$H$6*$D8*$M8</f>
        <v>3089.8388751353177</v>
      </c>
      <c r="AH7" s="102">
        <f>TT!R$7*$H$5*$H$6*$D8*$M8</f>
        <v>3133.6310970304421</v>
      </c>
      <c r="AI7" s="102">
        <f>TT!S$7*$H$5*$H$6*$D8*$M8</f>
        <v>3177.423318925566</v>
      </c>
      <c r="AJ7" s="102">
        <f>TT!T$7*$H$5*$H$6*$D8*$M8</f>
        <v>3221.2155408206913</v>
      </c>
      <c r="AK7" s="102">
        <f>TT!U$7*$H$5*$H$6*$D8*$M8</f>
        <v>3265.0077627158157</v>
      </c>
      <c r="AL7" s="102">
        <f>TT!V$7*$H$5*$H$6*$D8*$M8</f>
        <v>3308.7999846109406</v>
      </c>
      <c r="AM7" s="102">
        <f>TT!W$7*$H$5*$H$6*$D8*$M8</f>
        <v>3355.040415476109</v>
      </c>
      <c r="AN7" s="102">
        <f>TT!X$7*$H$5*$H$6*$D8*$M8</f>
        <v>3401.2808463412771</v>
      </c>
      <c r="AO7" s="102">
        <f>TT!Y$7*$H$5*$H$6*$D8*$M8</f>
        <v>3447.5212772064456</v>
      </c>
      <c r="AP7" s="102">
        <f>TT!Z$7*$H$5*$H$6*$D8*$M8</f>
        <v>3493.7617080716136</v>
      </c>
      <c r="AQ7" s="102">
        <f>TT!AA$7*$H$5*$H$6*$D8*$M8</f>
        <v>3540.002138936783</v>
      </c>
      <c r="AR7" s="102">
        <f>TT!AB$7*$H$5*$H$6*$D8*$M8</f>
        <v>3586.2425698019506</v>
      </c>
    </row>
    <row r="8" spans="2:44" x14ac:dyDescent="0.25">
      <c r="B8" s="99">
        <v>3</v>
      </c>
      <c r="C8" s="99" t="s">
        <v>199</v>
      </c>
      <c r="D8" s="106">
        <v>4.5850196186392198E-3</v>
      </c>
      <c r="J8" s="99" t="s">
        <v>197</v>
      </c>
      <c r="K8" s="99">
        <v>3</v>
      </c>
      <c r="L8" s="99" t="s">
        <v>199</v>
      </c>
      <c r="M8" s="99">
        <v>0.83</v>
      </c>
      <c r="P8" s="99">
        <v>4</v>
      </c>
      <c r="Q8" s="99" t="s">
        <v>200</v>
      </c>
      <c r="R8" s="102">
        <f>TT!B$7*$H$5*$H$6*$D9*$M9</f>
        <v>2880.768139854732</v>
      </c>
      <c r="S8" s="102">
        <f>TT!C$7*$H$5*$H$6*$D9*$M9</f>
        <v>2921.5972065818437</v>
      </c>
      <c r="T8" s="102">
        <f>TT!D$7*$H$5*$H$6*$D9*$M9</f>
        <v>2962.4262733089549</v>
      </c>
      <c r="U8" s="102">
        <f>TT!E$7*$H$5*$H$6*$D9*$M9</f>
        <v>3003.2553400360675</v>
      </c>
      <c r="V8" s="102">
        <f>TT!F$7*$H$5*$H$6*$D9*$M9</f>
        <v>3044.0844067631783</v>
      </c>
      <c r="W8" s="102">
        <f>TT!G$7*$H$5*$H$6*$D9*$M9</f>
        <v>3084.9134734902896</v>
      </c>
      <c r="X8" s="102">
        <f>TT!H$7*$H$5*$H$6*$D9*$M9</f>
        <v>3128.6358877706884</v>
      </c>
      <c r="Y8" s="102">
        <f>TT!I$7*$H$5*$H$6*$D9*$M9</f>
        <v>3172.3583020510869</v>
      </c>
      <c r="Z8" s="102">
        <f>TT!J$7*$H$5*$H$6*$D9*$M9</f>
        <v>3216.0807163314857</v>
      </c>
      <c r="AA8" s="102">
        <f>TT!K$7*$H$5*$H$6*$D9*$M9</f>
        <v>3259.8031306118846</v>
      </c>
      <c r="AB8" s="102">
        <f>TT!L$7*$H$5*$H$6*$D9*$M9</f>
        <v>3303.5255448922817</v>
      </c>
      <c r="AC8" s="102">
        <f>TT!M$7*$H$5*$H$6*$D9*$M9</f>
        <v>3350.3463434984228</v>
      </c>
      <c r="AD8" s="102">
        <f>TT!N$7*$H$5*$H$6*$D9*$M9</f>
        <v>3397.167142104563</v>
      </c>
      <c r="AE8" s="102">
        <f>TT!O$7*$H$5*$H$6*$D9*$M9</f>
        <v>3443.9879407107037</v>
      </c>
      <c r="AF8" s="102">
        <f>TT!P$7*$H$5*$H$6*$D9*$M9</f>
        <v>3490.8087393168444</v>
      </c>
      <c r="AG8" s="102">
        <f>TT!Q$7*$H$5*$H$6*$D9*$M9</f>
        <v>3537.6295379229855</v>
      </c>
      <c r="AH8" s="102">
        <f>TT!R$7*$H$5*$H$6*$D9*$M9</f>
        <v>3587.7682875368091</v>
      </c>
      <c r="AI8" s="102">
        <f>TT!S$7*$H$5*$H$6*$D9*$M9</f>
        <v>3637.9070371506332</v>
      </c>
      <c r="AJ8" s="102">
        <f>TT!T$7*$H$5*$H$6*$D9*$M9</f>
        <v>3688.0457867644582</v>
      </c>
      <c r="AK8" s="102">
        <f>TT!U$7*$H$5*$H$6*$D9*$M9</f>
        <v>3738.1845363782822</v>
      </c>
      <c r="AL8" s="102">
        <f>TT!V$7*$H$5*$H$6*$D9*$M9</f>
        <v>3788.3232859921072</v>
      </c>
      <c r="AM8" s="102">
        <f>TT!W$7*$H$5*$H$6*$D9*$M9</f>
        <v>3841.2650479044464</v>
      </c>
      <c r="AN8" s="102">
        <f>TT!X$7*$H$5*$H$6*$D9*$M9</f>
        <v>3894.2068098167861</v>
      </c>
      <c r="AO8" s="102">
        <f>TT!Y$7*$H$5*$H$6*$D9*$M9</f>
        <v>3947.1485717291262</v>
      </c>
      <c r="AP8" s="102">
        <f>TT!Z$7*$H$5*$H$6*$D9*$M9</f>
        <v>4000.0903336414644</v>
      </c>
      <c r="AQ8" s="102">
        <f>TT!AA$7*$H$5*$H$6*$D9*$M9</f>
        <v>4053.0320955538054</v>
      </c>
      <c r="AR8" s="102">
        <f>TT!AB$7*$H$5*$H$6*$D9*$M9</f>
        <v>4105.9738574661442</v>
      </c>
    </row>
    <row r="9" spans="2:44" x14ac:dyDescent="0.25">
      <c r="B9" s="99">
        <v>4</v>
      </c>
      <c r="C9" s="99" t="s">
        <v>200</v>
      </c>
      <c r="D9" s="106">
        <v>6.4074746465349695E-3</v>
      </c>
      <c r="J9" s="99" t="s">
        <v>197</v>
      </c>
      <c r="K9" s="99">
        <v>4</v>
      </c>
      <c r="L9" s="99" t="s">
        <v>200</v>
      </c>
      <c r="M9" s="99">
        <v>0.68</v>
      </c>
      <c r="P9" s="99">
        <v>5</v>
      </c>
      <c r="Q9" s="99" t="s">
        <v>201</v>
      </c>
      <c r="R9" s="102">
        <f>TT!B$7*$H$5*$H$6*$D10*$M10</f>
        <v>3257.7037936604024</v>
      </c>
      <c r="S9" s="102">
        <f>TT!C$7*$H$5*$H$6*$D10*$M10</f>
        <v>3303.8751615425917</v>
      </c>
      <c r="T9" s="102">
        <f>TT!D$7*$H$5*$H$6*$D10*$M10</f>
        <v>3350.046529424782</v>
      </c>
      <c r="U9" s="102">
        <f>TT!E$7*$H$5*$H$6*$D10*$M10</f>
        <v>3396.2178973069726</v>
      </c>
      <c r="V9" s="102">
        <f>TT!F$7*$H$5*$H$6*$D10*$M10</f>
        <v>3442.3892651891624</v>
      </c>
      <c r="W9" s="102">
        <f>TT!G$7*$H$5*$H$6*$D10*$M10</f>
        <v>3488.5606330713526</v>
      </c>
      <c r="X9" s="102">
        <f>TT!H$7*$H$5*$H$6*$D10*$M10</f>
        <v>3538.0039301207389</v>
      </c>
      <c r="Y9" s="102">
        <f>TT!I$7*$H$5*$H$6*$D10*$M10</f>
        <v>3587.4472271701256</v>
      </c>
      <c r="Z9" s="102">
        <f>TT!J$7*$H$5*$H$6*$D10*$M10</f>
        <v>3636.8905242195119</v>
      </c>
      <c r="AA9" s="102">
        <f>TT!K$7*$H$5*$H$6*$D10*$M10</f>
        <v>3686.3338212688991</v>
      </c>
      <c r="AB9" s="102">
        <f>TT!L$7*$H$5*$H$6*$D10*$M10</f>
        <v>3735.777118318284</v>
      </c>
      <c r="AC9" s="102">
        <f>TT!M$7*$H$5*$H$6*$D10*$M10</f>
        <v>3788.7242094538883</v>
      </c>
      <c r="AD9" s="102">
        <f>TT!N$7*$H$5*$H$6*$D10*$M10</f>
        <v>3841.6713005894926</v>
      </c>
      <c r="AE9" s="102">
        <f>TT!O$7*$H$5*$H$6*$D10*$M10</f>
        <v>3894.6183917250969</v>
      </c>
      <c r="AF9" s="102">
        <f>TT!P$7*$H$5*$H$6*$D10*$M10</f>
        <v>3947.5654828607016</v>
      </c>
      <c r="AG9" s="102">
        <f>TT!Q$7*$H$5*$H$6*$D10*$M10</f>
        <v>4000.5125739963064</v>
      </c>
      <c r="AH9" s="102">
        <f>TT!R$7*$H$5*$H$6*$D10*$M10</f>
        <v>4057.2117552204431</v>
      </c>
      <c r="AI9" s="102">
        <f>TT!S$7*$H$5*$H$6*$D10*$M10</f>
        <v>4113.9109364445803</v>
      </c>
      <c r="AJ9" s="102">
        <f>TT!T$7*$H$5*$H$6*$D10*$M10</f>
        <v>4170.610117668718</v>
      </c>
      <c r="AK9" s="102">
        <f>TT!U$7*$H$5*$H$6*$D10*$M10</f>
        <v>4227.3092988928547</v>
      </c>
      <c r="AL9" s="102">
        <f>TT!V$7*$H$5*$H$6*$D10*$M10</f>
        <v>4284.0084801169933</v>
      </c>
      <c r="AM9" s="102">
        <f>TT!W$7*$H$5*$H$6*$D10*$M10</f>
        <v>4343.8774352886485</v>
      </c>
      <c r="AN9" s="102">
        <f>TT!X$7*$H$5*$H$6*$D10*$M10</f>
        <v>4403.7463904603028</v>
      </c>
      <c r="AO9" s="102">
        <f>TT!Y$7*$H$5*$H$6*$D10*$M10</f>
        <v>4463.6153456319571</v>
      </c>
      <c r="AP9" s="102">
        <f>TT!Z$7*$H$5*$H$6*$D10*$M10</f>
        <v>4523.4843008036114</v>
      </c>
      <c r="AQ9" s="102">
        <f>TT!AA$7*$H$5*$H$6*$D10*$M10</f>
        <v>4583.3532559752684</v>
      </c>
      <c r="AR9" s="102">
        <f>TT!AB$7*$H$5*$H$6*$D10*$M10</f>
        <v>4643.2222111469227</v>
      </c>
    </row>
    <row r="10" spans="2:44" x14ac:dyDescent="0.25">
      <c r="B10" s="99">
        <v>5</v>
      </c>
      <c r="C10" s="99" t="s">
        <v>201</v>
      </c>
      <c r="D10" s="106">
        <v>2.6348596751007095E-3</v>
      </c>
      <c r="F10" s="133" t="s">
        <v>202</v>
      </c>
      <c r="G10" s="101" t="s">
        <v>203</v>
      </c>
      <c r="J10" s="99" t="s">
        <v>197</v>
      </c>
      <c r="K10" s="99">
        <v>5</v>
      </c>
      <c r="L10" s="99" t="s">
        <v>201</v>
      </c>
      <c r="M10" s="99">
        <v>1.87</v>
      </c>
      <c r="P10" s="99">
        <v>6</v>
      </c>
      <c r="Q10" s="99" t="s">
        <v>204</v>
      </c>
      <c r="R10" s="102">
        <f>TT!B$7*$H$5*$H$6*$D11*$M11</f>
        <v>4618.0872022746471</v>
      </c>
      <c r="S10" s="102">
        <f>TT!C$7*$H$5*$H$6*$D11*$M11</f>
        <v>4683.5392558171434</v>
      </c>
      <c r="T10" s="102">
        <f>TT!D$7*$H$5*$H$6*$D11*$M11</f>
        <v>4748.9913093596406</v>
      </c>
      <c r="U10" s="102">
        <f>TT!E$7*$H$5*$H$6*$D11*$M11</f>
        <v>4814.4433629021387</v>
      </c>
      <c r="V10" s="102">
        <f>TT!F$7*$H$5*$H$6*$D11*$M11</f>
        <v>4879.8954164446359</v>
      </c>
      <c r="W10" s="102">
        <f>TT!G$7*$H$5*$H$6*$D11*$M11</f>
        <v>4945.3474699871331</v>
      </c>
      <c r="X10" s="102">
        <f>TT!H$7*$H$5*$H$6*$D11*$M11</f>
        <v>5015.4377764742903</v>
      </c>
      <c r="Y10" s="102">
        <f>TT!I$7*$H$5*$H$6*$D11*$M11</f>
        <v>5085.5280829614494</v>
      </c>
      <c r="Z10" s="102">
        <f>TT!J$7*$H$5*$H$6*$D11*$M11</f>
        <v>5155.6183894486076</v>
      </c>
      <c r="AA10" s="102">
        <f>TT!K$7*$H$5*$H$6*$D11*$M11</f>
        <v>5225.7086959357666</v>
      </c>
      <c r="AB10" s="102">
        <f>TT!L$7*$H$5*$H$6*$D11*$M11</f>
        <v>5295.799002422923</v>
      </c>
      <c r="AC10" s="102">
        <f>TT!M$7*$H$5*$H$6*$D11*$M11</f>
        <v>5370.8562511656828</v>
      </c>
      <c r="AD10" s="102">
        <f>TT!N$7*$H$5*$H$6*$D11*$M11</f>
        <v>5445.9134999084436</v>
      </c>
      <c r="AE10" s="102">
        <f>TT!O$7*$H$5*$H$6*$D11*$M11</f>
        <v>5520.9707486512043</v>
      </c>
      <c r="AF10" s="102">
        <f>TT!P$7*$H$5*$H$6*$D11*$M11</f>
        <v>5596.0279973939651</v>
      </c>
      <c r="AG10" s="102">
        <f>TT!Q$7*$H$5*$H$6*$D11*$M11</f>
        <v>5671.0852461367258</v>
      </c>
      <c r="AH10" s="102">
        <f>TT!R$7*$H$5*$H$6*$D11*$M11</f>
        <v>5751.4614189797549</v>
      </c>
      <c r="AI10" s="102">
        <f>TT!S$7*$H$5*$H$6*$D11*$M11</f>
        <v>5831.837591822783</v>
      </c>
      <c r="AJ10" s="102">
        <f>TT!T$7*$H$5*$H$6*$D11*$M11</f>
        <v>5912.213764665813</v>
      </c>
      <c r="AK10" s="102">
        <f>TT!U$7*$H$5*$H$6*$D11*$M11</f>
        <v>5992.5899375088411</v>
      </c>
      <c r="AL10" s="102">
        <f>TT!V$7*$H$5*$H$6*$D11*$M11</f>
        <v>6072.966110351872</v>
      </c>
      <c r="AM10" s="102">
        <f>TT!W$7*$H$5*$H$6*$D11*$M11</f>
        <v>6157.8357219567733</v>
      </c>
      <c r="AN10" s="102">
        <f>TT!X$7*$H$5*$H$6*$D11*$M11</f>
        <v>6242.7053335616756</v>
      </c>
      <c r="AO10" s="102">
        <f>TT!Y$7*$H$5*$H$6*$D11*$M11</f>
        <v>6327.574945166577</v>
      </c>
      <c r="AP10" s="102">
        <f>TT!Z$7*$H$5*$H$6*$D11*$M11</f>
        <v>6412.4445567714783</v>
      </c>
      <c r="AQ10" s="102">
        <f>TT!AA$7*$H$5*$H$6*$D11*$M11</f>
        <v>6497.3141683763824</v>
      </c>
      <c r="AR10" s="102">
        <f>TT!AB$7*$H$5*$H$6*$D11*$M11</f>
        <v>6582.1837799812829</v>
      </c>
    </row>
    <row r="11" spans="2:44" x14ac:dyDescent="0.25">
      <c r="B11" s="99">
        <v>6</v>
      </c>
      <c r="C11" s="99" t="s">
        <v>204</v>
      </c>
      <c r="D11" s="106">
        <v>7.6755276564203128E-3</v>
      </c>
      <c r="F11" s="107" t="s">
        <v>205</v>
      </c>
      <c r="G11" s="104">
        <v>1.05</v>
      </c>
      <c r="J11" s="99" t="s">
        <v>197</v>
      </c>
      <c r="K11" s="99">
        <v>6</v>
      </c>
      <c r="L11" s="99" t="s">
        <v>204</v>
      </c>
      <c r="M11" s="99">
        <v>0.91</v>
      </c>
      <c r="P11" s="99">
        <v>7</v>
      </c>
      <c r="Q11" s="99" t="s">
        <v>206</v>
      </c>
      <c r="R11" s="102">
        <f>TT!B$7*$H$5*$H$6*$D12*$M12</f>
        <v>20201.76830748775</v>
      </c>
      <c r="S11" s="102">
        <f>TT!C$7*$H$5*$H$6*$D12*$M12</f>
        <v>20488.087548116971</v>
      </c>
      <c r="T11" s="102">
        <f>TT!D$7*$H$5*$H$6*$D12*$M12</f>
        <v>20774.406788746193</v>
      </c>
      <c r="U11" s="102">
        <f>TT!E$7*$H$5*$H$6*$D12*$M12</f>
        <v>21060.726029375419</v>
      </c>
      <c r="V11" s="102">
        <f>TT!F$7*$H$5*$H$6*$D12*$M12</f>
        <v>21347.045270004641</v>
      </c>
      <c r="W11" s="102">
        <f>TT!G$7*$H$5*$H$6*$D12*$M12</f>
        <v>21633.364510633863</v>
      </c>
      <c r="X11" s="102">
        <f>TT!H$7*$H$5*$H$6*$D12*$M12</f>
        <v>21939.973734374147</v>
      </c>
      <c r="Y11" s="102">
        <f>TT!I$7*$H$5*$H$6*$D12*$M12</f>
        <v>22246.582958114435</v>
      </c>
      <c r="Z11" s="102">
        <f>TT!J$7*$H$5*$H$6*$D12*$M12</f>
        <v>22553.192181854716</v>
      </c>
      <c r="AA11" s="102">
        <f>TT!K$7*$H$5*$H$6*$D12*$M12</f>
        <v>22859.801405595008</v>
      </c>
      <c r="AB11" s="102">
        <f>TT!L$7*$H$5*$H$6*$D12*$M12</f>
        <v>23166.410629335285</v>
      </c>
      <c r="AC11" s="102">
        <f>TT!M$7*$H$5*$H$6*$D12*$M12</f>
        <v>23494.747683722624</v>
      </c>
      <c r="AD11" s="102">
        <f>TT!N$7*$H$5*$H$6*$D12*$M12</f>
        <v>23823.084738109963</v>
      </c>
      <c r="AE11" s="102">
        <f>TT!O$7*$H$5*$H$6*$D12*$M12</f>
        <v>24151.421792497302</v>
      </c>
      <c r="AF11" s="102">
        <f>TT!P$7*$H$5*$H$6*$D12*$M12</f>
        <v>24479.758846884637</v>
      </c>
      <c r="AG11" s="102">
        <f>TT!Q$7*$H$5*$H$6*$D12*$M12</f>
        <v>24808.095901271983</v>
      </c>
      <c r="AH11" s="102">
        <f>TT!R$7*$H$5*$H$6*$D12*$M12</f>
        <v>25159.700526757981</v>
      </c>
      <c r="AI11" s="102">
        <f>TT!S$7*$H$5*$H$6*$D12*$M12</f>
        <v>25511.305152243975</v>
      </c>
      <c r="AJ11" s="102">
        <f>TT!T$7*$H$5*$H$6*$D12*$M12</f>
        <v>25862.909777729979</v>
      </c>
      <c r="AK11" s="102">
        <f>TT!U$7*$H$5*$H$6*$D12*$M12</f>
        <v>26214.514403215973</v>
      </c>
      <c r="AL11" s="102">
        <f>TT!V$7*$H$5*$H$6*$D12*$M12</f>
        <v>26566.119028701974</v>
      </c>
      <c r="AM11" s="102">
        <f>TT!W$7*$H$5*$H$6*$D12*$M12</f>
        <v>26937.380149354747</v>
      </c>
      <c r="AN11" s="102">
        <f>TT!X$7*$H$5*$H$6*$D12*$M12</f>
        <v>27308.641270007516</v>
      </c>
      <c r="AO11" s="102">
        <f>TT!Y$7*$H$5*$H$6*$D12*$M12</f>
        <v>27679.902390660285</v>
      </c>
      <c r="AP11" s="102">
        <f>TT!Z$7*$H$5*$H$6*$D12*$M12</f>
        <v>28051.163511313051</v>
      </c>
      <c r="AQ11" s="102">
        <f>TT!AA$7*$H$5*$H$6*$D12*$M12</f>
        <v>28422.42463196583</v>
      </c>
      <c r="AR11" s="102">
        <f>TT!AB$7*$H$5*$H$6*$D12*$M12</f>
        <v>28793.6857526186</v>
      </c>
    </row>
    <row r="12" spans="2:44" x14ac:dyDescent="0.25">
      <c r="B12" s="99">
        <v>7</v>
      </c>
      <c r="C12" s="99" t="s">
        <v>206</v>
      </c>
      <c r="D12" s="106">
        <v>3.0252099211134711E-2</v>
      </c>
      <c r="F12" s="107" t="s">
        <v>207</v>
      </c>
      <c r="G12" s="104">
        <v>0.92</v>
      </c>
      <c r="J12" s="99" t="s">
        <v>197</v>
      </c>
      <c r="K12" s="99">
        <v>7</v>
      </c>
      <c r="L12" s="99" t="s">
        <v>206</v>
      </c>
      <c r="M12" s="99">
        <v>1.01</v>
      </c>
      <c r="P12" s="99">
        <v>8</v>
      </c>
      <c r="Q12" s="99" t="s">
        <v>208</v>
      </c>
      <c r="R12" s="102">
        <f>TT!B$7*$H$5*$H$6*$D13*$M13</f>
        <v>2588.395277609417</v>
      </c>
      <c r="S12" s="102">
        <f>TT!C$7*$H$5*$H$6*$D13*$M13</f>
        <v>2625.0805498614855</v>
      </c>
      <c r="T12" s="102">
        <f>TT!D$7*$H$5*$H$6*$D13*$M13</f>
        <v>2661.7658221135534</v>
      </c>
      <c r="U12" s="102">
        <f>TT!E$7*$H$5*$H$6*$D13*$M13</f>
        <v>2698.4510943656228</v>
      </c>
      <c r="V12" s="102">
        <f>TT!F$7*$H$5*$H$6*$D13*$M13</f>
        <v>2735.1363666176908</v>
      </c>
      <c r="W12" s="102">
        <f>TT!G$7*$H$5*$H$6*$D13*$M13</f>
        <v>2771.8216388697592</v>
      </c>
      <c r="X12" s="102">
        <f>TT!H$7*$H$5*$H$6*$D13*$M13</f>
        <v>2811.1066091120265</v>
      </c>
      <c r="Y12" s="102">
        <f>TT!I$7*$H$5*$H$6*$D13*$M13</f>
        <v>2850.3915793542947</v>
      </c>
      <c r="Z12" s="102">
        <f>TT!J$7*$H$5*$H$6*$D13*$M13</f>
        <v>2889.6765495965624</v>
      </c>
      <c r="AA12" s="102">
        <f>TT!K$7*$H$5*$H$6*$D13*$M13</f>
        <v>2928.9615198388306</v>
      </c>
      <c r="AB12" s="102">
        <f>TT!L$7*$H$5*$H$6*$D13*$M13</f>
        <v>2968.2464900810969</v>
      </c>
      <c r="AC12" s="102">
        <f>TT!M$7*$H$5*$H$6*$D13*$M13</f>
        <v>3010.3153856403719</v>
      </c>
      <c r="AD12" s="102">
        <f>TT!N$7*$H$5*$H$6*$D13*$M13</f>
        <v>3052.3842811996469</v>
      </c>
      <c r="AE12" s="102">
        <f>TT!O$7*$H$5*$H$6*$D13*$M13</f>
        <v>3094.4531767589224</v>
      </c>
      <c r="AF12" s="102">
        <f>TT!P$7*$H$5*$H$6*$D13*$M13</f>
        <v>3136.5220723181974</v>
      </c>
      <c r="AG12" s="102">
        <f>TT!Q$7*$H$5*$H$6*$D13*$M13</f>
        <v>3178.5909678774733</v>
      </c>
      <c r="AH12" s="102">
        <f>TT!R$7*$H$5*$H$6*$D13*$M13</f>
        <v>3223.6410713308551</v>
      </c>
      <c r="AI12" s="102">
        <f>TT!S$7*$H$5*$H$6*$D13*$M13</f>
        <v>3268.6911747842373</v>
      </c>
      <c r="AJ12" s="102">
        <f>TT!T$7*$H$5*$H$6*$D13*$M13</f>
        <v>3313.7412782376205</v>
      </c>
      <c r="AK12" s="102">
        <f>TT!U$7*$H$5*$H$6*$D13*$M13</f>
        <v>3358.7913816910022</v>
      </c>
      <c r="AL12" s="102">
        <f>TT!V$7*$H$5*$H$6*$D13*$M13</f>
        <v>3403.8414851443858</v>
      </c>
      <c r="AM12" s="102">
        <f>TT!W$7*$H$5*$H$6*$D13*$M13</f>
        <v>3451.4101195743442</v>
      </c>
      <c r="AN12" s="102">
        <f>TT!X$7*$H$5*$H$6*$D13*$M13</f>
        <v>3498.9787540043026</v>
      </c>
      <c r="AO12" s="102">
        <f>TT!Y$7*$H$5*$H$6*$D13*$M13</f>
        <v>3546.5473884342609</v>
      </c>
      <c r="AP12" s="102">
        <f>TT!Z$7*$H$5*$H$6*$D13*$M13</f>
        <v>3594.1160228642198</v>
      </c>
      <c r="AQ12" s="102">
        <f>TT!AA$7*$H$5*$H$6*$D13*$M13</f>
        <v>3641.6846572941795</v>
      </c>
      <c r="AR12" s="102">
        <f>TT!AB$7*$H$5*$H$6*$D13*$M13</f>
        <v>3689.2532917241379</v>
      </c>
    </row>
    <row r="13" spans="2:44" x14ac:dyDescent="0.25">
      <c r="B13" s="99">
        <v>8</v>
      </c>
      <c r="C13" s="99" t="s">
        <v>208</v>
      </c>
      <c r="D13" s="106">
        <v>2.8368672670835778E-3</v>
      </c>
      <c r="F13" s="107" t="s">
        <v>209</v>
      </c>
      <c r="G13" s="104">
        <v>0.74</v>
      </c>
      <c r="J13" s="99" t="s">
        <v>197</v>
      </c>
      <c r="K13" s="99">
        <v>8</v>
      </c>
      <c r="L13" s="99" t="s">
        <v>208</v>
      </c>
      <c r="M13" s="99">
        <v>1.38</v>
      </c>
      <c r="P13" s="99">
        <v>9</v>
      </c>
      <c r="Q13" s="99" t="s">
        <v>210</v>
      </c>
      <c r="R13" s="102">
        <f>TT!B$7*$H$5*$H$6*$D14*$M14</f>
        <v>27.103321614917682</v>
      </c>
      <c r="S13" s="102">
        <f>TT!C$7*$H$5*$H$6*$D14*$M14</f>
        <v>27.487456426543876</v>
      </c>
      <c r="T13" s="102">
        <f>TT!D$7*$H$5*$H$6*$D14*$M14</f>
        <v>27.871591238170069</v>
      </c>
      <c r="U13" s="102">
        <f>TT!E$7*$H$5*$H$6*$D14*$M14</f>
        <v>28.255726049796266</v>
      </c>
      <c r="V13" s="102">
        <f>TT!F$7*$H$5*$H$6*$D14*$M14</f>
        <v>28.639860861422463</v>
      </c>
      <c r="W13" s="102">
        <f>TT!G$7*$H$5*$H$6*$D14*$M14</f>
        <v>29.023995673048653</v>
      </c>
      <c r="X13" s="102">
        <f>TT!H$7*$H$5*$H$6*$D14*$M14</f>
        <v>29.435352158017999</v>
      </c>
      <c r="Y13" s="102">
        <f>TT!I$7*$H$5*$H$6*$D14*$M14</f>
        <v>29.846708642987338</v>
      </c>
      <c r="Z13" s="102">
        <f>TT!J$7*$H$5*$H$6*$D14*$M14</f>
        <v>30.258065127956684</v>
      </c>
      <c r="AA13" s="102">
        <f>TT!K$7*$H$5*$H$6*$D14*$M14</f>
        <v>30.66942161292603</v>
      </c>
      <c r="AB13" s="102">
        <f>TT!L$7*$H$5*$H$6*$D14*$M14</f>
        <v>31.080778097895355</v>
      </c>
      <c r="AC13" s="102">
        <f>TT!M$7*$H$5*$H$6*$D14*$M14</f>
        <v>31.521285317248839</v>
      </c>
      <c r="AD13" s="102">
        <f>TT!N$7*$H$5*$H$6*$D14*$M14</f>
        <v>31.961792536602324</v>
      </c>
      <c r="AE13" s="102">
        <f>TT!O$7*$H$5*$H$6*$D14*$M14</f>
        <v>32.402299755955809</v>
      </c>
      <c r="AF13" s="102">
        <f>TT!P$7*$H$5*$H$6*$D14*$M14</f>
        <v>32.842806975309294</v>
      </c>
      <c r="AG13" s="102">
        <f>TT!Q$7*$H$5*$H$6*$D14*$M14</f>
        <v>33.283314194662779</v>
      </c>
      <c r="AH13" s="102">
        <f>TT!R$7*$H$5*$H$6*$D14*$M14</f>
        <v>33.755037912150797</v>
      </c>
      <c r="AI13" s="102">
        <f>TT!S$7*$H$5*$H$6*$D14*$M14</f>
        <v>34.226761629638808</v>
      </c>
      <c r="AJ13" s="102">
        <f>TT!T$7*$H$5*$H$6*$D14*$M14</f>
        <v>34.698485347126827</v>
      </c>
      <c r="AK13" s="102">
        <f>TT!U$7*$H$5*$H$6*$D14*$M14</f>
        <v>35.170209064614838</v>
      </c>
      <c r="AL13" s="102">
        <f>TT!V$7*$H$5*$H$6*$D14*$M14</f>
        <v>35.641932782102863</v>
      </c>
      <c r="AM13" s="102">
        <f>TT!W$7*$H$5*$H$6*$D14*$M14</f>
        <v>36.140028265775797</v>
      </c>
      <c r="AN13" s="102">
        <f>TT!X$7*$H$5*$H$6*$D14*$M14</f>
        <v>36.638123749448745</v>
      </c>
      <c r="AO13" s="102">
        <f>TT!Y$7*$H$5*$H$6*$D14*$M14</f>
        <v>37.136219233121679</v>
      </c>
      <c r="AP13" s="102">
        <f>TT!Z$7*$H$5*$H$6*$D14*$M14</f>
        <v>37.63431471679462</v>
      </c>
      <c r="AQ13" s="102">
        <f>TT!AA$7*$H$5*$H$6*$D14*$M14</f>
        <v>38.132410200467575</v>
      </c>
      <c r="AR13" s="102">
        <f>TT!AB$7*$H$5*$H$6*$D14*$M14</f>
        <v>38.630505684140502</v>
      </c>
    </row>
    <row r="14" spans="2:44" x14ac:dyDescent="0.25">
      <c r="B14" s="99">
        <v>9</v>
      </c>
      <c r="C14" s="99" t="s">
        <v>210</v>
      </c>
      <c r="D14" s="106">
        <v>2.7328686795643658E-5</v>
      </c>
      <c r="F14" s="107" t="s">
        <v>211</v>
      </c>
      <c r="G14" s="104">
        <v>1.19</v>
      </c>
      <c r="J14" s="99" t="s">
        <v>197</v>
      </c>
      <c r="K14" s="99">
        <v>9</v>
      </c>
      <c r="L14" s="99" t="s">
        <v>210</v>
      </c>
      <c r="M14" s="99">
        <v>1.5</v>
      </c>
      <c r="P14" s="99">
        <v>10</v>
      </c>
      <c r="Q14" s="99" t="s">
        <v>212</v>
      </c>
      <c r="R14" s="102">
        <f>TT!B$7*$H$5*$H$6*$D15*$M15</f>
        <v>60.021222432065201</v>
      </c>
      <c r="S14" s="102">
        <f>TT!C$7*$H$5*$H$6*$D15*$M15</f>
        <v>60.871901965005733</v>
      </c>
      <c r="T14" s="102">
        <f>TT!D$7*$H$5*$H$6*$D15*$M15</f>
        <v>61.722581497946265</v>
      </c>
      <c r="U14" s="102">
        <f>TT!E$7*$H$5*$H$6*$D15*$M15</f>
        <v>62.573261030886812</v>
      </c>
      <c r="V14" s="102">
        <f>TT!F$7*$H$5*$H$6*$D15*$M15</f>
        <v>63.423940563827344</v>
      </c>
      <c r="W14" s="102">
        <f>TT!G$7*$H$5*$H$6*$D15*$M15</f>
        <v>64.274620096767876</v>
      </c>
      <c r="X14" s="102">
        <f>TT!H$7*$H$5*$H$6*$D15*$M15</f>
        <v>65.185582946045656</v>
      </c>
      <c r="Y14" s="102">
        <f>TT!I$7*$H$5*$H$6*$D15*$M15</f>
        <v>66.096545795323436</v>
      </c>
      <c r="Z14" s="102">
        <f>TT!J$7*$H$5*$H$6*$D15*$M15</f>
        <v>67.007508644601216</v>
      </c>
      <c r="AA14" s="102">
        <f>TT!K$7*$H$5*$H$6*$D15*$M15</f>
        <v>67.918471493879011</v>
      </c>
      <c r="AB14" s="102">
        <f>TT!L$7*$H$5*$H$6*$D15*$M15</f>
        <v>68.829434343156748</v>
      </c>
      <c r="AC14" s="102">
        <f>TT!M$7*$H$5*$H$6*$D15*$M15</f>
        <v>69.804952479693682</v>
      </c>
      <c r="AD14" s="102">
        <f>TT!N$7*$H$5*$H$6*$D15*$M15</f>
        <v>70.780470616230645</v>
      </c>
      <c r="AE14" s="102">
        <f>TT!O$7*$H$5*$H$6*$D15*$M15</f>
        <v>71.755988752767578</v>
      </c>
      <c r="AF14" s="102">
        <f>TT!P$7*$H$5*$H$6*$D15*$M15</f>
        <v>72.731506889304526</v>
      </c>
      <c r="AG14" s="102">
        <f>TT!Q$7*$H$5*$H$6*$D15*$M15</f>
        <v>73.707025025841489</v>
      </c>
      <c r="AH14" s="102">
        <f>TT!R$7*$H$5*$H$6*$D15*$M15</f>
        <v>74.751673153333172</v>
      </c>
      <c r="AI14" s="102">
        <f>TT!S$7*$H$5*$H$6*$D15*$M15</f>
        <v>75.796321280824856</v>
      </c>
      <c r="AJ14" s="102">
        <f>TT!T$7*$H$5*$H$6*$D15*$M15</f>
        <v>76.840969408316553</v>
      </c>
      <c r="AK14" s="102">
        <f>TT!U$7*$H$5*$H$6*$D15*$M15</f>
        <v>77.885617535808251</v>
      </c>
      <c r="AL14" s="102">
        <f>TT!V$7*$H$5*$H$6*$D15*$M15</f>
        <v>78.930265663299949</v>
      </c>
      <c r="AM14" s="102">
        <f>TT!W$7*$H$5*$H$6*$D15*$M15</f>
        <v>80.033314958980583</v>
      </c>
      <c r="AN14" s="102">
        <f>TT!X$7*$H$5*$H$6*$D15*$M15</f>
        <v>81.136364254661217</v>
      </c>
      <c r="AO14" s="102">
        <f>TT!Y$7*$H$5*$H$6*$D15*$M15</f>
        <v>82.239413550341837</v>
      </c>
      <c r="AP14" s="102">
        <f>TT!Z$7*$H$5*$H$6*$D15*$M15</f>
        <v>83.342462846022471</v>
      </c>
      <c r="AQ14" s="102">
        <f>TT!AA$7*$H$5*$H$6*$D15*$M15</f>
        <v>84.445512141703134</v>
      </c>
      <c r="AR14" s="102">
        <f>TT!AB$7*$H$5*$H$6*$D15*$M15</f>
        <v>85.548561437383754</v>
      </c>
    </row>
    <row r="15" spans="2:44" x14ac:dyDescent="0.25">
      <c r="B15" s="99">
        <v>10</v>
      </c>
      <c r="C15" s="99" t="s">
        <v>212</v>
      </c>
      <c r="D15" s="106">
        <v>6.3929895683779129E-5</v>
      </c>
      <c r="F15" s="107" t="s">
        <v>213</v>
      </c>
      <c r="G15" s="104">
        <f>AVERAGE(G11:G14)</f>
        <v>0.97499999999999998</v>
      </c>
      <c r="J15" s="99" t="s">
        <v>197</v>
      </c>
      <c r="K15" s="99">
        <v>10</v>
      </c>
      <c r="L15" s="99" t="s">
        <v>212</v>
      </c>
      <c r="M15" s="99">
        <v>1.42</v>
      </c>
      <c r="P15" s="99">
        <v>11</v>
      </c>
      <c r="Q15" s="99" t="s">
        <v>214</v>
      </c>
      <c r="R15" s="102">
        <f>TT!B$7*$H$5*$H$6*$D16*$M16</f>
        <v>300.3954796930754</v>
      </c>
      <c r="S15" s="102">
        <f>TT!C$7*$H$5*$H$6*$D16*$M16</f>
        <v>304.65297855778084</v>
      </c>
      <c r="T15" s="102">
        <f>TT!D$7*$H$5*$H$6*$D16*$M16</f>
        <v>308.91047742248628</v>
      </c>
      <c r="U15" s="102">
        <f>TT!E$7*$H$5*$H$6*$D16*$M16</f>
        <v>313.16797628719183</v>
      </c>
      <c r="V15" s="102">
        <f>TT!F$7*$H$5*$H$6*$D16*$M16</f>
        <v>317.42547515189733</v>
      </c>
      <c r="W15" s="102">
        <f>TT!G$7*$H$5*$H$6*$D16*$M16</f>
        <v>321.68297401660283</v>
      </c>
      <c r="X15" s="102">
        <f>TT!H$7*$H$5*$H$6*$D16*$M16</f>
        <v>326.24218009410475</v>
      </c>
      <c r="Y15" s="102">
        <f>TT!I$7*$H$5*$H$6*$D16*$M16</f>
        <v>330.80138617160674</v>
      </c>
      <c r="Z15" s="102">
        <f>TT!J$7*$H$5*$H$6*$D16*$M16</f>
        <v>335.36059224910866</v>
      </c>
      <c r="AA15" s="102">
        <f>TT!K$7*$H$5*$H$6*$D16*$M16</f>
        <v>339.9197983266107</v>
      </c>
      <c r="AB15" s="102">
        <f>TT!L$7*$H$5*$H$6*$D16*$M16</f>
        <v>344.47900440411246</v>
      </c>
      <c r="AC15" s="102">
        <f>TT!M$7*$H$5*$H$6*$D16*$M16</f>
        <v>349.36129814456388</v>
      </c>
      <c r="AD15" s="102">
        <f>TT!N$7*$H$5*$H$6*$D16*$M16</f>
        <v>354.24359188501518</v>
      </c>
      <c r="AE15" s="102">
        <f>TT!O$7*$H$5*$H$6*$D16*$M16</f>
        <v>359.12588562546659</v>
      </c>
      <c r="AF15" s="102">
        <f>TT!P$7*$H$5*$H$6*$D16*$M16</f>
        <v>364.00817936591795</v>
      </c>
      <c r="AG15" s="102">
        <f>TT!Q$7*$H$5*$H$6*$D16*$M16</f>
        <v>368.89047310636937</v>
      </c>
      <c r="AH15" s="102">
        <f>TT!R$7*$H$5*$H$6*$D16*$M16</f>
        <v>374.1187500832923</v>
      </c>
      <c r="AI15" s="102">
        <f>TT!S$7*$H$5*$H$6*$D16*$M16</f>
        <v>379.34702706021523</v>
      </c>
      <c r="AJ15" s="102">
        <f>TT!T$7*$H$5*$H$6*$D16*$M16</f>
        <v>384.57530403713832</v>
      </c>
      <c r="AK15" s="102">
        <f>TT!U$7*$H$5*$H$6*$D16*$M16</f>
        <v>389.80358101406125</v>
      </c>
      <c r="AL15" s="102">
        <f>TT!V$7*$H$5*$H$6*$D16*$M16</f>
        <v>395.03185799098429</v>
      </c>
      <c r="AM15" s="102">
        <f>TT!W$7*$H$5*$H$6*$D16*$M16</f>
        <v>400.55242236596229</v>
      </c>
      <c r="AN15" s="102">
        <f>TT!X$7*$H$5*$H$6*$D16*$M16</f>
        <v>406.07298674094034</v>
      </c>
      <c r="AO15" s="102">
        <f>TT!Y$7*$H$5*$H$6*$D16*$M16</f>
        <v>411.59355111591839</v>
      </c>
      <c r="AP15" s="102">
        <f>TT!Z$7*$H$5*$H$6*$D16*$M16</f>
        <v>417.11411549089644</v>
      </c>
      <c r="AQ15" s="102">
        <f>TT!AA$7*$H$5*$H$6*$D16*$M16</f>
        <v>422.63467986587466</v>
      </c>
      <c r="AR15" s="102">
        <f>TT!AB$7*$H$5*$H$6*$D16*$M16</f>
        <v>428.15524424085265</v>
      </c>
    </row>
    <row r="16" spans="2:44" x14ac:dyDescent="0.25">
      <c r="B16" s="99">
        <v>11</v>
      </c>
      <c r="C16" s="99" t="s">
        <v>214</v>
      </c>
      <c r="D16" s="106">
        <v>2.5241106655972644E-3</v>
      </c>
      <c r="F16" s="107" t="s">
        <v>215</v>
      </c>
      <c r="G16" s="104">
        <f>G15*'NEW Factors'!B78</f>
        <v>1.17</v>
      </c>
      <c r="J16" s="99" t="s">
        <v>197</v>
      </c>
      <c r="K16" s="99">
        <v>11</v>
      </c>
      <c r="L16" s="99" t="s">
        <v>214</v>
      </c>
      <c r="M16" s="99">
        <v>0.18</v>
      </c>
      <c r="P16" s="99">
        <v>12</v>
      </c>
      <c r="Q16" s="99" t="s">
        <v>216</v>
      </c>
      <c r="R16" s="102">
        <f>TT!B$7*$H$5*$H$6*$D17*$M17</f>
        <v>391.26848707744438</v>
      </c>
      <c r="S16" s="102">
        <f>TT!C$7*$H$5*$H$6*$D17*$M17</f>
        <v>396.81392717937024</v>
      </c>
      <c r="T16" s="102">
        <f>TT!D$7*$H$5*$H$6*$D17*$M17</f>
        <v>402.35936728129616</v>
      </c>
      <c r="U16" s="102">
        <f>TT!E$7*$H$5*$H$6*$D17*$M17</f>
        <v>407.90480738322219</v>
      </c>
      <c r="V16" s="102">
        <f>TT!F$7*$H$5*$H$6*$D17*$M17</f>
        <v>413.45024748514805</v>
      </c>
      <c r="W16" s="102">
        <f>TT!G$7*$H$5*$H$6*$D17*$M17</f>
        <v>418.99568758707397</v>
      </c>
      <c r="X16" s="102">
        <f>TT!H$7*$H$5*$H$6*$D17*$M17</f>
        <v>424.93410472318112</v>
      </c>
      <c r="Y16" s="102">
        <f>TT!I$7*$H$5*$H$6*$D17*$M17</f>
        <v>430.87252185928827</v>
      </c>
      <c r="Z16" s="102">
        <f>TT!J$7*$H$5*$H$6*$D17*$M17</f>
        <v>436.81093899539542</v>
      </c>
      <c r="AA16" s="102">
        <f>TT!K$7*$H$5*$H$6*$D17*$M17</f>
        <v>442.74935613150262</v>
      </c>
      <c r="AB16" s="102">
        <f>TT!L$7*$H$5*$H$6*$D17*$M17</f>
        <v>448.68777326760949</v>
      </c>
      <c r="AC16" s="102">
        <f>TT!M$7*$H$5*$H$6*$D17*$M17</f>
        <v>455.04701571441962</v>
      </c>
      <c r="AD16" s="102">
        <f>TT!N$7*$H$5*$H$6*$D17*$M17</f>
        <v>461.40625816122969</v>
      </c>
      <c r="AE16" s="102">
        <f>TT!O$7*$H$5*$H$6*$D17*$M17</f>
        <v>467.76550060803982</v>
      </c>
      <c r="AF16" s="102">
        <f>TT!P$7*$H$5*$H$6*$D17*$M17</f>
        <v>474.12474305484983</v>
      </c>
      <c r="AG16" s="102">
        <f>TT!Q$7*$H$5*$H$6*$D17*$M17</f>
        <v>480.48398550165996</v>
      </c>
      <c r="AH16" s="102">
        <f>TT!R$7*$H$5*$H$6*$D17*$M17</f>
        <v>487.29387500090479</v>
      </c>
      <c r="AI16" s="102">
        <f>TT!S$7*$H$5*$H$6*$D17*$M17</f>
        <v>494.10376450014957</v>
      </c>
      <c r="AJ16" s="102">
        <f>TT!T$7*$H$5*$H$6*$D17*$M17</f>
        <v>500.91365399939451</v>
      </c>
      <c r="AK16" s="102">
        <f>TT!U$7*$H$5*$H$6*$D17*$M17</f>
        <v>507.72354349863934</v>
      </c>
      <c r="AL16" s="102">
        <f>TT!V$7*$H$5*$H$6*$D17*$M17</f>
        <v>514.53343299788423</v>
      </c>
      <c r="AM16" s="102">
        <f>TT!W$7*$H$5*$H$6*$D17*$M17</f>
        <v>521.72403011678318</v>
      </c>
      <c r="AN16" s="102">
        <f>TT!X$7*$H$5*$H$6*$D17*$M17</f>
        <v>528.91462723568213</v>
      </c>
      <c r="AO16" s="102">
        <f>TT!Y$7*$H$5*$H$6*$D17*$M17</f>
        <v>536.1052243545812</v>
      </c>
      <c r="AP16" s="102">
        <f>TT!Z$7*$H$5*$H$6*$D17*$M17</f>
        <v>543.29582147348003</v>
      </c>
      <c r="AQ16" s="102">
        <f>TT!AA$7*$H$5*$H$6*$D17*$M17</f>
        <v>550.48641859237921</v>
      </c>
      <c r="AR16" s="102">
        <f>TT!AB$7*$H$5*$H$6*$D17*$M17</f>
        <v>557.67701571127805</v>
      </c>
    </row>
    <row r="17" spans="2:44" x14ac:dyDescent="0.25">
      <c r="B17" s="99">
        <v>12</v>
      </c>
      <c r="C17" s="99" t="s">
        <v>216</v>
      </c>
      <c r="D17" s="106">
        <v>4.2270203557657586E-3</v>
      </c>
      <c r="J17" s="99" t="s">
        <v>197</v>
      </c>
      <c r="K17" s="99">
        <v>12</v>
      </c>
      <c r="L17" s="99" t="s">
        <v>216</v>
      </c>
      <c r="M17" s="99">
        <v>0.14000000000000001</v>
      </c>
      <c r="P17" s="99">
        <v>13</v>
      </c>
      <c r="Q17" s="99" t="s">
        <v>217</v>
      </c>
      <c r="R17" s="102">
        <f>TT!B$7*$H$5*$H$6*$D18*$M18</f>
        <v>2929.2114843129816</v>
      </c>
      <c r="S17" s="102">
        <f>TT!C$7*$H$5*$H$6*$D18*$M18</f>
        <v>2970.7271375501309</v>
      </c>
      <c r="T17" s="102">
        <f>TT!D$7*$H$5*$H$6*$D18*$M18</f>
        <v>3012.2427907872798</v>
      </c>
      <c r="U17" s="102">
        <f>TT!E$7*$H$5*$H$6*$D18*$M18</f>
        <v>3053.7584440244295</v>
      </c>
      <c r="V17" s="102">
        <f>TT!F$7*$H$5*$H$6*$D18*$M18</f>
        <v>3095.2740972615784</v>
      </c>
      <c r="W17" s="102">
        <f>TT!G$7*$H$5*$H$6*$D18*$M18</f>
        <v>3136.7897504987277</v>
      </c>
      <c r="X17" s="102">
        <f>TT!H$7*$H$5*$H$6*$D18*$M18</f>
        <v>3181.2474061705557</v>
      </c>
      <c r="Y17" s="102">
        <f>TT!I$7*$H$5*$H$6*$D18*$M18</f>
        <v>3225.7050618423832</v>
      </c>
      <c r="Z17" s="102">
        <f>TT!J$7*$H$5*$H$6*$D18*$M18</f>
        <v>3270.1627175142112</v>
      </c>
      <c r="AA17" s="102">
        <f>TT!K$7*$H$5*$H$6*$D18*$M18</f>
        <v>3314.6203731860396</v>
      </c>
      <c r="AB17" s="102">
        <f>TT!L$7*$H$5*$H$6*$D18*$M18</f>
        <v>3359.0780288578658</v>
      </c>
      <c r="AC17" s="102">
        <f>TT!M$7*$H$5*$H$6*$D18*$M18</f>
        <v>3406.6861716599196</v>
      </c>
      <c r="AD17" s="102">
        <f>TT!N$7*$H$5*$H$6*$D18*$M18</f>
        <v>3454.2943144619735</v>
      </c>
      <c r="AE17" s="102">
        <f>TT!O$7*$H$5*$H$6*$D18*$M18</f>
        <v>3501.9024572640278</v>
      </c>
      <c r="AF17" s="102">
        <f>TT!P$7*$H$5*$H$6*$D18*$M18</f>
        <v>3549.5106000660821</v>
      </c>
      <c r="AG17" s="102">
        <f>TT!Q$7*$H$5*$H$6*$D18*$M18</f>
        <v>3597.1187428681374</v>
      </c>
      <c r="AH17" s="102">
        <f>TT!R$7*$H$5*$H$6*$D18*$M18</f>
        <v>3648.1006317421629</v>
      </c>
      <c r="AI17" s="102">
        <f>TT!S$7*$H$5*$H$6*$D18*$M18</f>
        <v>3699.0825206161876</v>
      </c>
      <c r="AJ17" s="102">
        <f>TT!T$7*$H$5*$H$6*$D18*$M18</f>
        <v>3750.0644094902141</v>
      </c>
      <c r="AK17" s="102">
        <f>TT!U$7*$H$5*$H$6*$D18*$M18</f>
        <v>3801.0462983642387</v>
      </c>
      <c r="AL17" s="102">
        <f>TT!V$7*$H$5*$H$6*$D18*$M18</f>
        <v>3852.0281872382652</v>
      </c>
      <c r="AM17" s="102">
        <f>TT!W$7*$H$5*$H$6*$D18*$M18</f>
        <v>3905.8602242036586</v>
      </c>
      <c r="AN17" s="102">
        <f>TT!X$7*$H$5*$H$6*$D18*$M18</f>
        <v>3959.6922611690525</v>
      </c>
      <c r="AO17" s="102">
        <f>TT!Y$7*$H$5*$H$6*$D18*$M18</f>
        <v>4013.5242981344463</v>
      </c>
      <c r="AP17" s="102">
        <f>TT!Z$7*$H$5*$H$6*$D18*$M18</f>
        <v>4067.3563350998402</v>
      </c>
      <c r="AQ17" s="102">
        <f>TT!AA$7*$H$5*$H$6*$D18*$M18</f>
        <v>4121.1883720652349</v>
      </c>
      <c r="AR17" s="102">
        <f>TT!AB$7*$H$5*$H$6*$D18*$M18</f>
        <v>4175.0204090306279</v>
      </c>
    </row>
    <row r="18" spans="2:44" x14ac:dyDescent="0.25">
      <c r="B18" s="99">
        <v>13</v>
      </c>
      <c r="C18" s="99" t="s">
        <v>217</v>
      </c>
      <c r="D18" s="106">
        <v>1.1359876894335449E-2</v>
      </c>
      <c r="J18" s="99" t="s">
        <v>197</v>
      </c>
      <c r="K18" s="99">
        <v>13</v>
      </c>
      <c r="L18" s="99" t="s">
        <v>217</v>
      </c>
      <c r="M18" s="99">
        <v>0.39</v>
      </c>
      <c r="P18" s="99">
        <v>14</v>
      </c>
      <c r="Q18" s="99" t="s">
        <v>218</v>
      </c>
      <c r="R18" s="102">
        <f>TT!B$7*$H$5*$H$6*$D19*$M19</f>
        <v>765.92734627457196</v>
      </c>
      <c r="S18" s="102">
        <f>TT!C$7*$H$5*$H$6*$D19*$M19</f>
        <v>776.78281856910405</v>
      </c>
      <c r="T18" s="102">
        <f>TT!D$7*$H$5*$H$6*$D19*$M19</f>
        <v>787.63829086363614</v>
      </c>
      <c r="U18" s="102">
        <f>TT!E$7*$H$5*$H$6*$D19*$M19</f>
        <v>798.49376315816858</v>
      </c>
      <c r="V18" s="102">
        <f>TT!F$7*$H$5*$H$6*$D19*$M19</f>
        <v>809.34923545270067</v>
      </c>
      <c r="W18" s="102">
        <f>TT!G$7*$H$5*$H$6*$D19*$M19</f>
        <v>820.20470774723276</v>
      </c>
      <c r="X18" s="102">
        <f>TT!H$7*$H$5*$H$6*$D19*$M19</f>
        <v>831.82945195319712</v>
      </c>
      <c r="Y18" s="102">
        <f>TT!I$7*$H$5*$H$6*$D19*$M19</f>
        <v>843.45419615916148</v>
      </c>
      <c r="Z18" s="102">
        <f>TT!J$7*$H$5*$H$6*$D19*$M19</f>
        <v>855.07894036512596</v>
      </c>
      <c r="AA18" s="102">
        <f>TT!K$7*$H$5*$H$6*$D19*$M19</f>
        <v>866.70368457109055</v>
      </c>
      <c r="AB18" s="102">
        <f>TT!L$7*$H$5*$H$6*$D19*$M19</f>
        <v>878.32842877705457</v>
      </c>
      <c r="AC18" s="102">
        <f>TT!M$7*$H$5*$H$6*$D19*$M19</f>
        <v>890.77695926818433</v>
      </c>
      <c r="AD18" s="102">
        <f>TT!N$7*$H$5*$H$6*$D19*$M19</f>
        <v>903.22548975931443</v>
      </c>
      <c r="AE18" s="102">
        <f>TT!O$7*$H$5*$H$6*$D19*$M19</f>
        <v>915.67402025044441</v>
      </c>
      <c r="AF18" s="102">
        <f>TT!P$7*$H$5*$H$6*$D19*$M19</f>
        <v>928.1225507415744</v>
      </c>
      <c r="AG18" s="102">
        <f>TT!Q$7*$H$5*$H$6*$D19*$M19</f>
        <v>940.5710812327045</v>
      </c>
      <c r="AH18" s="102">
        <f>TT!R$7*$H$5*$H$6*$D19*$M19</f>
        <v>953.90177553813999</v>
      </c>
      <c r="AI18" s="102">
        <f>TT!S$7*$H$5*$H$6*$D19*$M19</f>
        <v>967.23246984357547</v>
      </c>
      <c r="AJ18" s="102">
        <f>TT!T$7*$H$5*$H$6*$D19*$M19</f>
        <v>980.56316414901119</v>
      </c>
      <c r="AK18" s="102">
        <f>TT!U$7*$H$5*$H$6*$D19*$M19</f>
        <v>993.89385845444667</v>
      </c>
      <c r="AL18" s="102">
        <f>TT!V$7*$H$5*$H$6*$D19*$M19</f>
        <v>1007.2245527598824</v>
      </c>
      <c r="AM18" s="102">
        <f>TT!W$7*$H$5*$H$6*$D19*$M19</f>
        <v>1021.3005009931418</v>
      </c>
      <c r="AN18" s="102">
        <f>TT!X$7*$H$5*$H$6*$D19*$M19</f>
        <v>1035.3764492264013</v>
      </c>
      <c r="AO18" s="102">
        <f>TT!Y$7*$H$5*$H$6*$D19*$M19</f>
        <v>1049.4523974596609</v>
      </c>
      <c r="AP18" s="102">
        <f>TT!Z$7*$H$5*$H$6*$D19*$M19</f>
        <v>1063.5283456929203</v>
      </c>
      <c r="AQ18" s="102">
        <f>TT!AA$7*$H$5*$H$6*$D19*$M19</f>
        <v>1077.6042939261802</v>
      </c>
      <c r="AR18" s="102">
        <f>TT!AB$7*$H$5*$H$6*$D19*$M19</f>
        <v>1091.6802421594393</v>
      </c>
    </row>
    <row r="19" spans="2:44" x14ac:dyDescent="0.25">
      <c r="B19" s="99">
        <v>14</v>
      </c>
      <c r="C19" s="99" t="s">
        <v>218</v>
      </c>
      <c r="D19" s="106">
        <v>6.4358005179690515E-3</v>
      </c>
      <c r="F19" s="126" t="s">
        <v>219</v>
      </c>
      <c r="J19" s="99" t="s">
        <v>197</v>
      </c>
      <c r="K19" s="99">
        <v>14</v>
      </c>
      <c r="L19" s="99" t="s">
        <v>218</v>
      </c>
      <c r="M19" s="99">
        <v>0.18</v>
      </c>
      <c r="P19" s="99">
        <v>15</v>
      </c>
      <c r="Q19" s="99" t="s">
        <v>220</v>
      </c>
      <c r="R19" s="102">
        <f>TT!B$7*$H$5*$H$6*$D20*$M20</f>
        <v>20.136281306891579</v>
      </c>
      <c r="S19" s="102">
        <f>TT!C$7*$H$5*$H$6*$D20*$M20</f>
        <v>20.421672401628001</v>
      </c>
      <c r="T19" s="102">
        <f>TT!D$7*$H$5*$H$6*$D20*$M20</f>
        <v>20.70706349636443</v>
      </c>
      <c r="U19" s="102">
        <f>TT!E$7*$H$5*$H$6*$D20*$M20</f>
        <v>20.992454591100863</v>
      </c>
      <c r="V19" s="102">
        <f>TT!F$7*$H$5*$H$6*$D20*$M20</f>
        <v>21.277845685837292</v>
      </c>
      <c r="W19" s="102">
        <f>TT!G$7*$H$5*$H$6*$D20*$M20</f>
        <v>21.563236780573714</v>
      </c>
      <c r="X19" s="102">
        <f>TT!H$7*$H$5*$H$6*$D20*$M20</f>
        <v>21.868852085459363</v>
      </c>
      <c r="Y19" s="102">
        <f>TT!I$7*$H$5*$H$6*$D20*$M20</f>
        <v>22.174467390345011</v>
      </c>
      <c r="Z19" s="102">
        <f>TT!J$7*$H$5*$H$6*$D20*$M20</f>
        <v>22.480082695230656</v>
      </c>
      <c r="AA19" s="102">
        <f>TT!K$7*$H$5*$H$6*$D20*$M20</f>
        <v>22.785698000116305</v>
      </c>
      <c r="AB19" s="102">
        <f>TT!L$7*$H$5*$H$6*$D20*$M20</f>
        <v>23.09131330500194</v>
      </c>
      <c r="AC19" s="102">
        <f>TT!M$7*$H$5*$H$6*$D20*$M20</f>
        <v>23.418586006578717</v>
      </c>
      <c r="AD19" s="102">
        <f>TT!N$7*$H$5*$H$6*$D20*$M20</f>
        <v>23.745858708155492</v>
      </c>
      <c r="AE19" s="102">
        <f>TT!O$7*$H$5*$H$6*$D20*$M20</f>
        <v>24.07313140973227</v>
      </c>
      <c r="AF19" s="102">
        <f>TT!P$7*$H$5*$H$6*$D20*$M20</f>
        <v>24.400404111309047</v>
      </c>
      <c r="AG19" s="102">
        <f>TT!Q$7*$H$5*$H$6*$D20*$M20</f>
        <v>24.727676812885829</v>
      </c>
      <c r="AH19" s="102">
        <f>TT!R$7*$H$5*$H$6*$D20*$M20</f>
        <v>25.078141660310401</v>
      </c>
      <c r="AI19" s="102">
        <f>TT!S$7*$H$5*$H$6*$D20*$M20</f>
        <v>25.428606507734976</v>
      </c>
      <c r="AJ19" s="102">
        <f>TT!T$7*$H$5*$H$6*$D20*$M20</f>
        <v>25.779071355159555</v>
      </c>
      <c r="AK19" s="102">
        <f>TT!U$7*$H$5*$H$6*$D20*$M20</f>
        <v>26.129536202584127</v>
      </c>
      <c r="AL19" s="102">
        <f>TT!V$7*$H$5*$H$6*$D20*$M20</f>
        <v>26.480001050008706</v>
      </c>
      <c r="AM19" s="102">
        <f>TT!W$7*$H$5*$H$6*$D20*$M20</f>
        <v>26.85005867318247</v>
      </c>
      <c r="AN19" s="102">
        <f>TT!X$7*$H$5*$H$6*$D20*$M20</f>
        <v>27.220116296356235</v>
      </c>
      <c r="AO19" s="102">
        <f>TT!Y$7*$H$5*$H$6*$D20*$M20</f>
        <v>27.590173919529999</v>
      </c>
      <c r="AP19" s="102">
        <f>TT!Z$7*$H$5*$H$6*$D20*$M20</f>
        <v>27.96023154270376</v>
      </c>
      <c r="AQ19" s="102">
        <f>TT!AA$7*$H$5*$H$6*$D20*$M20</f>
        <v>28.330289165877534</v>
      </c>
      <c r="AR19" s="102">
        <f>TT!AB$7*$H$5*$H$6*$D20*$M20</f>
        <v>28.700346789051292</v>
      </c>
    </row>
    <row r="20" spans="2:44" x14ac:dyDescent="0.25">
      <c r="B20" s="99">
        <v>15</v>
      </c>
      <c r="C20" s="99" t="s">
        <v>220</v>
      </c>
      <c r="D20" s="106">
        <v>1.015185763729656E-4</v>
      </c>
      <c r="F20" s="333" t="s">
        <v>221</v>
      </c>
      <c r="G20" s="333"/>
      <c r="H20" s="333"/>
      <c r="J20" s="99" t="s">
        <v>197</v>
      </c>
      <c r="K20" s="99">
        <v>15</v>
      </c>
      <c r="L20" s="99" t="s">
        <v>220</v>
      </c>
      <c r="M20" s="99">
        <v>0.3</v>
      </c>
      <c r="P20" s="99">
        <v>16</v>
      </c>
      <c r="Q20" s="99" t="s">
        <v>222</v>
      </c>
      <c r="R20" s="102">
        <f>TT!B$7*$H$5*$H$6*$D21*$M21</f>
        <v>157.96517528823941</v>
      </c>
      <c r="S20" s="102">
        <f>TT!C$7*$H$5*$H$6*$D21*$M21</f>
        <v>160.20401242100795</v>
      </c>
      <c r="T20" s="102">
        <f>TT!D$7*$H$5*$H$6*$D21*$M21</f>
        <v>162.44284955377651</v>
      </c>
      <c r="U20" s="102">
        <f>TT!E$7*$H$5*$H$6*$D21*$M21</f>
        <v>164.68168668654511</v>
      </c>
      <c r="V20" s="102">
        <f>TT!F$7*$H$5*$H$6*$D21*$M21</f>
        <v>166.92052381931367</v>
      </c>
      <c r="W20" s="102">
        <f>TT!G$7*$H$5*$H$6*$D21*$M21</f>
        <v>169.15936095208224</v>
      </c>
      <c r="X20" s="102">
        <f>TT!H$7*$H$5*$H$6*$D21*$M21</f>
        <v>171.55685304465183</v>
      </c>
      <c r="Y20" s="102">
        <f>TT!I$7*$H$5*$H$6*$D21*$M21</f>
        <v>173.95434513722145</v>
      </c>
      <c r="Z20" s="102">
        <f>TT!J$7*$H$5*$H$6*$D21*$M21</f>
        <v>176.35183722979104</v>
      </c>
      <c r="AA20" s="102">
        <f>TT!K$7*$H$5*$H$6*$D21*$M21</f>
        <v>178.74932932236069</v>
      </c>
      <c r="AB20" s="102">
        <f>TT!L$7*$H$5*$H$6*$D21*$M21</f>
        <v>181.14682141493023</v>
      </c>
      <c r="AC20" s="102">
        <f>TT!M$7*$H$5*$H$6*$D21*$M21</f>
        <v>183.71421153447221</v>
      </c>
      <c r="AD20" s="102">
        <f>TT!N$7*$H$5*$H$6*$D21*$M21</f>
        <v>186.28160165401417</v>
      </c>
      <c r="AE20" s="102">
        <f>TT!O$7*$H$5*$H$6*$D21*$M21</f>
        <v>188.84899177355615</v>
      </c>
      <c r="AF20" s="102">
        <f>TT!P$7*$H$5*$H$6*$D21*$M21</f>
        <v>191.41638189309813</v>
      </c>
      <c r="AG20" s="102">
        <f>TT!Q$7*$H$5*$H$6*$D21*$M21</f>
        <v>193.98377201264012</v>
      </c>
      <c r="AH20" s="102">
        <f>TT!R$7*$H$5*$H$6*$D21*$M21</f>
        <v>196.73309996510778</v>
      </c>
      <c r="AI20" s="102">
        <f>TT!S$7*$H$5*$H$6*$D21*$M21</f>
        <v>199.48242791757542</v>
      </c>
      <c r="AJ20" s="102">
        <f>TT!T$7*$H$5*$H$6*$D21*$M21</f>
        <v>202.23175587004312</v>
      </c>
      <c r="AK20" s="102">
        <f>TT!U$7*$H$5*$H$6*$D21*$M21</f>
        <v>204.98108382251075</v>
      </c>
      <c r="AL20" s="102">
        <f>TT!V$7*$H$5*$H$6*$D21*$M21</f>
        <v>207.73041177497848</v>
      </c>
      <c r="AM20" s="102">
        <f>TT!W$7*$H$5*$H$6*$D21*$M21</f>
        <v>210.63344120829228</v>
      </c>
      <c r="AN20" s="102">
        <f>TT!X$7*$H$5*$H$6*$D21*$M21</f>
        <v>213.53647064160609</v>
      </c>
      <c r="AO20" s="102">
        <f>TT!Y$7*$H$5*$H$6*$D21*$M21</f>
        <v>216.43950007491989</v>
      </c>
      <c r="AP20" s="102">
        <f>TT!Z$7*$H$5*$H$6*$D21*$M21</f>
        <v>219.34252950823367</v>
      </c>
      <c r="AQ20" s="102">
        <f>TT!AA$7*$H$5*$H$6*$D21*$M21</f>
        <v>222.24555894154756</v>
      </c>
      <c r="AR20" s="102">
        <f>TT!AB$7*$H$5*$H$6*$D21*$M21</f>
        <v>225.14858837486133</v>
      </c>
    </row>
    <row r="21" spans="2:44" x14ac:dyDescent="0.25">
      <c r="B21" s="99">
        <v>16</v>
      </c>
      <c r="C21" s="99" t="s">
        <v>222</v>
      </c>
      <c r="D21" s="106">
        <v>4.7783598572233765E-4</v>
      </c>
      <c r="F21" s="333"/>
      <c r="G21" s="333"/>
      <c r="H21" s="333"/>
      <c r="J21" s="99" t="s">
        <v>197</v>
      </c>
      <c r="K21" s="99">
        <v>16</v>
      </c>
      <c r="L21" s="99" t="s">
        <v>222</v>
      </c>
      <c r="M21" s="99">
        <v>0.5</v>
      </c>
      <c r="P21" s="99">
        <v>17</v>
      </c>
      <c r="Q21" s="99" t="s">
        <v>114</v>
      </c>
      <c r="R21" s="102">
        <f>TT!B$7*$H$5*$H$6*$D22*$M22</f>
        <v>10126.333453243045</v>
      </c>
      <c r="S21" s="102">
        <f>TT!C$7*$H$5*$H$6*$D22*$M22</f>
        <v>10269.853765948354</v>
      </c>
      <c r="T21" s="102">
        <f>TT!D$7*$H$5*$H$6*$D22*$M22</f>
        <v>10413.374078653662</v>
      </c>
      <c r="U21" s="102">
        <f>TT!E$7*$H$5*$H$6*$D22*$M22</f>
        <v>10556.894391358974</v>
      </c>
      <c r="V21" s="102">
        <f>TT!F$7*$H$5*$H$6*$D22*$M22</f>
        <v>10700.414704064284</v>
      </c>
      <c r="W21" s="102">
        <f>TT!G$7*$H$5*$H$6*$D22*$M22</f>
        <v>10843.93501676959</v>
      </c>
      <c r="X21" s="102">
        <f>TT!H$7*$H$5*$H$6*$D22*$M22</f>
        <v>10997.625881459062</v>
      </c>
      <c r="Y21" s="102">
        <f>TT!I$7*$H$5*$H$6*$D22*$M22</f>
        <v>11151.316746148534</v>
      </c>
      <c r="Z21" s="102">
        <f>TT!J$7*$H$5*$H$6*$D22*$M22</f>
        <v>11305.007610838004</v>
      </c>
      <c r="AA21" s="102">
        <f>TT!K$7*$H$5*$H$6*$D22*$M22</f>
        <v>11458.698475527475</v>
      </c>
      <c r="AB21" s="102">
        <f>TT!L$7*$H$5*$H$6*$D22*$M22</f>
        <v>11612.389340216941</v>
      </c>
      <c r="AC21" s="102">
        <f>TT!M$7*$H$5*$H$6*$D22*$M22</f>
        <v>11776.971491995677</v>
      </c>
      <c r="AD21" s="102">
        <f>TT!N$7*$H$5*$H$6*$D22*$M22</f>
        <v>11941.553643774412</v>
      </c>
      <c r="AE21" s="102">
        <f>TT!O$7*$H$5*$H$6*$D22*$M22</f>
        <v>12106.135795553148</v>
      </c>
      <c r="AF21" s="102">
        <f>TT!P$7*$H$5*$H$6*$D22*$M22</f>
        <v>12270.717947331883</v>
      </c>
      <c r="AG21" s="102">
        <f>TT!Q$7*$H$5*$H$6*$D22*$M22</f>
        <v>12435.30009911062</v>
      </c>
      <c r="AH21" s="102">
        <f>TT!R$7*$H$5*$H$6*$D22*$M22</f>
        <v>12611.545347901745</v>
      </c>
      <c r="AI21" s="102">
        <f>TT!S$7*$H$5*$H$6*$D22*$M22</f>
        <v>12787.790596692867</v>
      </c>
      <c r="AJ21" s="102">
        <f>TT!T$7*$H$5*$H$6*$D22*$M22</f>
        <v>12964.035845483997</v>
      </c>
      <c r="AK21" s="102">
        <f>TT!U$7*$H$5*$H$6*$D22*$M22</f>
        <v>13140.28109427512</v>
      </c>
      <c r="AL21" s="102">
        <f>TT!V$7*$H$5*$H$6*$D22*$M22</f>
        <v>13316.526343066249</v>
      </c>
      <c r="AM21" s="102">
        <f>TT!W$7*$H$5*$H$6*$D22*$M22</f>
        <v>13502.624601829131</v>
      </c>
      <c r="AN21" s="102">
        <f>TT!X$7*$H$5*$H$6*$D22*$M22</f>
        <v>13688.722860592014</v>
      </c>
      <c r="AO21" s="102">
        <f>TT!Y$7*$H$5*$H$6*$D22*$M22</f>
        <v>13874.821119354894</v>
      </c>
      <c r="AP21" s="102">
        <f>TT!Z$7*$H$5*$H$6*$D22*$M22</f>
        <v>14060.919378117776</v>
      </c>
      <c r="AQ21" s="102">
        <f>TT!AA$7*$H$5*$H$6*$D22*$M22</f>
        <v>14247.017636880662</v>
      </c>
      <c r="AR21" s="102">
        <f>TT!AB$7*$H$5*$H$6*$D22*$M22</f>
        <v>14433.115895643541</v>
      </c>
    </row>
    <row r="22" spans="2:44" x14ac:dyDescent="0.25">
      <c r="B22" s="99">
        <v>17</v>
      </c>
      <c r="C22" s="99" t="s">
        <v>114</v>
      </c>
      <c r="D22" s="106">
        <v>2.1571551364443477E-2</v>
      </c>
      <c r="F22" s="333"/>
      <c r="G22" s="333"/>
      <c r="H22" s="333"/>
      <c r="J22" s="99" t="s">
        <v>197</v>
      </c>
      <c r="K22" s="99">
        <v>17</v>
      </c>
      <c r="L22" s="99" t="s">
        <v>114</v>
      </c>
      <c r="M22" s="99">
        <v>0.71</v>
      </c>
      <c r="P22" s="99">
        <v>18</v>
      </c>
      <c r="Q22" s="99" t="s">
        <v>223</v>
      </c>
      <c r="R22" s="102">
        <f>TT!B$7*$H$5*$H$6*$D23*$M23</f>
        <v>5373.5740917619441</v>
      </c>
      <c r="S22" s="102">
        <f>TT!C$7*$H$5*$H$6*$D23*$M23</f>
        <v>5449.7336452228101</v>
      </c>
      <c r="T22" s="102">
        <f>TT!D$7*$H$5*$H$6*$D23*$M23</f>
        <v>5525.893198683676</v>
      </c>
      <c r="U22" s="102">
        <f>TT!E$7*$H$5*$H$6*$D23*$M23</f>
        <v>5602.0527521445438</v>
      </c>
      <c r="V22" s="102">
        <f>TT!F$7*$H$5*$H$6*$D23*$M23</f>
        <v>5678.2123056054088</v>
      </c>
      <c r="W22" s="102">
        <f>TT!G$7*$H$5*$H$6*$D23*$M23</f>
        <v>5754.3718590662747</v>
      </c>
      <c r="X22" s="102">
        <f>TT!H$7*$H$5*$H$6*$D23*$M23</f>
        <v>5835.9284513362381</v>
      </c>
      <c r="Y22" s="102">
        <f>TT!I$7*$H$5*$H$6*$D23*$M23</f>
        <v>5917.4850436062006</v>
      </c>
      <c r="Z22" s="102">
        <f>TT!J$7*$H$5*$H$6*$D23*$M23</f>
        <v>5999.041635876164</v>
      </c>
      <c r="AA22" s="102">
        <f>TT!K$7*$H$5*$H$6*$D23*$M23</f>
        <v>6080.5982281461283</v>
      </c>
      <c r="AB22" s="102">
        <f>TT!L$7*$H$5*$H$6*$D23*$M23</f>
        <v>6162.1548204160881</v>
      </c>
      <c r="AC22" s="102">
        <f>TT!M$7*$H$5*$H$6*$D23*$M23</f>
        <v>6249.4909120871971</v>
      </c>
      <c r="AD22" s="102">
        <f>TT!N$7*$H$5*$H$6*$D23*$M23</f>
        <v>6336.8270037583052</v>
      </c>
      <c r="AE22" s="102">
        <f>TT!O$7*$H$5*$H$6*$D23*$M23</f>
        <v>6424.1630954294133</v>
      </c>
      <c r="AF22" s="102">
        <f>TT!P$7*$H$5*$H$6*$D23*$M23</f>
        <v>6511.4991871005213</v>
      </c>
      <c r="AG22" s="102">
        <f>TT!Q$7*$H$5*$H$6*$D23*$M23</f>
        <v>6598.8352787716303</v>
      </c>
      <c r="AH22" s="102">
        <f>TT!R$7*$H$5*$H$6*$D23*$M23</f>
        <v>6692.3604334658812</v>
      </c>
      <c r="AI22" s="102">
        <f>TT!S$7*$H$5*$H$6*$D23*$M23</f>
        <v>6785.8855881601321</v>
      </c>
      <c r="AJ22" s="102">
        <f>TT!T$7*$H$5*$H$6*$D23*$M23</f>
        <v>6879.4107428543857</v>
      </c>
      <c r="AK22" s="102">
        <f>TT!U$7*$H$5*$H$6*$D23*$M23</f>
        <v>6972.9358975486366</v>
      </c>
      <c r="AL22" s="102">
        <f>TT!V$7*$H$5*$H$6*$D23*$M23</f>
        <v>7066.4610522428893</v>
      </c>
      <c r="AM22" s="102">
        <f>TT!W$7*$H$5*$H$6*$D23*$M23</f>
        <v>7165.2147409721474</v>
      </c>
      <c r="AN22" s="102">
        <f>TT!X$7*$H$5*$H$6*$D23*$M23</f>
        <v>7263.9684297014046</v>
      </c>
      <c r="AO22" s="102">
        <f>TT!Y$7*$H$5*$H$6*$D23*$M23</f>
        <v>7362.7221184306627</v>
      </c>
      <c r="AP22" s="102">
        <f>TT!Z$7*$H$5*$H$6*$D23*$M23</f>
        <v>7461.475807159919</v>
      </c>
      <c r="AQ22" s="102">
        <f>TT!AA$7*$H$5*$H$6*$D23*$M23</f>
        <v>7560.2294958891798</v>
      </c>
      <c r="AR22" s="102">
        <f>TT!AB$7*$H$5*$H$6*$D23*$M23</f>
        <v>7658.9831846184361</v>
      </c>
    </row>
    <row r="23" spans="2:44" x14ac:dyDescent="0.25">
      <c r="B23" s="99">
        <v>18</v>
      </c>
      <c r="C23" s="99" t="s">
        <v>223</v>
      </c>
      <c r="D23" s="106">
        <v>1.4012729924457542E-2</v>
      </c>
      <c r="J23" s="99" t="s">
        <v>197</v>
      </c>
      <c r="K23" s="99">
        <v>18</v>
      </c>
      <c r="L23" s="99" t="s">
        <v>223</v>
      </c>
      <c r="M23" s="99">
        <v>0.57999999999999996</v>
      </c>
      <c r="P23" s="99">
        <v>19</v>
      </c>
      <c r="Q23" s="99" t="s">
        <v>224</v>
      </c>
      <c r="R23" s="102">
        <f>TT!B$7*$H$5*$H$6*$D24*$M24</f>
        <v>208344.54998262014</v>
      </c>
      <c r="S23" s="102">
        <f>TT!C$7*$H$5*$H$6*$D24*$M24</f>
        <v>211297.41294155974</v>
      </c>
      <c r="T23" s="102">
        <f>TT!D$7*$H$5*$H$6*$D24*$M24</f>
        <v>214250.27590049937</v>
      </c>
      <c r="U23" s="102">
        <f>TT!E$7*$H$5*$H$6*$D24*$M24</f>
        <v>217203.13885943906</v>
      </c>
      <c r="V23" s="102">
        <f>TT!F$7*$H$5*$H$6*$D24*$M24</f>
        <v>220156.00181837866</v>
      </c>
      <c r="W23" s="102">
        <f>TT!G$7*$H$5*$H$6*$D24*$M24</f>
        <v>223108.86477731826</v>
      </c>
      <c r="X23" s="102">
        <f>TT!H$7*$H$5*$H$6*$D24*$M24</f>
        <v>226270.98206172514</v>
      </c>
      <c r="Y23" s="102">
        <f>TT!I$7*$H$5*$H$6*$D24*$M24</f>
        <v>229433.09934613205</v>
      </c>
      <c r="Z23" s="102">
        <f>TT!J$7*$H$5*$H$6*$D24*$M24</f>
        <v>232595.21663053893</v>
      </c>
      <c r="AA23" s="102">
        <f>TT!K$7*$H$5*$H$6*$D24*$M24</f>
        <v>235757.33391494586</v>
      </c>
      <c r="AB23" s="102">
        <f>TT!L$7*$H$5*$H$6*$D24*$M24</f>
        <v>238919.45119935262</v>
      </c>
      <c r="AC23" s="102">
        <f>TT!M$7*$H$5*$H$6*$D24*$M24</f>
        <v>242305.65159516619</v>
      </c>
      <c r="AD23" s="102">
        <f>TT!N$7*$H$5*$H$6*$D24*$M24</f>
        <v>245691.85199097981</v>
      </c>
      <c r="AE23" s="102">
        <f>TT!O$7*$H$5*$H$6*$D24*$M24</f>
        <v>249078.0523867934</v>
      </c>
      <c r="AF23" s="102">
        <f>TT!P$7*$H$5*$H$6*$D24*$M24</f>
        <v>252464.25278260696</v>
      </c>
      <c r="AG23" s="102">
        <f>TT!Q$7*$H$5*$H$6*$D24*$M24</f>
        <v>255850.45317842058</v>
      </c>
      <c r="AH23" s="102">
        <f>TT!R$7*$H$5*$H$6*$D24*$M24</f>
        <v>259476.61631194863</v>
      </c>
      <c r="AI23" s="102">
        <f>TT!S$7*$H$5*$H$6*$D24*$M24</f>
        <v>263102.77944547671</v>
      </c>
      <c r="AJ23" s="102">
        <f>TT!T$7*$H$5*$H$6*$D24*$M24</f>
        <v>266728.94257900486</v>
      </c>
      <c r="AK23" s="102">
        <f>TT!U$7*$H$5*$H$6*$D24*$M24</f>
        <v>270355.10571253282</v>
      </c>
      <c r="AL23" s="102">
        <f>TT!V$7*$H$5*$H$6*$D24*$M24</f>
        <v>273981.26884606096</v>
      </c>
      <c r="AM23" s="102">
        <f>TT!W$7*$H$5*$H$6*$D24*$M24</f>
        <v>277810.15302744106</v>
      </c>
      <c r="AN23" s="102">
        <f>TT!X$7*$H$5*$H$6*$D24*$M24</f>
        <v>281639.0372088211</v>
      </c>
      <c r="AO23" s="102">
        <f>TT!Y$7*$H$5*$H$6*$D24*$M24</f>
        <v>285467.92139020114</v>
      </c>
      <c r="AP23" s="102">
        <f>TT!Z$7*$H$5*$H$6*$D24*$M24</f>
        <v>289296.80557158112</v>
      </c>
      <c r="AQ23" s="102">
        <f>TT!AA$7*$H$5*$H$6*$D24*$M24</f>
        <v>293125.68975296128</v>
      </c>
      <c r="AR23" s="102">
        <f>TT!AB$7*$H$5*$H$6*$D24*$M24</f>
        <v>296954.57393434132</v>
      </c>
    </row>
    <row r="24" spans="2:44" x14ac:dyDescent="0.25">
      <c r="B24" s="99">
        <v>19</v>
      </c>
      <c r="C24" s="99" t="s">
        <v>224</v>
      </c>
      <c r="D24" s="106">
        <v>0.50018319779883769</v>
      </c>
      <c r="J24" s="99" t="s">
        <v>197</v>
      </c>
      <c r="K24" s="99">
        <v>19</v>
      </c>
      <c r="L24" s="99" t="s">
        <v>224</v>
      </c>
      <c r="M24" s="99">
        <v>0.63</v>
      </c>
      <c r="P24" s="99">
        <v>20</v>
      </c>
      <c r="Q24" s="99" t="s">
        <v>225</v>
      </c>
      <c r="R24" s="102">
        <f>TT!B$7*$H$5*$H$6*$D25*$M25</f>
        <v>6995.523979310934</v>
      </c>
      <c r="S24" s="102">
        <f>TT!C$7*$H$5*$H$6*$D25*$M25</f>
        <v>7094.6713946793898</v>
      </c>
      <c r="T24" s="102">
        <f>TT!D$7*$H$5*$H$6*$D25*$M25</f>
        <v>7193.8188100478465</v>
      </c>
      <c r="U24" s="102">
        <f>TT!E$7*$H$5*$H$6*$D25*$M25</f>
        <v>7292.9662254163068</v>
      </c>
      <c r="V24" s="102">
        <f>TT!F$7*$H$5*$H$6*$D25*$M25</f>
        <v>7392.1136407847625</v>
      </c>
      <c r="W24" s="102">
        <f>TT!G$7*$H$5*$H$6*$D25*$M25</f>
        <v>7491.2610561532192</v>
      </c>
      <c r="X24" s="102">
        <f>TT!H$7*$H$5*$H$6*$D25*$M25</f>
        <v>7597.4345427661747</v>
      </c>
      <c r="Y24" s="102">
        <f>TT!I$7*$H$5*$H$6*$D25*$M25</f>
        <v>7703.608029379131</v>
      </c>
      <c r="Z24" s="102">
        <f>TT!J$7*$H$5*$H$6*$D25*$M25</f>
        <v>7809.7815159920865</v>
      </c>
      <c r="AA24" s="102">
        <f>TT!K$7*$H$5*$H$6*$D25*$M25</f>
        <v>7915.9550026050438</v>
      </c>
      <c r="AB24" s="102">
        <f>TT!L$7*$H$5*$H$6*$D25*$M25</f>
        <v>8022.1284892179947</v>
      </c>
      <c r="AC24" s="102">
        <f>TT!M$7*$H$5*$H$6*$D25*$M25</f>
        <v>8135.825948881049</v>
      </c>
      <c r="AD24" s="102">
        <f>TT!N$7*$H$5*$H$6*$D25*$M25</f>
        <v>8249.5234085441025</v>
      </c>
      <c r="AE24" s="102">
        <f>TT!O$7*$H$5*$H$6*$D25*$M25</f>
        <v>8363.2208682071578</v>
      </c>
      <c r="AF24" s="102">
        <f>TT!P$7*$H$5*$H$6*$D25*$M25</f>
        <v>8476.9183278702112</v>
      </c>
      <c r="AG24" s="102">
        <f>TT!Q$7*$H$5*$H$6*$D25*$M25</f>
        <v>8590.6157875332647</v>
      </c>
      <c r="AH24" s="102">
        <f>TT!R$7*$H$5*$H$6*$D25*$M25</f>
        <v>8712.3704058115218</v>
      </c>
      <c r="AI24" s="102">
        <f>TT!S$7*$H$5*$H$6*$D25*$M25</f>
        <v>8834.1250240897771</v>
      </c>
      <c r="AJ24" s="102">
        <f>TT!T$7*$H$5*$H$6*$D25*$M25</f>
        <v>8955.8796423680342</v>
      </c>
      <c r="AK24" s="102">
        <f>TT!U$7*$H$5*$H$6*$D25*$M25</f>
        <v>9077.6342606462895</v>
      </c>
      <c r="AL24" s="102">
        <f>TT!V$7*$H$5*$H$6*$D25*$M25</f>
        <v>9199.3888789245466</v>
      </c>
      <c r="AM24" s="102">
        <f>TT!W$7*$H$5*$H$6*$D25*$M25</f>
        <v>9327.9502024968842</v>
      </c>
      <c r="AN24" s="102">
        <f>TT!X$7*$H$5*$H$6*$D25*$M25</f>
        <v>9456.5115260692182</v>
      </c>
      <c r="AO24" s="102">
        <f>TT!Y$7*$H$5*$H$6*$D25*$M25</f>
        <v>9585.0728496415559</v>
      </c>
      <c r="AP24" s="102">
        <f>TT!Z$7*$H$5*$H$6*$D25*$M25</f>
        <v>9713.6341732138917</v>
      </c>
      <c r="AQ24" s="102">
        <f>TT!AA$7*$H$5*$H$6*$D25*$M25</f>
        <v>9842.1954967862312</v>
      </c>
      <c r="AR24" s="102">
        <f>TT!AB$7*$H$5*$H$6*$D25*$M25</f>
        <v>9970.7568203585652</v>
      </c>
    </row>
    <row r="25" spans="2:44" x14ac:dyDescent="0.25">
      <c r="B25" s="99">
        <v>20</v>
      </c>
      <c r="C25" s="99" t="s">
        <v>225</v>
      </c>
      <c r="D25" s="106">
        <v>1.188824500310841E-2</v>
      </c>
      <c r="J25" s="99" t="s">
        <v>197</v>
      </c>
      <c r="K25" s="99">
        <v>20</v>
      </c>
      <c r="L25" s="99" t="s">
        <v>225</v>
      </c>
      <c r="M25" s="99">
        <v>0.89</v>
      </c>
      <c r="P25" s="99">
        <v>21</v>
      </c>
      <c r="Q25" s="99" t="s">
        <v>226</v>
      </c>
      <c r="R25" s="102">
        <f>TT!B$7*$H$5*$H$6*$D26*$M26</f>
        <v>849.36418603173161</v>
      </c>
      <c r="S25" s="102">
        <f>TT!C$7*$H$5*$H$6*$D26*$M26</f>
        <v>861.40220691488992</v>
      </c>
      <c r="T25" s="102">
        <f>TT!D$7*$H$5*$H$6*$D26*$M26</f>
        <v>873.44022779804823</v>
      </c>
      <c r="U25" s="102">
        <f>TT!E$7*$H$5*$H$6*$D26*$M26</f>
        <v>885.47824868120665</v>
      </c>
      <c r="V25" s="102">
        <f>TT!F$7*$H$5*$H$6*$D26*$M26</f>
        <v>897.51626956436496</v>
      </c>
      <c r="W25" s="102">
        <f>TT!G$7*$H$5*$H$6*$D26*$M26</f>
        <v>909.55429044752327</v>
      </c>
      <c r="X25" s="102">
        <f>TT!H$7*$H$5*$H$6*$D26*$M26</f>
        <v>922.44538442445321</v>
      </c>
      <c r="Y25" s="102">
        <f>TT!I$7*$H$5*$H$6*$D26*$M26</f>
        <v>935.33647840138303</v>
      </c>
      <c r="Z25" s="102">
        <f>TT!J$7*$H$5*$H$6*$D26*$M26</f>
        <v>948.22757237831297</v>
      </c>
      <c r="AA25" s="102">
        <f>TT!K$7*$H$5*$H$6*$D26*$M26</f>
        <v>961.11866635524302</v>
      </c>
      <c r="AB25" s="102">
        <f>TT!L$7*$H$5*$H$6*$D26*$M26</f>
        <v>974.0097603321725</v>
      </c>
      <c r="AC25" s="102">
        <f>TT!M$7*$H$5*$H$6*$D26*$M26</f>
        <v>987.81438033864958</v>
      </c>
      <c r="AD25" s="102">
        <f>TT!N$7*$H$5*$H$6*$D26*$M26</f>
        <v>1001.6190003451266</v>
      </c>
      <c r="AE25" s="102">
        <f>TT!O$7*$H$5*$H$6*$D26*$M26</f>
        <v>1015.4236203516035</v>
      </c>
      <c r="AF25" s="102">
        <f>TT!P$7*$H$5*$H$6*$D26*$M26</f>
        <v>1029.2282403580807</v>
      </c>
      <c r="AG25" s="102">
        <f>TT!Q$7*$H$5*$H$6*$D26*$M26</f>
        <v>1043.0328603645578</v>
      </c>
      <c r="AH25" s="102">
        <f>TT!R$7*$H$5*$H$6*$D26*$M26</f>
        <v>1057.8157433273436</v>
      </c>
      <c r="AI25" s="102">
        <f>TT!S$7*$H$5*$H$6*$D26*$M26</f>
        <v>1072.5986262901292</v>
      </c>
      <c r="AJ25" s="102">
        <f>TT!T$7*$H$5*$H$6*$D26*$M26</f>
        <v>1087.3815092529153</v>
      </c>
      <c r="AK25" s="102">
        <f>TT!U$7*$H$5*$H$6*$D26*$M26</f>
        <v>1102.1643922157009</v>
      </c>
      <c r="AL25" s="102">
        <f>TT!V$7*$H$5*$H$6*$D26*$M26</f>
        <v>1116.947275178487</v>
      </c>
      <c r="AM25" s="102">
        <f>TT!W$7*$H$5*$H$6*$D26*$M26</f>
        <v>1132.5565968353237</v>
      </c>
      <c r="AN25" s="102">
        <f>TT!X$7*$H$5*$H$6*$D26*$M26</f>
        <v>1148.1659184921605</v>
      </c>
      <c r="AO25" s="102">
        <f>TT!Y$7*$H$5*$H$6*$D26*$M26</f>
        <v>1163.7752401489975</v>
      </c>
      <c r="AP25" s="102">
        <f>TT!Z$7*$H$5*$H$6*$D26*$M26</f>
        <v>1179.384561805834</v>
      </c>
      <c r="AQ25" s="102">
        <f>TT!AA$7*$H$5*$H$6*$D26*$M26</f>
        <v>1194.9938834626712</v>
      </c>
      <c r="AR25" s="102">
        <f>TT!AB$7*$H$5*$H$6*$D26*$M26</f>
        <v>1210.6032051195079</v>
      </c>
    </row>
    <row r="26" spans="2:44" x14ac:dyDescent="0.25">
      <c r="B26" s="99">
        <v>21</v>
      </c>
      <c r="C26" s="99" t="s">
        <v>226</v>
      </c>
      <c r="D26" s="106">
        <v>2.5692800475114578E-4</v>
      </c>
      <c r="J26" s="99" t="s">
        <v>197</v>
      </c>
      <c r="K26" s="99">
        <v>21</v>
      </c>
      <c r="L26" s="99" t="s">
        <v>226</v>
      </c>
      <c r="M26" s="99">
        <v>5</v>
      </c>
      <c r="P26" s="99">
        <v>22</v>
      </c>
      <c r="Q26" s="99" t="s">
        <v>227</v>
      </c>
      <c r="R26" s="102">
        <f>TT!B$7*$H$5*$H$6*$D27*$M27</f>
        <v>24908.796263764314</v>
      </c>
      <c r="S26" s="102">
        <f>TT!C$7*$H$5*$H$6*$D27*$M27</f>
        <v>25261.828113386386</v>
      </c>
      <c r="T26" s="102">
        <f>TT!D$7*$H$5*$H$6*$D27*$M27</f>
        <v>25614.859963008461</v>
      </c>
      <c r="U26" s="102">
        <f>TT!E$7*$H$5*$H$6*$D27*$M27</f>
        <v>25967.89181263054</v>
      </c>
      <c r="V26" s="102">
        <f>TT!F$7*$H$5*$H$6*$D27*$M27</f>
        <v>26320.923662252619</v>
      </c>
      <c r="W26" s="102">
        <f>TT!G$7*$H$5*$H$6*$D27*$M27</f>
        <v>26673.95551187469</v>
      </c>
      <c r="X26" s="102">
        <f>TT!H$7*$H$5*$H$6*$D27*$M27</f>
        <v>27052.004926682945</v>
      </c>
      <c r="Y26" s="102">
        <f>TT!I$7*$H$5*$H$6*$D27*$M27</f>
        <v>27430.054341491203</v>
      </c>
      <c r="Z26" s="102">
        <f>TT!J$7*$H$5*$H$6*$D27*$M27</f>
        <v>27808.103756299457</v>
      </c>
      <c r="AA26" s="102">
        <f>TT!K$7*$H$5*$H$6*$D27*$M27</f>
        <v>28186.153171107715</v>
      </c>
      <c r="AB26" s="102">
        <f>TT!L$7*$H$5*$H$6*$D27*$M27</f>
        <v>28564.202585915958</v>
      </c>
      <c r="AC26" s="102">
        <f>TT!M$7*$H$5*$H$6*$D27*$M27</f>
        <v>28969.042433056835</v>
      </c>
      <c r="AD26" s="102">
        <f>TT!N$7*$H$5*$H$6*$D27*$M27</f>
        <v>29373.882280197711</v>
      </c>
      <c r="AE26" s="102">
        <f>TT!O$7*$H$5*$H$6*$D27*$M27</f>
        <v>29778.722127338588</v>
      </c>
      <c r="AF26" s="102">
        <f>TT!P$7*$H$5*$H$6*$D27*$M27</f>
        <v>30183.561974479464</v>
      </c>
      <c r="AG26" s="102">
        <f>TT!Q$7*$H$5*$H$6*$D27*$M27</f>
        <v>30588.40182162034</v>
      </c>
      <c r="AH26" s="102">
        <f>TT!R$7*$H$5*$H$6*$D27*$M27</f>
        <v>31021.930602285629</v>
      </c>
      <c r="AI26" s="102">
        <f>TT!S$7*$H$5*$H$6*$D27*$M27</f>
        <v>31455.459382950918</v>
      </c>
      <c r="AJ26" s="102">
        <f>TT!T$7*$H$5*$H$6*$D27*$M27</f>
        <v>31888.988163616214</v>
      </c>
      <c r="AK26" s="102">
        <f>TT!U$7*$H$5*$H$6*$D27*$M27</f>
        <v>32322.516944281502</v>
      </c>
      <c r="AL26" s="102">
        <f>TT!V$7*$H$5*$H$6*$D27*$M27</f>
        <v>32756.045724946805</v>
      </c>
      <c r="AM26" s="102">
        <f>TT!W$7*$H$5*$H$6*$D27*$M27</f>
        <v>33213.810979663096</v>
      </c>
      <c r="AN26" s="102">
        <f>TT!X$7*$H$5*$H$6*$D27*$M27</f>
        <v>33671.576234379383</v>
      </c>
      <c r="AO26" s="102">
        <f>TT!Y$7*$H$5*$H$6*$D27*$M27</f>
        <v>34129.341489095677</v>
      </c>
      <c r="AP26" s="102">
        <f>TT!Z$7*$H$5*$H$6*$D27*$M27</f>
        <v>34587.106743811972</v>
      </c>
      <c r="AQ26" s="102">
        <f>TT!AA$7*$H$5*$H$6*$D27*$M27</f>
        <v>35044.871998528273</v>
      </c>
      <c r="AR26" s="102">
        <f>TT!AB$7*$H$5*$H$6*$D27*$M27</f>
        <v>35502.637253244568</v>
      </c>
    </row>
    <row r="27" spans="2:44" x14ac:dyDescent="0.25">
      <c r="B27" s="99">
        <v>22</v>
      </c>
      <c r="C27" s="99" t="s">
        <v>227</v>
      </c>
      <c r="D27" s="106">
        <v>7.8487230875772376E-2</v>
      </c>
      <c r="J27" s="99" t="s">
        <v>197</v>
      </c>
      <c r="K27" s="99">
        <v>22</v>
      </c>
      <c r="L27" s="99" t="s">
        <v>227</v>
      </c>
      <c r="M27" s="99">
        <v>0.48</v>
      </c>
      <c r="P27" s="99">
        <v>23</v>
      </c>
      <c r="Q27" s="99" t="s">
        <v>228</v>
      </c>
      <c r="R27" s="102">
        <f>TT!B$7*$H$5*$H$6*$D28*$M28</f>
        <v>5634.7095588642087</v>
      </c>
      <c r="S27" s="102">
        <f>TT!C$7*$H$5*$H$6*$D28*$M28</f>
        <v>5714.5701798506516</v>
      </c>
      <c r="T27" s="102">
        <f>TT!D$7*$H$5*$H$6*$D28*$M28</f>
        <v>5794.4308008370945</v>
      </c>
      <c r="U27" s="102">
        <f>TT!E$7*$H$5*$H$6*$D28*$M28</f>
        <v>5874.2914218235392</v>
      </c>
      <c r="V27" s="102">
        <f>TT!F$7*$H$5*$H$6*$D28*$M28</f>
        <v>5954.152042809983</v>
      </c>
      <c r="W27" s="102">
        <f>TT!G$7*$H$5*$H$6*$D28*$M28</f>
        <v>6034.0126637964258</v>
      </c>
      <c r="X27" s="102">
        <f>TT!H$7*$H$5*$H$6*$D28*$M28</f>
        <v>6119.5325993559763</v>
      </c>
      <c r="Y27" s="102">
        <f>TT!I$7*$H$5*$H$6*$D28*$M28</f>
        <v>6205.0525349155268</v>
      </c>
      <c r="Z27" s="102">
        <f>TT!J$7*$H$5*$H$6*$D28*$M28</f>
        <v>6290.5724704750774</v>
      </c>
      <c r="AA27" s="102">
        <f>TT!K$7*$H$5*$H$6*$D28*$M28</f>
        <v>6376.0924060346288</v>
      </c>
      <c r="AB27" s="102">
        <f>TT!L$7*$H$5*$H$6*$D28*$M28</f>
        <v>6461.6123415941765</v>
      </c>
      <c r="AC27" s="102">
        <f>TT!M$7*$H$5*$H$6*$D28*$M28</f>
        <v>6553.1926384635317</v>
      </c>
      <c r="AD27" s="102">
        <f>TT!N$7*$H$5*$H$6*$D28*$M28</f>
        <v>6644.7729353328868</v>
      </c>
      <c r="AE27" s="102">
        <f>TT!O$7*$H$5*$H$6*$D28*$M28</f>
        <v>6736.353232202242</v>
      </c>
      <c r="AF27" s="102">
        <f>TT!P$7*$H$5*$H$6*$D28*$M28</f>
        <v>6827.9335290715971</v>
      </c>
      <c r="AG27" s="102">
        <f>TT!Q$7*$H$5*$H$6*$D28*$M28</f>
        <v>6919.5138259409532</v>
      </c>
      <c r="AH27" s="102">
        <f>TT!R$7*$H$5*$H$6*$D28*$M28</f>
        <v>7017.5839509919615</v>
      </c>
      <c r="AI27" s="102">
        <f>TT!S$7*$H$5*$H$6*$D28*$M28</f>
        <v>7115.6540760429689</v>
      </c>
      <c r="AJ27" s="102">
        <f>TT!T$7*$H$5*$H$6*$D28*$M28</f>
        <v>7213.724201093979</v>
      </c>
      <c r="AK27" s="102">
        <f>TT!U$7*$H$5*$H$6*$D28*$M28</f>
        <v>7311.7943261449873</v>
      </c>
      <c r="AL27" s="102">
        <f>TT!V$7*$H$5*$H$6*$D28*$M28</f>
        <v>7409.8644511959965</v>
      </c>
      <c r="AM27" s="102">
        <f>TT!W$7*$H$5*$H$6*$D28*$M28</f>
        <v>7513.4171973484918</v>
      </c>
      <c r="AN27" s="102">
        <f>TT!X$7*$H$5*$H$6*$D28*$M28</f>
        <v>7616.969943500987</v>
      </c>
      <c r="AO27" s="102">
        <f>TT!Y$7*$H$5*$H$6*$D28*$M28</f>
        <v>7720.5226896534823</v>
      </c>
      <c r="AP27" s="102">
        <f>TT!Z$7*$H$5*$H$6*$D28*$M28</f>
        <v>7824.0754358059758</v>
      </c>
      <c r="AQ27" s="102">
        <f>TT!AA$7*$H$5*$H$6*$D28*$M28</f>
        <v>7927.6281819584738</v>
      </c>
      <c r="AR27" s="102">
        <f>TT!AB$7*$H$5*$H$6*$D28*$M28</f>
        <v>8031.1809281109672</v>
      </c>
    </row>
    <row r="28" spans="2:44" x14ac:dyDescent="0.25">
      <c r="B28" s="99">
        <v>23</v>
      </c>
      <c r="C28" s="99" t="s">
        <v>228</v>
      </c>
      <c r="D28" s="106">
        <v>4.7878334743220261E-3</v>
      </c>
      <c r="J28" s="99" t="s">
        <v>197</v>
      </c>
      <c r="K28" s="99">
        <v>23</v>
      </c>
      <c r="L28" s="99" t="s">
        <v>228</v>
      </c>
      <c r="M28" s="99">
        <v>1.78</v>
      </c>
      <c r="P28" s="99">
        <v>24</v>
      </c>
      <c r="Q28" s="99" t="s">
        <v>229</v>
      </c>
      <c r="R28" s="102">
        <f>TT!B$7*$H$5*$H$6*$D29*$M29</f>
        <v>10753.360056205705</v>
      </c>
      <c r="S28" s="102">
        <f>TT!C$7*$H$5*$H$6*$D29*$M29</f>
        <v>10905.767203869322</v>
      </c>
      <c r="T28" s="102">
        <f>TT!D$7*$H$5*$H$6*$D29*$M29</f>
        <v>11058.174351532934</v>
      </c>
      <c r="U28" s="102">
        <f>TT!E$7*$H$5*$H$6*$D29*$M29</f>
        <v>11210.581499196554</v>
      </c>
      <c r="V28" s="102">
        <f>TT!F$7*$H$5*$H$6*$D29*$M29</f>
        <v>11362.988646860169</v>
      </c>
      <c r="W28" s="102">
        <f>TT!G$7*$H$5*$H$6*$D29*$M29</f>
        <v>11515.395794523783</v>
      </c>
      <c r="X28" s="102">
        <f>TT!H$7*$H$5*$H$6*$D29*$M29</f>
        <v>11678.60325880358</v>
      </c>
      <c r="Y28" s="102">
        <f>TT!I$7*$H$5*$H$6*$D29*$M29</f>
        <v>11841.810723083376</v>
      </c>
      <c r="Z28" s="102">
        <f>TT!J$7*$H$5*$H$6*$D29*$M29</f>
        <v>12005.018187363172</v>
      </c>
      <c r="AA28" s="102">
        <f>TT!K$7*$H$5*$H$6*$D29*$M29</f>
        <v>12168.22565164297</v>
      </c>
      <c r="AB28" s="102">
        <f>TT!L$7*$H$5*$H$6*$D29*$M29</f>
        <v>12331.433115922762</v>
      </c>
      <c r="AC28" s="102">
        <f>TT!M$7*$H$5*$H$6*$D29*$M29</f>
        <v>12506.206260128776</v>
      </c>
      <c r="AD28" s="102">
        <f>TT!N$7*$H$5*$H$6*$D29*$M29</f>
        <v>12680.97940433479</v>
      </c>
      <c r="AE28" s="102">
        <f>TT!O$7*$H$5*$H$6*$D29*$M29</f>
        <v>12855.752548540804</v>
      </c>
      <c r="AF28" s="102">
        <f>TT!P$7*$H$5*$H$6*$D29*$M29</f>
        <v>13030.52569274682</v>
      </c>
      <c r="AG28" s="102">
        <f>TT!Q$7*$H$5*$H$6*$D29*$M29</f>
        <v>13205.298836952836</v>
      </c>
      <c r="AH28" s="102">
        <f>TT!R$7*$H$5*$H$6*$D29*$M29</f>
        <v>13392.457261786214</v>
      </c>
      <c r="AI28" s="102">
        <f>TT!S$7*$H$5*$H$6*$D29*$M29</f>
        <v>13579.615686619594</v>
      </c>
      <c r="AJ28" s="102">
        <f>TT!T$7*$H$5*$H$6*$D29*$M29</f>
        <v>13766.774111452974</v>
      </c>
      <c r="AK28" s="102">
        <f>TT!U$7*$H$5*$H$6*$D29*$M29</f>
        <v>13953.932536286355</v>
      </c>
      <c r="AL28" s="102">
        <f>TT!V$7*$H$5*$H$6*$D29*$M29</f>
        <v>14141.090961119737</v>
      </c>
      <c r="AM28" s="102">
        <f>TT!W$7*$H$5*$H$6*$D29*$M29</f>
        <v>14338.712498228937</v>
      </c>
      <c r="AN28" s="102">
        <f>TT!X$7*$H$5*$H$6*$D29*$M29</f>
        <v>14536.334035338139</v>
      </c>
      <c r="AO28" s="102">
        <f>TT!Y$7*$H$5*$H$6*$D29*$M29</f>
        <v>14733.955572447338</v>
      </c>
      <c r="AP28" s="102">
        <f>TT!Z$7*$H$5*$H$6*$D29*$M29</f>
        <v>14931.577109556538</v>
      </c>
      <c r="AQ28" s="102">
        <f>TT!AA$7*$H$5*$H$6*$D29*$M29</f>
        <v>15129.198646665742</v>
      </c>
      <c r="AR28" s="102">
        <f>TT!AB$7*$H$5*$H$6*$D29*$M29</f>
        <v>15326.82018377494</v>
      </c>
    </row>
    <row r="29" spans="2:44" x14ac:dyDescent="0.25">
      <c r="B29" s="99">
        <v>24</v>
      </c>
      <c r="C29" s="99" t="s">
        <v>229</v>
      </c>
      <c r="D29" s="106">
        <v>1.022903270398769E-2</v>
      </c>
      <c r="J29" s="99" t="s">
        <v>197</v>
      </c>
      <c r="K29" s="99">
        <v>24</v>
      </c>
      <c r="L29" s="99" t="s">
        <v>229</v>
      </c>
      <c r="M29" s="99">
        <v>1.59</v>
      </c>
      <c r="P29" s="99">
        <v>25</v>
      </c>
      <c r="Q29" s="99" t="s">
        <v>230</v>
      </c>
      <c r="R29" s="102">
        <f>TT!B$7*$H$5*$H$6*$D30*$M30</f>
        <v>139.05631921643007</v>
      </c>
      <c r="S29" s="102">
        <f>TT!C$7*$H$5*$H$6*$D30*$M30</f>
        <v>141.02716152670374</v>
      </c>
      <c r="T29" s="102">
        <f>TT!D$7*$H$5*$H$6*$D30*$M30</f>
        <v>142.99800383697743</v>
      </c>
      <c r="U29" s="102">
        <f>TT!E$7*$H$5*$H$6*$D30*$M30</f>
        <v>144.96884614725116</v>
      </c>
      <c r="V29" s="102">
        <f>TT!F$7*$H$5*$H$6*$D30*$M30</f>
        <v>146.93968845752482</v>
      </c>
      <c r="W29" s="102">
        <f>TT!G$7*$H$5*$H$6*$D30*$M30</f>
        <v>148.91053076779852</v>
      </c>
      <c r="X29" s="102">
        <f>TT!H$7*$H$5*$H$6*$D30*$M30</f>
        <v>151.02103661274123</v>
      </c>
      <c r="Y29" s="102">
        <f>TT!I$7*$H$5*$H$6*$D30*$M30</f>
        <v>153.13154245768391</v>
      </c>
      <c r="Z29" s="102">
        <f>TT!J$7*$H$5*$H$6*$D30*$M30</f>
        <v>155.24204830262661</v>
      </c>
      <c r="AA29" s="102">
        <f>TT!K$7*$H$5*$H$6*$D30*$M30</f>
        <v>157.35255414756932</v>
      </c>
      <c r="AB29" s="102">
        <f>TT!L$7*$H$5*$H$6*$D30*$M30</f>
        <v>159.46305999251194</v>
      </c>
      <c r="AC29" s="102">
        <f>TT!M$7*$H$5*$H$6*$D30*$M30</f>
        <v>161.72312661393465</v>
      </c>
      <c r="AD29" s="102">
        <f>TT!N$7*$H$5*$H$6*$D30*$M30</f>
        <v>163.98319323535736</v>
      </c>
      <c r="AE29" s="102">
        <f>TT!O$7*$H$5*$H$6*$D30*$M30</f>
        <v>166.24325985678007</v>
      </c>
      <c r="AF29" s="102">
        <f>TT!P$7*$H$5*$H$6*$D30*$M30</f>
        <v>168.50332647820281</v>
      </c>
      <c r="AG29" s="102">
        <f>TT!Q$7*$H$5*$H$6*$D30*$M30</f>
        <v>170.76339309962552</v>
      </c>
      <c r="AH29" s="102">
        <f>TT!R$7*$H$5*$H$6*$D30*$M30</f>
        <v>173.18361910634749</v>
      </c>
      <c r="AI29" s="102">
        <f>TT!S$7*$H$5*$H$6*$D30*$M30</f>
        <v>175.60384511306953</v>
      </c>
      <c r="AJ29" s="102">
        <f>TT!T$7*$H$5*$H$6*$D30*$M30</f>
        <v>178.02407111979156</v>
      </c>
      <c r="AK29" s="102">
        <f>TT!U$7*$H$5*$H$6*$D30*$M30</f>
        <v>180.44429712651353</v>
      </c>
      <c r="AL29" s="102">
        <f>TT!V$7*$H$5*$H$6*$D30*$M30</f>
        <v>182.86452313323559</v>
      </c>
      <c r="AM29" s="102">
        <f>TT!W$7*$H$5*$H$6*$D30*$M30</f>
        <v>185.42005214041689</v>
      </c>
      <c r="AN29" s="102">
        <f>TT!X$7*$H$5*$H$6*$D30*$M30</f>
        <v>187.97558114759821</v>
      </c>
      <c r="AO29" s="102">
        <f>TT!Y$7*$H$5*$H$6*$D30*$M30</f>
        <v>190.5311101547795</v>
      </c>
      <c r="AP29" s="102">
        <f>TT!Z$7*$H$5*$H$6*$D30*$M30</f>
        <v>193.08663916196082</v>
      </c>
      <c r="AQ29" s="102">
        <f>TT!AA$7*$H$5*$H$6*$D30*$M30</f>
        <v>195.6421681691422</v>
      </c>
      <c r="AR29" s="102">
        <f>TT!AB$7*$H$5*$H$6*$D30*$M30</f>
        <v>198.19769717632349</v>
      </c>
    </row>
    <row r="30" spans="2:44" x14ac:dyDescent="0.25">
      <c r="B30" s="99">
        <v>25</v>
      </c>
      <c r="C30" s="99" t="s">
        <v>230</v>
      </c>
      <c r="D30" s="106">
        <v>2.3631333363511794E-4</v>
      </c>
      <c r="J30" s="99" t="s">
        <v>197</v>
      </c>
      <c r="K30" s="99">
        <v>25</v>
      </c>
      <c r="L30" s="99" t="s">
        <v>230</v>
      </c>
      <c r="M30" s="99">
        <v>0.89</v>
      </c>
      <c r="P30" s="99">
        <v>26</v>
      </c>
      <c r="Q30" s="99" t="s">
        <v>231</v>
      </c>
      <c r="R30" s="102">
        <f>TT!B$7*$H$5*$H$6*$D31*$M31</f>
        <v>8842.0549086699575</v>
      </c>
      <c r="S30" s="102">
        <f>TT!C$7*$H$5*$H$6*$D31*$M31</f>
        <v>8967.3731683647748</v>
      </c>
      <c r="T30" s="102">
        <f>TT!D$7*$H$5*$H$6*$D31*$M31</f>
        <v>9092.691428059592</v>
      </c>
      <c r="U30" s="102">
        <f>TT!E$7*$H$5*$H$6*$D31*$M31</f>
        <v>9218.0096877544092</v>
      </c>
      <c r="V30" s="102">
        <f>TT!F$7*$H$5*$H$6*$D31*$M31</f>
        <v>9343.3279474492265</v>
      </c>
      <c r="W30" s="102">
        <f>TT!G$7*$H$5*$H$6*$D31*$M31</f>
        <v>9468.6462071440419</v>
      </c>
      <c r="X30" s="102">
        <f>TT!H$7*$H$5*$H$6*$D31*$M31</f>
        <v>9602.8451322357359</v>
      </c>
      <c r="Y30" s="102">
        <f>TT!I$7*$H$5*$H$6*$D31*$M31</f>
        <v>9737.0440573274282</v>
      </c>
      <c r="Z30" s="102">
        <f>TT!J$7*$H$5*$H$6*$D31*$M31</f>
        <v>9871.2429824191204</v>
      </c>
      <c r="AA30" s="102">
        <f>TT!K$7*$H$5*$H$6*$D31*$M31</f>
        <v>10005.441907510814</v>
      </c>
      <c r="AB30" s="102">
        <f>TT!L$7*$H$5*$H$6*$D31*$M31</f>
        <v>10139.640832602501</v>
      </c>
      <c r="AC30" s="102">
        <f>TT!M$7*$H$5*$H$6*$D31*$M31</f>
        <v>10283.34975051776</v>
      </c>
      <c r="AD30" s="102">
        <f>TT!N$7*$H$5*$H$6*$D31*$M31</f>
        <v>10427.058668433019</v>
      </c>
      <c r="AE30" s="102">
        <f>TT!O$7*$H$5*$H$6*$D31*$M31</f>
        <v>10570.767586348275</v>
      </c>
      <c r="AF30" s="102">
        <f>TT!P$7*$H$5*$H$6*$D31*$M31</f>
        <v>10714.476504263534</v>
      </c>
      <c r="AG30" s="102">
        <f>TT!Q$7*$H$5*$H$6*$D31*$M31</f>
        <v>10858.185422178793</v>
      </c>
      <c r="AH30" s="102">
        <f>TT!R$7*$H$5*$H$6*$D31*$M31</f>
        <v>11012.078257566733</v>
      </c>
      <c r="AI30" s="102">
        <f>TT!S$7*$H$5*$H$6*$D31*$M31</f>
        <v>11165.971092954673</v>
      </c>
      <c r="AJ30" s="102">
        <f>TT!T$7*$H$5*$H$6*$D31*$M31</f>
        <v>11319.863928342615</v>
      </c>
      <c r="AK30" s="102">
        <f>TT!U$7*$H$5*$H$6*$D31*$M31</f>
        <v>11473.756763730555</v>
      </c>
      <c r="AL30" s="102">
        <f>TT!V$7*$H$5*$H$6*$D31*$M31</f>
        <v>11627.649599118497</v>
      </c>
      <c r="AM30" s="102">
        <f>TT!W$7*$H$5*$H$6*$D31*$M31</f>
        <v>11790.145830354324</v>
      </c>
      <c r="AN30" s="102">
        <f>TT!X$7*$H$5*$H$6*$D31*$M31</f>
        <v>11952.642061590152</v>
      </c>
      <c r="AO30" s="102">
        <f>TT!Y$7*$H$5*$H$6*$D31*$M31</f>
        <v>12115.138292825979</v>
      </c>
      <c r="AP30" s="102">
        <f>TT!Z$7*$H$5*$H$6*$D31*$M31</f>
        <v>12277.634524061803</v>
      </c>
      <c r="AQ30" s="102">
        <f>TT!AA$7*$H$5*$H$6*$D31*$M31</f>
        <v>12440.130755297636</v>
      </c>
      <c r="AR30" s="102">
        <f>TT!AB$7*$H$5*$H$6*$D31*$M31</f>
        <v>12602.626986533462</v>
      </c>
    </row>
    <row r="31" spans="2:44" x14ac:dyDescent="0.25">
      <c r="B31" s="99">
        <v>26</v>
      </c>
      <c r="C31" s="99" t="s">
        <v>231</v>
      </c>
      <c r="D31" s="106">
        <v>1.3508449911414297E-2</v>
      </c>
      <c r="J31" s="99" t="s">
        <v>197</v>
      </c>
      <c r="K31" s="99">
        <v>26</v>
      </c>
      <c r="L31" s="99" t="s">
        <v>231</v>
      </c>
      <c r="M31" s="99">
        <v>0.99</v>
      </c>
      <c r="P31" s="99">
        <v>27</v>
      </c>
      <c r="Q31" s="99" t="s">
        <v>232</v>
      </c>
      <c r="R31" s="102">
        <f>TT!B$7*$H$5*$H$6*$D32*$M32</f>
        <v>2725.4708644107031</v>
      </c>
      <c r="S31" s="102">
        <f>TT!C$7*$H$5*$H$6*$D32*$M32</f>
        <v>2764.0989060938614</v>
      </c>
      <c r="T31" s="102">
        <f>TT!D$7*$H$5*$H$6*$D32*$M32</f>
        <v>2802.7269477770196</v>
      </c>
      <c r="U31" s="102">
        <f>TT!E$7*$H$5*$H$6*$D32*$M32</f>
        <v>2841.3549894601783</v>
      </c>
      <c r="V31" s="102">
        <f>TT!F$7*$H$5*$H$6*$D32*$M32</f>
        <v>2879.9830311433366</v>
      </c>
      <c r="W31" s="102">
        <f>TT!G$7*$H$5*$H$6*$D32*$M32</f>
        <v>2918.6110728264948</v>
      </c>
      <c r="X31" s="102">
        <f>TT!H$7*$H$5*$H$6*$D32*$M32</f>
        <v>2959.9764866528676</v>
      </c>
      <c r="Y31" s="102">
        <f>TT!I$7*$H$5*$H$6*$D32*$M32</f>
        <v>3001.3419004792399</v>
      </c>
      <c r="Z31" s="102">
        <f>TT!J$7*$H$5*$H$6*$D32*$M32</f>
        <v>3042.7073143056127</v>
      </c>
      <c r="AA31" s="102">
        <f>TT!K$7*$H$5*$H$6*$D32*$M32</f>
        <v>3084.072728131986</v>
      </c>
      <c r="AB31" s="102">
        <f>TT!L$7*$H$5*$H$6*$D32*$M32</f>
        <v>3125.4381419583574</v>
      </c>
      <c r="AC31" s="102">
        <f>TT!M$7*$H$5*$H$6*$D32*$M32</f>
        <v>3169.7349115192396</v>
      </c>
      <c r="AD31" s="102">
        <f>TT!N$7*$H$5*$H$6*$D32*$M32</f>
        <v>3214.0316810801223</v>
      </c>
      <c r="AE31" s="102">
        <f>TT!O$7*$H$5*$H$6*$D32*$M32</f>
        <v>3258.3284506410046</v>
      </c>
      <c r="AF31" s="102">
        <f>TT!P$7*$H$5*$H$6*$D32*$M32</f>
        <v>3302.6252202018877</v>
      </c>
      <c r="AG31" s="102">
        <f>TT!Q$7*$H$5*$H$6*$D32*$M32</f>
        <v>3346.9219897627704</v>
      </c>
      <c r="AH31" s="102">
        <f>TT!R$7*$H$5*$H$6*$D32*$M32</f>
        <v>3394.3578452764154</v>
      </c>
      <c r="AI31" s="102">
        <f>TT!S$7*$H$5*$H$6*$D32*$M32</f>
        <v>3441.7937007900605</v>
      </c>
      <c r="AJ31" s="102">
        <f>TT!T$7*$H$5*$H$6*$D32*$M32</f>
        <v>3489.229556303706</v>
      </c>
      <c r="AK31" s="102">
        <f>TT!U$7*$H$5*$H$6*$D32*$M32</f>
        <v>3536.6654118173506</v>
      </c>
      <c r="AL31" s="102">
        <f>TT!V$7*$H$5*$H$6*$D32*$M32</f>
        <v>3584.101267330997</v>
      </c>
      <c r="AM31" s="102">
        <f>TT!W$7*$H$5*$H$6*$D32*$M32</f>
        <v>3634.1890295519179</v>
      </c>
      <c r="AN31" s="102">
        <f>TT!X$7*$H$5*$H$6*$D32*$M32</f>
        <v>3684.2767917728388</v>
      </c>
      <c r="AO31" s="102">
        <f>TT!Y$7*$H$5*$H$6*$D32*$M32</f>
        <v>3734.3645539937606</v>
      </c>
      <c r="AP31" s="102">
        <f>TT!Z$7*$H$5*$H$6*$D32*$M32</f>
        <v>3784.4523162146811</v>
      </c>
      <c r="AQ31" s="102">
        <f>TT!AA$7*$H$5*$H$6*$D32*$M32</f>
        <v>3834.5400784356038</v>
      </c>
      <c r="AR31" s="102">
        <f>TT!AB$7*$H$5*$H$6*$D32*$M32</f>
        <v>3884.6278406565252</v>
      </c>
    </row>
    <row r="32" spans="2:44" x14ac:dyDescent="0.25">
      <c r="B32" s="99">
        <v>27</v>
      </c>
      <c r="C32" s="99" t="s">
        <v>232</v>
      </c>
      <c r="D32" s="106">
        <v>3.3243547516826331E-3</v>
      </c>
      <c r="J32" s="99" t="s">
        <v>197</v>
      </c>
      <c r="K32" s="99">
        <v>27</v>
      </c>
      <c r="L32" s="99" t="s">
        <v>232</v>
      </c>
      <c r="M32" s="99">
        <v>1.24</v>
      </c>
      <c r="P32" s="99">
        <v>28</v>
      </c>
      <c r="Q32" s="99" t="s">
        <v>233</v>
      </c>
      <c r="R32" s="102">
        <f>TT!B$7*$H$5*$H$6*$D33*$M33</f>
        <v>14653.776957950538</v>
      </c>
      <c r="S32" s="102">
        <f>TT!C$7*$H$5*$H$6*$D33*$M33</f>
        <v>14861.464632964378</v>
      </c>
      <c r="T32" s="102">
        <f>TT!D$7*$H$5*$H$6*$D33*$M33</f>
        <v>15069.152307978216</v>
      </c>
      <c r="U32" s="102">
        <f>TT!E$7*$H$5*$H$6*$D33*$M33</f>
        <v>15276.83998299206</v>
      </c>
      <c r="V32" s="102">
        <f>TT!F$7*$H$5*$H$6*$D33*$M33</f>
        <v>15484.5276580059</v>
      </c>
      <c r="W32" s="102">
        <f>TT!G$7*$H$5*$H$6*$D33*$M33</f>
        <v>15692.215333019738</v>
      </c>
      <c r="X32" s="102">
        <f>TT!H$7*$H$5*$H$6*$D33*$M33</f>
        <v>15914.620773452158</v>
      </c>
      <c r="Y32" s="102">
        <f>TT!I$7*$H$5*$H$6*$D33*$M33</f>
        <v>16137.026213884576</v>
      </c>
      <c r="Z32" s="102">
        <f>TT!J$7*$H$5*$H$6*$D33*$M33</f>
        <v>16359.431654316995</v>
      </c>
      <c r="AA32" s="102">
        <f>TT!K$7*$H$5*$H$6*$D33*$M33</f>
        <v>16581.837094749419</v>
      </c>
      <c r="AB32" s="102">
        <f>TT!L$7*$H$5*$H$6*$D33*$M33</f>
        <v>16804.242535181827</v>
      </c>
      <c r="AC32" s="102">
        <f>TT!M$7*$H$5*$H$6*$D33*$M33</f>
        <v>17042.408713943478</v>
      </c>
      <c r="AD32" s="102">
        <f>TT!N$7*$H$5*$H$6*$D33*$M33</f>
        <v>17280.574892705128</v>
      </c>
      <c r="AE32" s="102">
        <f>TT!O$7*$H$5*$H$6*$D33*$M33</f>
        <v>17518.741071466775</v>
      </c>
      <c r="AF32" s="102">
        <f>TT!P$7*$H$5*$H$6*$D33*$M33</f>
        <v>17756.907250228425</v>
      </c>
      <c r="AG32" s="102">
        <f>TT!Q$7*$H$5*$H$6*$D33*$M33</f>
        <v>17995.073428990079</v>
      </c>
      <c r="AH32" s="102">
        <f>TT!R$7*$H$5*$H$6*$D33*$M33</f>
        <v>18250.117229158095</v>
      </c>
      <c r="AI32" s="102">
        <f>TT!S$7*$H$5*$H$6*$D33*$M33</f>
        <v>18505.161029326115</v>
      </c>
      <c r="AJ32" s="102">
        <f>TT!T$7*$H$5*$H$6*$D33*$M33</f>
        <v>18760.204829494138</v>
      </c>
      <c r="AK32" s="102">
        <f>TT!U$7*$H$5*$H$6*$D33*$M33</f>
        <v>19015.248629662154</v>
      </c>
      <c r="AL32" s="102">
        <f>TT!V$7*$H$5*$H$6*$D33*$M33</f>
        <v>19270.292429830177</v>
      </c>
      <c r="AM32" s="102">
        <f>TT!W$7*$H$5*$H$6*$D33*$M33</f>
        <v>19539.594481630662</v>
      </c>
      <c r="AN32" s="102">
        <f>TT!X$7*$H$5*$H$6*$D33*$M33</f>
        <v>19808.896533431147</v>
      </c>
      <c r="AO32" s="102">
        <f>TT!Y$7*$H$5*$H$6*$D33*$M33</f>
        <v>20078.198585231632</v>
      </c>
      <c r="AP32" s="102">
        <f>TT!Z$7*$H$5*$H$6*$D33*$M33</f>
        <v>20347.500637032117</v>
      </c>
      <c r="AQ32" s="102">
        <f>TT!AA$7*$H$5*$H$6*$D33*$M33</f>
        <v>20616.802688832606</v>
      </c>
      <c r="AR32" s="102">
        <f>TT!AB$7*$H$5*$H$6*$D33*$M33</f>
        <v>20886.104740633091</v>
      </c>
    </row>
    <row r="33" spans="2:44" x14ac:dyDescent="0.25">
      <c r="B33" s="99">
        <v>28</v>
      </c>
      <c r="C33" s="99" t="s">
        <v>233</v>
      </c>
      <c r="D33" s="106">
        <v>1.7315184008518471E-2</v>
      </c>
      <c r="J33" s="99" t="s">
        <v>197</v>
      </c>
      <c r="K33" s="99">
        <v>28</v>
      </c>
      <c r="L33" s="99" t="s">
        <v>233</v>
      </c>
      <c r="M33" s="99">
        <v>1.28</v>
      </c>
      <c r="P33" s="99">
        <v>29</v>
      </c>
      <c r="Q33" s="99" t="s">
        <v>234</v>
      </c>
      <c r="R33" s="102">
        <f>TT!B$7*$H$5*$H$6*$D34*$M34</f>
        <v>2256.2457723691832</v>
      </c>
      <c r="S33" s="102">
        <f>TT!C$7*$H$5*$H$6*$D34*$M34</f>
        <v>2288.2234966151441</v>
      </c>
      <c r="T33" s="102">
        <f>TT!D$7*$H$5*$H$6*$D34*$M34</f>
        <v>2320.2012208611054</v>
      </c>
      <c r="U33" s="102">
        <f>TT!E$7*$H$5*$H$6*$D34*$M34</f>
        <v>2352.1789451070667</v>
      </c>
      <c r="V33" s="102">
        <f>TT!F$7*$H$5*$H$6*$D34*$M34</f>
        <v>2384.1566693530276</v>
      </c>
      <c r="W33" s="102">
        <f>TT!G$7*$H$5*$H$6*$D34*$M34</f>
        <v>2416.1343935989889</v>
      </c>
      <c r="X33" s="102">
        <f>TT!H$7*$H$5*$H$6*$D34*$M34</f>
        <v>2450.3782159369075</v>
      </c>
      <c r="Y33" s="102">
        <f>TT!I$7*$H$5*$H$6*$D34*$M34</f>
        <v>2484.622038274827</v>
      </c>
      <c r="Z33" s="102">
        <f>TT!J$7*$H$5*$H$6*$D34*$M34</f>
        <v>2518.8658606127465</v>
      </c>
      <c r="AA33" s="102">
        <f>TT!K$7*$H$5*$H$6*$D34*$M34</f>
        <v>2553.1096829506655</v>
      </c>
      <c r="AB33" s="102">
        <f>TT!L$7*$H$5*$H$6*$D34*$M34</f>
        <v>2587.3535052885841</v>
      </c>
      <c r="AC33" s="102">
        <f>TT!M$7*$H$5*$H$6*$D34*$M34</f>
        <v>2624.0240125232899</v>
      </c>
      <c r="AD33" s="102">
        <f>TT!N$7*$H$5*$H$6*$D34*$M34</f>
        <v>2660.6945197579962</v>
      </c>
      <c r="AE33" s="102">
        <f>TT!O$7*$H$5*$H$6*$D34*$M34</f>
        <v>2697.365026992702</v>
      </c>
      <c r="AF33" s="102">
        <f>TT!P$7*$H$5*$H$6*$D34*$M34</f>
        <v>2734.0355342274079</v>
      </c>
      <c r="AG33" s="102">
        <f>TT!Q$7*$H$5*$H$6*$D34*$M34</f>
        <v>2770.7060414621146</v>
      </c>
      <c r="AH33" s="102">
        <f>TT!R$7*$H$5*$H$6*$D34*$M34</f>
        <v>2809.9752003656049</v>
      </c>
      <c r="AI33" s="102">
        <f>TT!S$7*$H$5*$H$6*$D34*$M34</f>
        <v>2849.2443592690947</v>
      </c>
      <c r="AJ33" s="102">
        <f>TT!T$7*$H$5*$H$6*$D34*$M34</f>
        <v>2888.5135181725859</v>
      </c>
      <c r="AK33" s="102">
        <f>TT!U$7*$H$5*$H$6*$D34*$M34</f>
        <v>2927.7826770760757</v>
      </c>
      <c r="AL33" s="102">
        <f>TT!V$7*$H$5*$H$6*$D34*$M34</f>
        <v>2967.0518359795669</v>
      </c>
      <c r="AM33" s="102">
        <f>TT!W$7*$H$5*$H$6*$D34*$M34</f>
        <v>3008.5163415202715</v>
      </c>
      <c r="AN33" s="102">
        <f>TT!X$7*$H$5*$H$6*$D34*$M34</f>
        <v>3049.980847060976</v>
      </c>
      <c r="AO33" s="102">
        <f>TT!Y$7*$H$5*$H$6*$D34*$M34</f>
        <v>3091.4453526016805</v>
      </c>
      <c r="AP33" s="102">
        <f>TT!Z$7*$H$5*$H$6*$D34*$M34</f>
        <v>3132.909858142385</v>
      </c>
      <c r="AQ33" s="102">
        <f>TT!AA$7*$H$5*$H$6*$D34*$M34</f>
        <v>3174.3743636830909</v>
      </c>
      <c r="AR33" s="102">
        <f>TT!AB$7*$H$5*$H$6*$D34*$M34</f>
        <v>3215.838869223795</v>
      </c>
    </row>
    <row r="34" spans="2:44" x14ac:dyDescent="0.25">
      <c r="B34" s="99">
        <v>29</v>
      </c>
      <c r="C34" s="99" t="s">
        <v>234</v>
      </c>
      <c r="D34" s="106">
        <v>3.3131163266970792E-3</v>
      </c>
      <c r="J34" s="99" t="s">
        <v>197</v>
      </c>
      <c r="K34" s="99">
        <v>29</v>
      </c>
      <c r="L34" s="99" t="s">
        <v>234</v>
      </c>
      <c r="M34" s="99">
        <v>1.03</v>
      </c>
      <c r="P34" s="99">
        <v>30</v>
      </c>
      <c r="Q34" s="99" t="s">
        <v>235</v>
      </c>
      <c r="R34" s="102">
        <f>TT!B$7*$H$5*$H$6*$D35*$M35</f>
        <v>2129.6698380345965</v>
      </c>
      <c r="S34" s="102">
        <f>TT!C$7*$H$5*$H$6*$D35*$M35</f>
        <v>2159.8536042047594</v>
      </c>
      <c r="T34" s="102">
        <f>TT!D$7*$H$5*$H$6*$D35*$M35</f>
        <v>2190.0373703749228</v>
      </c>
      <c r="U34" s="102">
        <f>TT!E$7*$H$5*$H$6*$D35*$M35</f>
        <v>2220.2211365450862</v>
      </c>
      <c r="V34" s="102">
        <f>TT!F$7*$H$5*$H$6*$D35*$M35</f>
        <v>2250.4049027152496</v>
      </c>
      <c r="W34" s="102">
        <f>TT!G$7*$H$5*$H$6*$D35*$M35</f>
        <v>2280.5886688854125</v>
      </c>
      <c r="X34" s="102">
        <f>TT!H$7*$H$5*$H$6*$D35*$M35</f>
        <v>2312.9114044956841</v>
      </c>
      <c r="Y34" s="102">
        <f>TT!I$7*$H$5*$H$6*$D35*$M35</f>
        <v>2345.2341401059557</v>
      </c>
      <c r="Z34" s="102">
        <f>TT!J$7*$H$5*$H$6*$D35*$M35</f>
        <v>2377.5568757162273</v>
      </c>
      <c r="AA34" s="102">
        <f>TT!K$7*$H$5*$H$6*$D35*$M35</f>
        <v>2409.8796113264989</v>
      </c>
      <c r="AB34" s="102">
        <f>TT!L$7*$H$5*$H$6*$D35*$M35</f>
        <v>2442.2023469367691</v>
      </c>
      <c r="AC34" s="102">
        <f>TT!M$7*$H$5*$H$6*$D35*$M35</f>
        <v>2476.8156298333297</v>
      </c>
      <c r="AD34" s="102">
        <f>TT!N$7*$H$5*$H$6*$D35*$M35</f>
        <v>2511.4289127298898</v>
      </c>
      <c r="AE34" s="102">
        <f>TT!O$7*$H$5*$H$6*$D35*$M35</f>
        <v>2546.0421956264504</v>
      </c>
      <c r="AF34" s="102">
        <f>TT!P$7*$H$5*$H$6*$D35*$M35</f>
        <v>2580.655478523011</v>
      </c>
      <c r="AG34" s="102">
        <f>TT!Q$7*$H$5*$H$6*$D35*$M35</f>
        <v>2615.2687614195715</v>
      </c>
      <c r="AH34" s="102">
        <f>TT!R$7*$H$5*$H$6*$D35*$M35</f>
        <v>2652.3349109968553</v>
      </c>
      <c r="AI34" s="102">
        <f>TT!S$7*$H$5*$H$6*$D35*$M35</f>
        <v>2689.4010605741396</v>
      </c>
      <c r="AJ34" s="102">
        <f>TT!T$7*$H$5*$H$6*$D35*$M35</f>
        <v>2726.4672101514243</v>
      </c>
      <c r="AK34" s="102">
        <f>TT!U$7*$H$5*$H$6*$D35*$M35</f>
        <v>2763.5333597287081</v>
      </c>
      <c r="AL34" s="102">
        <f>TT!V$7*$H$5*$H$6*$D35*$M35</f>
        <v>2800.5995093059928</v>
      </c>
      <c r="AM34" s="102">
        <f>TT!W$7*$H$5*$H$6*$D35*$M35</f>
        <v>2839.7378460423897</v>
      </c>
      <c r="AN34" s="102">
        <f>TT!X$7*$H$5*$H$6*$D35*$M35</f>
        <v>2878.8761827787866</v>
      </c>
      <c r="AO34" s="102">
        <f>TT!Y$7*$H$5*$H$6*$D35*$M35</f>
        <v>2918.0145195151836</v>
      </c>
      <c r="AP34" s="102">
        <f>TT!Z$7*$H$5*$H$6*$D35*$M35</f>
        <v>2957.15285625158</v>
      </c>
      <c r="AQ34" s="102">
        <f>TT!AA$7*$H$5*$H$6*$D35*$M35</f>
        <v>2996.2911929879779</v>
      </c>
      <c r="AR34" s="102">
        <f>TT!AB$7*$H$5*$H$6*$D35*$M35</f>
        <v>3035.4295297243748</v>
      </c>
    </row>
    <row r="35" spans="2:44" x14ac:dyDescent="0.25">
      <c r="B35" s="99">
        <v>30</v>
      </c>
      <c r="C35" s="99" t="s">
        <v>235</v>
      </c>
      <c r="D35" s="106">
        <v>1.6268016107167317E-3</v>
      </c>
      <c r="J35" s="99" t="s">
        <v>197</v>
      </c>
      <c r="K35" s="99">
        <v>30</v>
      </c>
      <c r="L35" s="99" t="s">
        <v>235</v>
      </c>
      <c r="M35" s="99">
        <v>1.98</v>
      </c>
      <c r="P35" s="99">
        <v>31</v>
      </c>
      <c r="Q35" s="99" t="s">
        <v>236</v>
      </c>
      <c r="R35" s="102">
        <f>TT!B$7*$H$5*$H$6*$D36*$M36</f>
        <v>27589.693066933982</v>
      </c>
      <c r="S35" s="102">
        <f>TT!C$7*$H$5*$H$6*$D36*$M36</f>
        <v>27980.721210999465</v>
      </c>
      <c r="T35" s="102">
        <f>TT!D$7*$H$5*$H$6*$D36*$M36</f>
        <v>28371.749355064949</v>
      </c>
      <c r="U35" s="102">
        <f>TT!E$7*$H$5*$H$6*$D36*$M36</f>
        <v>28762.777499130443</v>
      </c>
      <c r="V35" s="102">
        <f>TT!F$7*$H$5*$H$6*$D36*$M36</f>
        <v>29153.805643195927</v>
      </c>
      <c r="W35" s="102">
        <f>TT!G$7*$H$5*$H$6*$D36*$M36</f>
        <v>29544.83378726141</v>
      </c>
      <c r="X35" s="102">
        <f>TT!H$7*$H$5*$H$6*$D36*$M36</f>
        <v>29963.572099954061</v>
      </c>
      <c r="Y35" s="102">
        <f>TT!I$7*$H$5*$H$6*$D36*$M36</f>
        <v>30382.310412646719</v>
      </c>
      <c r="Z35" s="102">
        <f>TT!J$7*$H$5*$H$6*$D36*$M36</f>
        <v>30801.048725339369</v>
      </c>
      <c r="AA35" s="102">
        <f>TT!K$7*$H$5*$H$6*$D36*$M36</f>
        <v>31219.787038032031</v>
      </c>
      <c r="AB35" s="102">
        <f>TT!L$7*$H$5*$H$6*$D36*$M36</f>
        <v>31638.525350724674</v>
      </c>
      <c r="AC35" s="102">
        <f>TT!M$7*$H$5*$H$6*$D36*$M36</f>
        <v>32086.937510252825</v>
      </c>
      <c r="AD35" s="102">
        <f>TT!N$7*$H$5*$H$6*$D36*$M36</f>
        <v>32535.349669780971</v>
      </c>
      <c r="AE35" s="102">
        <f>TT!O$7*$H$5*$H$6*$D36*$M36</f>
        <v>32983.761829309122</v>
      </c>
      <c r="AF35" s="102">
        <f>TT!P$7*$H$5*$H$6*$D36*$M36</f>
        <v>33432.173988837269</v>
      </c>
      <c r="AG35" s="102">
        <f>TT!Q$7*$H$5*$H$6*$D36*$M36</f>
        <v>33880.586148365423</v>
      </c>
      <c r="AH35" s="102">
        <f>TT!R$7*$H$5*$H$6*$D36*$M36</f>
        <v>34360.774988788733</v>
      </c>
      <c r="AI35" s="102">
        <f>TT!S$7*$H$5*$H$6*$D36*$M36</f>
        <v>34840.963829212043</v>
      </c>
      <c r="AJ35" s="102">
        <f>TT!T$7*$H$5*$H$6*$D36*$M36</f>
        <v>35321.152669635361</v>
      </c>
      <c r="AK35" s="102">
        <f>TT!U$7*$H$5*$H$6*$D36*$M36</f>
        <v>35801.341510058672</v>
      </c>
      <c r="AL35" s="102">
        <f>TT!V$7*$H$5*$H$6*$D36*$M36</f>
        <v>36281.530350481989</v>
      </c>
      <c r="AM35" s="102">
        <f>TT!W$7*$H$5*$H$6*$D36*$M36</f>
        <v>36788.564200716741</v>
      </c>
      <c r="AN35" s="102">
        <f>TT!X$7*$H$5*$H$6*$D36*$M36</f>
        <v>37295.598050951485</v>
      </c>
      <c r="AO35" s="102">
        <f>TT!Y$7*$H$5*$H$6*$D36*$M36</f>
        <v>37802.631901186236</v>
      </c>
      <c r="AP35" s="102">
        <f>TT!Z$7*$H$5*$H$6*$D36*$M36</f>
        <v>38309.665751420987</v>
      </c>
      <c r="AQ35" s="102">
        <f>TT!AA$7*$H$5*$H$6*$D36*$M36</f>
        <v>38816.699601655746</v>
      </c>
      <c r="AR35" s="102">
        <f>TT!AB$7*$H$5*$H$6*$D36*$M36</f>
        <v>39323.73345189049</v>
      </c>
    </row>
    <row r="36" spans="2:44" x14ac:dyDescent="0.25">
      <c r="B36" s="99">
        <v>31</v>
      </c>
      <c r="C36" s="99" t="s">
        <v>236</v>
      </c>
      <c r="D36" s="106">
        <v>6.4197928719997258E-2</v>
      </c>
      <c r="J36" s="99" t="s">
        <v>197</v>
      </c>
      <c r="K36" s="99">
        <v>31</v>
      </c>
      <c r="L36" s="99" t="s">
        <v>236</v>
      </c>
      <c r="M36" s="99">
        <v>0.65</v>
      </c>
      <c r="P36" s="99">
        <v>32</v>
      </c>
      <c r="Q36" s="99" t="s">
        <v>237</v>
      </c>
      <c r="R36" s="102">
        <f>TT!B$7*$H$5*$H$6*$D37*$M37</f>
        <v>36646.29936000087</v>
      </c>
      <c r="S36" s="102">
        <f>TT!C$7*$H$5*$H$6*$D37*$M37</f>
        <v>37165.686596054729</v>
      </c>
      <c r="T36" s="102">
        <f>TT!D$7*$H$5*$H$6*$D37*$M37</f>
        <v>37685.073832108596</v>
      </c>
      <c r="U36" s="102">
        <f>TT!E$7*$H$5*$H$6*$D37*$M37</f>
        <v>38204.461068162469</v>
      </c>
      <c r="V36" s="102">
        <f>TT!F$7*$H$5*$H$6*$D37*$M37</f>
        <v>38723.848304216335</v>
      </c>
      <c r="W36" s="102">
        <f>TT!G$7*$H$5*$H$6*$D37*$M37</f>
        <v>39243.235540270194</v>
      </c>
      <c r="X36" s="102">
        <f>TT!H$7*$H$5*$H$6*$D37*$M37</f>
        <v>39799.42909861129</v>
      </c>
      <c r="Y36" s="102">
        <f>TT!I$7*$H$5*$H$6*$D37*$M37</f>
        <v>40355.622656952386</v>
      </c>
      <c r="Z36" s="102">
        <f>TT!J$7*$H$5*$H$6*$D37*$M37</f>
        <v>40911.816215293482</v>
      </c>
      <c r="AA36" s="102">
        <f>TT!K$7*$H$5*$H$6*$D37*$M37</f>
        <v>41468.009773634585</v>
      </c>
      <c r="AB36" s="102">
        <f>TT!L$7*$H$5*$H$6*$D37*$M37</f>
        <v>42024.203331975667</v>
      </c>
      <c r="AC36" s="102">
        <f>TT!M$7*$H$5*$H$6*$D37*$M37</f>
        <v>42619.811488792293</v>
      </c>
      <c r="AD36" s="102">
        <f>TT!N$7*$H$5*$H$6*$D37*$M37</f>
        <v>43215.419645608919</v>
      </c>
      <c r="AE36" s="102">
        <f>TT!O$7*$H$5*$H$6*$D37*$M37</f>
        <v>43811.027802425546</v>
      </c>
      <c r="AF36" s="102">
        <f>TT!P$7*$H$5*$H$6*$D37*$M37</f>
        <v>44406.635959242172</v>
      </c>
      <c r="AG36" s="102">
        <f>TT!Q$7*$H$5*$H$6*$D37*$M37</f>
        <v>45002.244116058806</v>
      </c>
      <c r="AH36" s="102">
        <f>TT!R$7*$H$5*$H$6*$D37*$M37</f>
        <v>45640.059982759194</v>
      </c>
      <c r="AI36" s="102">
        <f>TT!S$7*$H$5*$H$6*$D37*$M37</f>
        <v>46277.875849459582</v>
      </c>
      <c r="AJ36" s="102">
        <f>TT!T$7*$H$5*$H$6*$D37*$M37</f>
        <v>46915.691716159992</v>
      </c>
      <c r="AK36" s="102">
        <f>TT!U$7*$H$5*$H$6*$D37*$M37</f>
        <v>47553.50758286038</v>
      </c>
      <c r="AL36" s="102">
        <f>TT!V$7*$H$5*$H$6*$D37*$M37</f>
        <v>48191.323449560783</v>
      </c>
      <c r="AM36" s="102">
        <f>TT!W$7*$H$5*$H$6*$D37*$M37</f>
        <v>48864.796482271886</v>
      </c>
      <c r="AN36" s="102">
        <f>TT!X$7*$H$5*$H$6*$D37*$M37</f>
        <v>49538.269514982981</v>
      </c>
      <c r="AO36" s="102">
        <f>TT!Y$7*$H$5*$H$6*$D37*$M37</f>
        <v>50211.742547694084</v>
      </c>
      <c r="AP36" s="102">
        <f>TT!Z$7*$H$5*$H$6*$D37*$M37</f>
        <v>50885.21558040518</v>
      </c>
      <c r="AQ36" s="102">
        <f>TT!AA$7*$H$5*$H$6*$D37*$M37</f>
        <v>51558.688613116305</v>
      </c>
      <c r="AR36" s="102">
        <f>TT!AB$7*$H$5*$H$6*$D37*$M37</f>
        <v>52232.1616458274</v>
      </c>
    </row>
    <row r="37" spans="2:44" x14ac:dyDescent="0.25">
      <c r="B37" s="99">
        <v>32</v>
      </c>
      <c r="C37" s="99" t="s">
        <v>237</v>
      </c>
      <c r="D37" s="106">
        <v>5.2787163963466638E-2</v>
      </c>
      <c r="J37" s="99" t="s">
        <v>197</v>
      </c>
      <c r="K37" s="99">
        <v>32</v>
      </c>
      <c r="L37" s="99" t="s">
        <v>237</v>
      </c>
      <c r="M37" s="99">
        <v>1.05</v>
      </c>
      <c r="P37" s="99">
        <v>33</v>
      </c>
      <c r="Q37" s="99" t="s">
        <v>238</v>
      </c>
      <c r="R37" s="102">
        <f>TT!B$7*$H$5*$H$6*$D38*$M38</f>
        <v>21976.512619648067</v>
      </c>
      <c r="S37" s="102">
        <f>TT!C$7*$H$5*$H$6*$D38*$M38</f>
        <v>22287.985274376209</v>
      </c>
      <c r="T37" s="102">
        <f>TT!D$7*$H$5*$H$6*$D38*$M38</f>
        <v>22599.457929104356</v>
      </c>
      <c r="U37" s="102">
        <f>TT!E$7*$H$5*$H$6*$D38*$M38</f>
        <v>22910.930583832509</v>
      </c>
      <c r="V37" s="102">
        <f>TT!F$7*$H$5*$H$6*$D38*$M38</f>
        <v>23222.403238560655</v>
      </c>
      <c r="W37" s="102">
        <f>TT!G$7*$H$5*$H$6*$D38*$M38</f>
        <v>23533.875893288805</v>
      </c>
      <c r="X37" s="102">
        <f>TT!H$7*$H$5*$H$6*$D38*$M38</f>
        <v>23867.421025193489</v>
      </c>
      <c r="Y37" s="102">
        <f>TT!I$7*$H$5*$H$6*$D38*$M38</f>
        <v>24200.966157098177</v>
      </c>
      <c r="Z37" s="102">
        <f>TT!J$7*$H$5*$H$6*$D38*$M38</f>
        <v>24534.511289002858</v>
      </c>
      <c r="AA37" s="102">
        <f>TT!K$7*$H$5*$H$6*$D38*$M38</f>
        <v>24868.056420907549</v>
      </c>
      <c r="AB37" s="102">
        <f>TT!L$7*$H$5*$H$6*$D38*$M38</f>
        <v>25201.601552812219</v>
      </c>
      <c r="AC37" s="102">
        <f>TT!M$7*$H$5*$H$6*$D38*$M38</f>
        <v>25558.783325685388</v>
      </c>
      <c r="AD37" s="102">
        <f>TT!N$7*$H$5*$H$6*$D38*$M38</f>
        <v>25915.965098558558</v>
      </c>
      <c r="AE37" s="102">
        <f>TT!O$7*$H$5*$H$6*$D38*$M38</f>
        <v>26273.146871431723</v>
      </c>
      <c r="AF37" s="102">
        <f>TT!P$7*$H$5*$H$6*$D38*$M38</f>
        <v>26630.328644304889</v>
      </c>
      <c r="AG37" s="102">
        <f>TT!Q$7*$H$5*$H$6*$D38*$M38</f>
        <v>26987.510417178059</v>
      </c>
      <c r="AH37" s="102">
        <f>TT!R$7*$H$5*$H$6*$D38*$M38</f>
        <v>27370.003839115561</v>
      </c>
      <c r="AI37" s="102">
        <f>TT!S$7*$H$5*$H$6*$D38*$M38</f>
        <v>27752.497261053071</v>
      </c>
      <c r="AJ37" s="102">
        <f>TT!T$7*$H$5*$H$6*$D38*$M38</f>
        <v>28134.990682990581</v>
      </c>
      <c r="AK37" s="102">
        <f>TT!U$7*$H$5*$H$6*$D38*$M38</f>
        <v>28517.484104928088</v>
      </c>
      <c r="AL37" s="102">
        <f>TT!V$7*$H$5*$H$6*$D38*$M38</f>
        <v>28899.977526865598</v>
      </c>
      <c r="AM37" s="102">
        <f>TT!W$7*$H$5*$H$6*$D38*$M38</f>
        <v>29303.854285524696</v>
      </c>
      <c r="AN37" s="102">
        <f>TT!X$7*$H$5*$H$6*$D38*$M38</f>
        <v>29707.731044183798</v>
      </c>
      <c r="AO37" s="102">
        <f>TT!Y$7*$H$5*$H$6*$D38*$M38</f>
        <v>30111.607802842896</v>
      </c>
      <c r="AP37" s="102">
        <f>TT!Z$7*$H$5*$H$6*$D38*$M38</f>
        <v>30515.484561501991</v>
      </c>
      <c r="AQ37" s="102">
        <f>TT!AA$7*$H$5*$H$6*$D38*$M38</f>
        <v>30919.361320161101</v>
      </c>
      <c r="AR37" s="102">
        <f>TT!AB$7*$H$5*$H$6*$D38*$M38</f>
        <v>31323.238078820203</v>
      </c>
    </row>
    <row r="38" spans="2:44" x14ac:dyDescent="0.25">
      <c r="B38" s="99">
        <v>33</v>
      </c>
      <c r="C38" s="99" t="s">
        <v>238</v>
      </c>
      <c r="D38" s="106">
        <v>2.4621386869763989E-2</v>
      </c>
      <c r="J38" s="99" t="s">
        <v>197</v>
      </c>
      <c r="K38" s="99">
        <v>33</v>
      </c>
      <c r="L38" s="99" t="s">
        <v>238</v>
      </c>
      <c r="M38" s="99">
        <v>1.35</v>
      </c>
      <c r="P38" s="99">
        <v>34</v>
      </c>
      <c r="Q38" s="99" t="s">
        <v>239</v>
      </c>
      <c r="R38" s="102">
        <f>TT!B$7*$H$5*$H$6*$D39*$M39</f>
        <v>44806.421582710609</v>
      </c>
      <c r="S38" s="102">
        <f>TT!C$7*$H$5*$H$6*$D39*$M39</f>
        <v>45441.462060732498</v>
      </c>
      <c r="T38" s="102">
        <f>TT!D$7*$H$5*$H$6*$D39*$M39</f>
        <v>46076.502538754394</v>
      </c>
      <c r="U38" s="102">
        <f>TT!E$7*$H$5*$H$6*$D39*$M39</f>
        <v>46711.543016776297</v>
      </c>
      <c r="V38" s="102">
        <f>TT!F$7*$H$5*$H$6*$D39*$M39</f>
        <v>47346.583494798186</v>
      </c>
      <c r="W38" s="102">
        <f>TT!G$7*$H$5*$H$6*$D39*$M39</f>
        <v>47981.623972820074</v>
      </c>
      <c r="X38" s="102">
        <f>TT!H$7*$H$5*$H$6*$D39*$M39</f>
        <v>48661.666528053363</v>
      </c>
      <c r="Y38" s="102">
        <f>TT!I$7*$H$5*$H$6*$D39*$M39</f>
        <v>49341.709083286652</v>
      </c>
      <c r="Z38" s="102">
        <f>TT!J$7*$H$5*$H$6*$D39*$M39</f>
        <v>50021.751638519949</v>
      </c>
      <c r="AA38" s="102">
        <f>TT!K$7*$H$5*$H$6*$D39*$M39</f>
        <v>50701.794193753245</v>
      </c>
      <c r="AB38" s="102">
        <f>TT!L$7*$H$5*$H$6*$D39*$M39</f>
        <v>51381.836748986512</v>
      </c>
      <c r="AC38" s="102">
        <f>TT!M$7*$H$5*$H$6*$D39*$M39</f>
        <v>52110.070448937011</v>
      </c>
      <c r="AD38" s="102">
        <f>TT!N$7*$H$5*$H$6*$D39*$M39</f>
        <v>52838.30414888751</v>
      </c>
      <c r="AE38" s="102">
        <f>TT!O$7*$H$5*$H$6*$D39*$M39</f>
        <v>53566.537848838008</v>
      </c>
      <c r="AF38" s="102">
        <f>TT!P$7*$H$5*$H$6*$D39*$M39</f>
        <v>54294.7715487885</v>
      </c>
      <c r="AG38" s="102">
        <f>TT!Q$7*$H$5*$H$6*$D39*$M39</f>
        <v>55023.005248739006</v>
      </c>
      <c r="AH38" s="102">
        <f>TT!R$7*$H$5*$H$6*$D39*$M39</f>
        <v>55802.845153848575</v>
      </c>
      <c r="AI38" s="102">
        <f>TT!S$7*$H$5*$H$6*$D39*$M39</f>
        <v>56582.68505895813</v>
      </c>
      <c r="AJ38" s="102">
        <f>TT!T$7*$H$5*$H$6*$D39*$M39</f>
        <v>57362.524964067714</v>
      </c>
      <c r="AK38" s="102">
        <f>TT!U$7*$H$5*$H$6*$D39*$M39</f>
        <v>58142.364869177269</v>
      </c>
      <c r="AL38" s="102">
        <f>TT!V$7*$H$5*$H$6*$D39*$M39</f>
        <v>58922.204774286853</v>
      </c>
      <c r="AM38" s="102">
        <f>TT!W$7*$H$5*$H$6*$D39*$M39</f>
        <v>59745.641714857637</v>
      </c>
      <c r="AN38" s="102">
        <f>TT!X$7*$H$5*$H$6*$D39*$M39</f>
        <v>60569.078655428428</v>
      </c>
      <c r="AO38" s="102">
        <f>TT!Y$7*$H$5*$H$6*$D39*$M39</f>
        <v>61392.515595999212</v>
      </c>
      <c r="AP38" s="102">
        <f>TT!Z$7*$H$5*$H$6*$D39*$M39</f>
        <v>62215.952536569988</v>
      </c>
      <c r="AQ38" s="102">
        <f>TT!AA$7*$H$5*$H$6*$D39*$M39</f>
        <v>63039.389477140801</v>
      </c>
      <c r="AR38" s="102">
        <f>TT!AB$7*$H$5*$H$6*$D39*$M39</f>
        <v>63862.826417711578</v>
      </c>
    </row>
    <row r="39" spans="2:44" x14ac:dyDescent="0.25">
      <c r="B39" s="99">
        <v>34</v>
      </c>
      <c r="C39" s="99" t="s">
        <v>239</v>
      </c>
      <c r="D39" s="106">
        <v>1.7243888829392484E-2</v>
      </c>
      <c r="J39" s="99" t="s">
        <v>197</v>
      </c>
      <c r="K39" s="99">
        <v>34</v>
      </c>
      <c r="L39" s="99" t="s">
        <v>239</v>
      </c>
      <c r="M39" s="99">
        <v>3.93</v>
      </c>
      <c r="P39" s="99">
        <v>35</v>
      </c>
      <c r="Q39" s="99" t="s">
        <v>240</v>
      </c>
      <c r="R39" s="102">
        <f>TT!B$7*$H$5*$H$6*$D40*$M40</f>
        <v>23938.374172208823</v>
      </c>
      <c r="S39" s="102">
        <f>TT!C$7*$H$5*$H$6*$D40*$M40</f>
        <v>24277.652249779119</v>
      </c>
      <c r="T39" s="102">
        <f>TT!D$7*$H$5*$H$6*$D40*$M40</f>
        <v>24616.930327349415</v>
      </c>
      <c r="U39" s="102">
        <f>TT!E$7*$H$5*$H$6*$D40*$M40</f>
        <v>24956.208404919718</v>
      </c>
      <c r="V39" s="102">
        <f>TT!F$7*$H$5*$H$6*$D40*$M40</f>
        <v>25295.486482490018</v>
      </c>
      <c r="W39" s="102">
        <f>TT!G$7*$H$5*$H$6*$D40*$M40</f>
        <v>25634.764560060317</v>
      </c>
      <c r="X39" s="102">
        <f>TT!H$7*$H$5*$H$6*$D40*$M40</f>
        <v>25998.085543195491</v>
      </c>
      <c r="Y39" s="102">
        <f>TT!I$7*$H$5*$H$6*$D40*$M40</f>
        <v>26361.406526330662</v>
      </c>
      <c r="Z39" s="102">
        <f>TT!J$7*$H$5*$H$6*$D40*$M40</f>
        <v>26724.727509465836</v>
      </c>
      <c r="AA39" s="102">
        <f>TT!K$7*$H$5*$H$6*$D40*$M40</f>
        <v>27088.048492601014</v>
      </c>
      <c r="AB39" s="102">
        <f>TT!L$7*$H$5*$H$6*$D40*$M40</f>
        <v>27451.369475736177</v>
      </c>
      <c r="AC39" s="102">
        <f>TT!M$7*$H$5*$H$6*$D40*$M40</f>
        <v>27840.437162430306</v>
      </c>
      <c r="AD39" s="102">
        <f>TT!N$7*$H$5*$H$6*$D40*$M40</f>
        <v>28229.504849124434</v>
      </c>
      <c r="AE39" s="102">
        <f>TT!O$7*$H$5*$H$6*$D40*$M40</f>
        <v>28618.572535818559</v>
      </c>
      <c r="AF39" s="102">
        <f>TT!P$7*$H$5*$H$6*$D40*$M40</f>
        <v>29007.640222512688</v>
      </c>
      <c r="AG39" s="102">
        <f>TT!Q$7*$H$5*$H$6*$D40*$M40</f>
        <v>29396.70790920682</v>
      </c>
      <c r="AH39" s="102">
        <f>TT!R$7*$H$5*$H$6*$D40*$M40</f>
        <v>29813.346836921057</v>
      </c>
      <c r="AI39" s="102">
        <f>TT!S$7*$H$5*$H$6*$D40*$M40</f>
        <v>30229.985764635294</v>
      </c>
      <c r="AJ39" s="102">
        <f>TT!T$7*$H$5*$H$6*$D40*$M40</f>
        <v>30646.624692349535</v>
      </c>
      <c r="AK39" s="102">
        <f>TT!U$7*$H$5*$H$6*$D40*$M40</f>
        <v>31063.263620063772</v>
      </c>
      <c r="AL39" s="102">
        <f>TT!V$7*$H$5*$H$6*$D40*$M40</f>
        <v>31479.902547778016</v>
      </c>
      <c r="AM39" s="102">
        <f>TT!W$7*$H$5*$H$6*$D40*$M40</f>
        <v>31919.833720460829</v>
      </c>
      <c r="AN39" s="102">
        <f>TT!X$7*$H$5*$H$6*$D40*$M40</f>
        <v>32359.764893143642</v>
      </c>
      <c r="AO39" s="102">
        <f>TT!Y$7*$H$5*$H$6*$D40*$M40</f>
        <v>32799.696065826458</v>
      </c>
      <c r="AP39" s="102">
        <f>TT!Z$7*$H$5*$H$6*$D40*$M40</f>
        <v>33239.62723850926</v>
      </c>
      <c r="AQ39" s="102">
        <f>TT!AA$7*$H$5*$H$6*$D40*$M40</f>
        <v>33679.558411192083</v>
      </c>
      <c r="AR39" s="102">
        <f>TT!AB$7*$H$5*$H$6*$D40*$M40</f>
        <v>34119.4895838749</v>
      </c>
    </row>
    <row r="40" spans="2:44" x14ac:dyDescent="0.25">
      <c r="B40" s="99">
        <v>35</v>
      </c>
      <c r="C40" s="99" t="s">
        <v>240</v>
      </c>
      <c r="D40" s="106">
        <v>9.2127567522877606E-3</v>
      </c>
      <c r="J40" s="99" t="s">
        <v>197</v>
      </c>
      <c r="K40" s="99">
        <v>35</v>
      </c>
      <c r="L40" s="99" t="s">
        <v>240</v>
      </c>
      <c r="M40" s="99">
        <v>3.93</v>
      </c>
      <c r="P40" s="99">
        <v>36</v>
      </c>
      <c r="Q40" s="99" t="s">
        <v>241</v>
      </c>
      <c r="R40" s="102">
        <f>TT!B$7*$H$5*$H$6*$D41*$M41</f>
        <v>21359.693250018456</v>
      </c>
      <c r="S40" s="102">
        <f>TT!C$7*$H$5*$H$6*$D41*$M41</f>
        <v>21662.423736693305</v>
      </c>
      <c r="T40" s="102">
        <f>TT!D$7*$H$5*$H$6*$D41*$M41</f>
        <v>21965.154223368161</v>
      </c>
      <c r="U40" s="102">
        <f>TT!E$7*$H$5*$H$6*$D41*$M41</f>
        <v>22267.884710043021</v>
      </c>
      <c r="V40" s="102">
        <f>TT!F$7*$H$5*$H$6*$D41*$M41</f>
        <v>22570.61519671787</v>
      </c>
      <c r="W40" s="102">
        <f>TT!G$7*$H$5*$H$6*$D41*$M41</f>
        <v>22873.345683392727</v>
      </c>
      <c r="X40" s="102">
        <f>TT!H$7*$H$5*$H$6*$D41*$M41</f>
        <v>23197.529134417226</v>
      </c>
      <c r="Y40" s="102">
        <f>TT!I$7*$H$5*$H$6*$D41*$M41</f>
        <v>23521.712585441728</v>
      </c>
      <c r="Z40" s="102">
        <f>TT!J$7*$H$5*$H$6*$D41*$M41</f>
        <v>23845.896036466231</v>
      </c>
      <c r="AA40" s="102">
        <f>TT!K$7*$H$5*$H$6*$D41*$M41</f>
        <v>24170.079487490737</v>
      </c>
      <c r="AB40" s="102">
        <f>TT!L$7*$H$5*$H$6*$D41*$M41</f>
        <v>24494.262938515225</v>
      </c>
      <c r="AC40" s="102">
        <f>TT!M$7*$H$5*$H$6*$D41*$M41</f>
        <v>24841.419615969484</v>
      </c>
      <c r="AD40" s="102">
        <f>TT!N$7*$H$5*$H$6*$D41*$M41</f>
        <v>25188.576293423743</v>
      </c>
      <c r="AE40" s="102">
        <f>TT!O$7*$H$5*$H$6*$D41*$M41</f>
        <v>25535.732970877998</v>
      </c>
      <c r="AF40" s="102">
        <f>TT!P$7*$H$5*$H$6*$D41*$M41</f>
        <v>25882.889648332261</v>
      </c>
      <c r="AG40" s="102">
        <f>TT!Q$7*$H$5*$H$6*$D41*$M41</f>
        <v>26230.046325786519</v>
      </c>
      <c r="AH40" s="102">
        <f>TT!R$7*$H$5*$H$6*$D41*$M41</f>
        <v>26601.804224964333</v>
      </c>
      <c r="AI40" s="102">
        <f>TT!S$7*$H$5*$H$6*$D41*$M41</f>
        <v>26973.562124142143</v>
      </c>
      <c r="AJ40" s="102">
        <f>TT!T$7*$H$5*$H$6*$D41*$M41</f>
        <v>27345.32002331996</v>
      </c>
      <c r="AK40" s="102">
        <f>TT!U$7*$H$5*$H$6*$D41*$M41</f>
        <v>27717.077922497767</v>
      </c>
      <c r="AL40" s="102">
        <f>TT!V$7*$H$5*$H$6*$D41*$M41</f>
        <v>28088.835821675584</v>
      </c>
      <c r="AM40" s="102">
        <f>TT!W$7*$H$5*$H$6*$D41*$M41</f>
        <v>28481.376886997175</v>
      </c>
      <c r="AN40" s="102">
        <f>TT!X$7*$H$5*$H$6*$D41*$M41</f>
        <v>28873.917952318774</v>
      </c>
      <c r="AO40" s="102">
        <f>TT!Y$7*$H$5*$H$6*$D41*$M41</f>
        <v>29266.459017640365</v>
      </c>
      <c r="AP40" s="102">
        <f>TT!Z$7*$H$5*$H$6*$D41*$M41</f>
        <v>29659.000082961953</v>
      </c>
      <c r="AQ40" s="102">
        <f>TT!AA$7*$H$5*$H$6*$D41*$M41</f>
        <v>30051.541148283559</v>
      </c>
      <c r="AR40" s="102">
        <f>TT!AB$7*$H$5*$H$6*$D41*$M41</f>
        <v>30444.08221360515</v>
      </c>
    </row>
    <row r="41" spans="2:44" x14ac:dyDescent="0.25">
      <c r="B41" s="99">
        <v>36</v>
      </c>
      <c r="C41" s="99" t="s">
        <v>241</v>
      </c>
      <c r="D41" s="106">
        <v>7.5481191364282219E-3</v>
      </c>
      <c r="J41" s="99" t="s">
        <v>197</v>
      </c>
      <c r="K41" s="99">
        <v>36</v>
      </c>
      <c r="L41" s="99" t="s">
        <v>241</v>
      </c>
      <c r="M41" s="99">
        <v>4.28</v>
      </c>
      <c r="P41" s="99">
        <v>37</v>
      </c>
      <c r="Q41" s="99" t="s">
        <v>242</v>
      </c>
      <c r="R41" s="102">
        <f>TT!B$7*$H$5*$H$6*$D42*$M42</f>
        <v>1367.7177433156824</v>
      </c>
      <c r="S41" s="102">
        <f>TT!C$7*$H$5*$H$6*$D42*$M42</f>
        <v>1387.1023783486519</v>
      </c>
      <c r="T41" s="102">
        <f>TT!D$7*$H$5*$H$6*$D42*$M42</f>
        <v>1406.4870133816212</v>
      </c>
      <c r="U41" s="102">
        <f>TT!E$7*$H$5*$H$6*$D42*$M42</f>
        <v>1425.8716484145912</v>
      </c>
      <c r="V41" s="102">
        <f>TT!F$7*$H$5*$H$6*$D42*$M42</f>
        <v>1445.2562834475607</v>
      </c>
      <c r="W41" s="102">
        <f>TT!G$7*$H$5*$H$6*$D42*$M42</f>
        <v>1464.64091848053</v>
      </c>
      <c r="X41" s="102">
        <f>TT!H$7*$H$5*$H$6*$D42*$M42</f>
        <v>1485.3992436524113</v>
      </c>
      <c r="Y41" s="102">
        <f>TT!I$7*$H$5*$H$6*$D42*$M42</f>
        <v>1506.1575688242926</v>
      </c>
      <c r="Z41" s="102">
        <f>TT!J$7*$H$5*$H$6*$D42*$M42</f>
        <v>1526.915893996174</v>
      </c>
      <c r="AA41" s="102">
        <f>TT!K$7*$H$5*$H$6*$D42*$M42</f>
        <v>1547.6742191680553</v>
      </c>
      <c r="AB41" s="102">
        <f>TT!L$7*$H$5*$H$6*$D42*$M42</f>
        <v>1568.4325443399362</v>
      </c>
      <c r="AC41" s="102">
        <f>TT!M$7*$H$5*$H$6*$D42*$M42</f>
        <v>1590.6619060590842</v>
      </c>
      <c r="AD41" s="102">
        <f>TT!N$7*$H$5*$H$6*$D42*$M42</f>
        <v>1612.8912677782325</v>
      </c>
      <c r="AE41" s="102">
        <f>TT!O$7*$H$5*$H$6*$D42*$M42</f>
        <v>1635.1206294973806</v>
      </c>
      <c r="AF41" s="102">
        <f>TT!P$7*$H$5*$H$6*$D42*$M42</f>
        <v>1657.3499912165289</v>
      </c>
      <c r="AG41" s="102">
        <f>TT!Q$7*$H$5*$H$6*$D42*$M42</f>
        <v>1679.5793529356774</v>
      </c>
      <c r="AH41" s="102">
        <f>TT!R$7*$H$5*$H$6*$D42*$M42</f>
        <v>1703.3839960535186</v>
      </c>
      <c r="AI41" s="102">
        <f>TT!S$7*$H$5*$H$6*$D42*$M42</f>
        <v>1727.1886391713599</v>
      </c>
      <c r="AJ41" s="102">
        <f>TT!T$7*$H$5*$H$6*$D42*$M42</f>
        <v>1750.9932822892017</v>
      </c>
      <c r="AK41" s="102">
        <f>TT!U$7*$H$5*$H$6*$D42*$M42</f>
        <v>1774.7979254070426</v>
      </c>
      <c r="AL41" s="102">
        <f>TT!V$7*$H$5*$H$6*$D42*$M42</f>
        <v>1798.6025685248849</v>
      </c>
      <c r="AM41" s="102">
        <f>TT!W$7*$H$5*$H$6*$D42*$M42</f>
        <v>1823.7380128281366</v>
      </c>
      <c r="AN41" s="102">
        <f>TT!X$7*$H$5*$H$6*$D42*$M42</f>
        <v>1848.8734571313882</v>
      </c>
      <c r="AO41" s="102">
        <f>TT!Y$7*$H$5*$H$6*$D42*$M42</f>
        <v>1874.0089014346404</v>
      </c>
      <c r="AP41" s="102">
        <f>TT!Z$7*$H$5*$H$6*$D42*$M42</f>
        <v>1899.1443457378919</v>
      </c>
      <c r="AQ41" s="102">
        <f>TT!AA$7*$H$5*$H$6*$D42*$M42</f>
        <v>1924.2797900411445</v>
      </c>
      <c r="AR41" s="102">
        <f>TT!AB$7*$H$5*$H$6*$D42*$M42</f>
        <v>1949.4152343443961</v>
      </c>
    </row>
    <row r="42" spans="2:44" x14ac:dyDescent="0.25">
      <c r="B42" s="99">
        <v>37</v>
      </c>
      <c r="C42" s="99" t="s">
        <v>242</v>
      </c>
      <c r="D42" s="106">
        <v>1.2240447070276626E-3</v>
      </c>
      <c r="J42" s="99" t="s">
        <v>197</v>
      </c>
      <c r="K42" s="99">
        <v>37</v>
      </c>
      <c r="L42" s="99" t="s">
        <v>242</v>
      </c>
      <c r="M42" s="99">
        <v>1.69</v>
      </c>
      <c r="P42" s="99">
        <v>38</v>
      </c>
      <c r="Q42" s="99" t="s">
        <v>243</v>
      </c>
      <c r="R42" s="102">
        <f>TT!B$7*$H$5*$H$6*$D43*$M43</f>
        <v>1386.7725082030256</v>
      </c>
      <c r="S42" s="102">
        <f>TT!C$7*$H$5*$H$6*$D43*$M43</f>
        <v>1406.4272060210874</v>
      </c>
      <c r="T42" s="102">
        <f>TT!D$7*$H$5*$H$6*$D43*$M43</f>
        <v>1426.0819038391492</v>
      </c>
      <c r="U42" s="102">
        <f>TT!E$7*$H$5*$H$6*$D43*$M43</f>
        <v>1445.7366016572114</v>
      </c>
      <c r="V42" s="102">
        <f>TT!F$7*$H$5*$H$6*$D43*$M43</f>
        <v>1465.3912994752732</v>
      </c>
      <c r="W42" s="102">
        <f>TT!G$7*$H$5*$H$6*$D43*$M43</f>
        <v>1485.0459972933354</v>
      </c>
      <c r="X42" s="102">
        <f>TT!H$7*$H$5*$H$6*$D43*$M43</f>
        <v>1506.0935232213947</v>
      </c>
      <c r="Y42" s="102">
        <f>TT!I$7*$H$5*$H$6*$D43*$M43</f>
        <v>1527.1410491494544</v>
      </c>
      <c r="Z42" s="102">
        <f>TT!J$7*$H$5*$H$6*$D43*$M43</f>
        <v>1548.1885750775136</v>
      </c>
      <c r="AA42" s="102">
        <f>TT!K$7*$H$5*$H$6*$D43*$M43</f>
        <v>1569.2361010055733</v>
      </c>
      <c r="AB42" s="102">
        <f>TT!L$7*$H$5*$H$6*$D43*$M43</f>
        <v>1590.2836269336321</v>
      </c>
      <c r="AC42" s="102">
        <f>TT!M$7*$H$5*$H$6*$D43*$M43</f>
        <v>1612.8226835903683</v>
      </c>
      <c r="AD42" s="102">
        <f>TT!N$7*$H$5*$H$6*$D43*$M43</f>
        <v>1635.3617402471045</v>
      </c>
      <c r="AE42" s="102">
        <f>TT!O$7*$H$5*$H$6*$D43*$M43</f>
        <v>1657.9007969038407</v>
      </c>
      <c r="AF42" s="102">
        <f>TT!P$7*$H$5*$H$6*$D43*$M43</f>
        <v>1680.4398535605769</v>
      </c>
      <c r="AG42" s="102">
        <f>TT!Q$7*$H$5*$H$6*$D43*$M43</f>
        <v>1702.9789102173136</v>
      </c>
      <c r="AH42" s="102">
        <f>TT!R$7*$H$5*$H$6*$D43*$M43</f>
        <v>1727.1151947721794</v>
      </c>
      <c r="AI42" s="102">
        <f>TT!S$7*$H$5*$H$6*$D43*$M43</f>
        <v>1751.2514793270454</v>
      </c>
      <c r="AJ42" s="102">
        <f>TT!T$7*$H$5*$H$6*$D43*$M43</f>
        <v>1775.387763881912</v>
      </c>
      <c r="AK42" s="102">
        <f>TT!U$7*$H$5*$H$6*$D43*$M43</f>
        <v>1799.5240484367782</v>
      </c>
      <c r="AL42" s="102">
        <f>TT!V$7*$H$5*$H$6*$D43*$M43</f>
        <v>1823.6603329916447</v>
      </c>
      <c r="AM42" s="102">
        <f>TT!W$7*$H$5*$H$6*$D43*$M43</f>
        <v>1849.145959182847</v>
      </c>
      <c r="AN42" s="102">
        <f>TT!X$7*$H$5*$H$6*$D43*$M43</f>
        <v>1874.6315853740493</v>
      </c>
      <c r="AO42" s="102">
        <f>TT!Y$7*$H$5*$H$6*$D43*$M43</f>
        <v>1900.1172115652512</v>
      </c>
      <c r="AP42" s="102">
        <f>TT!Z$7*$H$5*$H$6*$D43*$M43</f>
        <v>1925.602837756453</v>
      </c>
      <c r="AQ42" s="102">
        <f>TT!AA$7*$H$5*$H$6*$D43*$M43</f>
        <v>1951.088463947656</v>
      </c>
      <c r="AR42" s="102">
        <f>TT!AB$7*$H$5*$H$6*$D43*$M43</f>
        <v>1976.5740901388581</v>
      </c>
    </row>
    <row r="43" spans="2:44" x14ac:dyDescent="0.25">
      <c r="B43" s="99">
        <v>38</v>
      </c>
      <c r="C43" s="99" t="s">
        <v>243</v>
      </c>
      <c r="D43" s="106">
        <v>4.1949107277644755E-4</v>
      </c>
      <c r="J43" s="99" t="s">
        <v>197</v>
      </c>
      <c r="K43" s="99">
        <v>38</v>
      </c>
      <c r="L43" s="99" t="s">
        <v>243</v>
      </c>
      <c r="M43" s="99">
        <v>5</v>
      </c>
      <c r="P43" s="99">
        <v>39</v>
      </c>
      <c r="Q43" s="99" t="s">
        <v>244</v>
      </c>
      <c r="R43" s="102">
        <f>TT!B$7*$H$5*$H$6*$D44*$M44</f>
        <v>4734.661111248186</v>
      </c>
      <c r="S43" s="102">
        <f>TT!C$7*$H$5*$H$6*$D44*$M44</f>
        <v>4801.7653643697713</v>
      </c>
      <c r="T43" s="102">
        <f>TT!D$7*$H$5*$H$6*$D44*$M44</f>
        <v>4868.8696174913575</v>
      </c>
      <c r="U43" s="102">
        <f>TT!E$7*$H$5*$H$6*$D44*$M44</f>
        <v>4935.9738706129447</v>
      </c>
      <c r="V43" s="102">
        <f>TT!F$7*$H$5*$H$6*$D44*$M44</f>
        <v>5003.07812373453</v>
      </c>
      <c r="W43" s="102">
        <f>TT!G$7*$H$5*$H$6*$D44*$M44</f>
        <v>5070.1823768561153</v>
      </c>
      <c r="X43" s="102">
        <f>TT!H$7*$H$5*$H$6*$D44*$M44</f>
        <v>5142.0419658731362</v>
      </c>
      <c r="Y43" s="102">
        <f>TT!I$7*$H$5*$H$6*$D44*$M44</f>
        <v>5213.9015548901552</v>
      </c>
      <c r="Z43" s="102">
        <f>TT!J$7*$H$5*$H$6*$D44*$M44</f>
        <v>5285.7611439071752</v>
      </c>
      <c r="AA43" s="102">
        <f>TT!K$7*$H$5*$H$6*$D44*$M44</f>
        <v>5357.6207329241952</v>
      </c>
      <c r="AB43" s="102">
        <f>TT!L$7*$H$5*$H$6*$D44*$M44</f>
        <v>5429.4803219412124</v>
      </c>
      <c r="AC43" s="102">
        <f>TT!M$7*$H$5*$H$6*$D44*$M44</f>
        <v>5506.4322332356969</v>
      </c>
      <c r="AD43" s="102">
        <f>TT!N$7*$H$5*$H$6*$D44*$M44</f>
        <v>5583.3841445301814</v>
      </c>
      <c r="AE43" s="102">
        <f>TT!O$7*$H$5*$H$6*$D44*$M44</f>
        <v>5660.336055824665</v>
      </c>
      <c r="AF43" s="102">
        <f>TT!P$7*$H$5*$H$6*$D44*$M44</f>
        <v>5737.2879671191486</v>
      </c>
      <c r="AG43" s="102">
        <f>TT!Q$7*$H$5*$H$6*$D44*$M44</f>
        <v>5814.239878413634</v>
      </c>
      <c r="AH43" s="102">
        <f>TT!R$7*$H$5*$H$6*$D44*$M44</f>
        <v>5896.644978872414</v>
      </c>
      <c r="AI43" s="102">
        <f>TT!S$7*$H$5*$H$6*$D44*$M44</f>
        <v>5979.050079331194</v>
      </c>
      <c r="AJ43" s="102">
        <f>TT!T$7*$H$5*$H$6*$D44*$M44</f>
        <v>6061.4551797899758</v>
      </c>
      <c r="AK43" s="102">
        <f>TT!U$7*$H$5*$H$6*$D44*$M44</f>
        <v>6143.8602802487558</v>
      </c>
      <c r="AL43" s="102">
        <f>TT!V$7*$H$5*$H$6*$D44*$M44</f>
        <v>6226.2653807075376</v>
      </c>
      <c r="AM43" s="102">
        <f>TT!W$7*$H$5*$H$6*$D44*$M44</f>
        <v>6313.2773473491688</v>
      </c>
      <c r="AN43" s="102">
        <f>TT!X$7*$H$5*$H$6*$D44*$M44</f>
        <v>6400.2893139908001</v>
      </c>
      <c r="AO43" s="102">
        <f>TT!Y$7*$H$5*$H$6*$D44*$M44</f>
        <v>6487.3012806324314</v>
      </c>
      <c r="AP43" s="102">
        <f>TT!Z$7*$H$5*$H$6*$D44*$M44</f>
        <v>6574.3132472740617</v>
      </c>
      <c r="AQ43" s="102">
        <f>TT!AA$7*$H$5*$H$6*$D44*$M44</f>
        <v>6661.3252139156957</v>
      </c>
      <c r="AR43" s="102">
        <f>TT!AB$7*$H$5*$H$6*$D44*$M44</f>
        <v>6748.3371805573261</v>
      </c>
    </row>
    <row r="44" spans="2:44" x14ac:dyDescent="0.25">
      <c r="B44" s="99">
        <v>39</v>
      </c>
      <c r="C44" s="99" t="s">
        <v>244</v>
      </c>
      <c r="D44" s="106">
        <v>4.0687755714379926E-3</v>
      </c>
      <c r="J44" s="99" t="s">
        <v>197</v>
      </c>
      <c r="K44" s="99">
        <v>39</v>
      </c>
      <c r="L44" s="99" t="s">
        <v>244</v>
      </c>
      <c r="M44" s="99">
        <v>1.76</v>
      </c>
      <c r="P44" s="99">
        <v>40</v>
      </c>
      <c r="Q44" s="99" t="s">
        <v>245</v>
      </c>
      <c r="R44" s="102">
        <f>TT!B$7*$H$5*$H$6*$D45*$M45</f>
        <v>14064.425158088441</v>
      </c>
      <c r="S44" s="102">
        <f>TT!C$7*$H$5*$H$6*$D45*$M45</f>
        <v>14263.759962342077</v>
      </c>
      <c r="T44" s="102">
        <f>TT!D$7*$H$5*$H$6*$D45*$M45</f>
        <v>14463.094766595716</v>
      </c>
      <c r="U44" s="102">
        <f>TT!E$7*$H$5*$H$6*$D45*$M45</f>
        <v>14662.429570849356</v>
      </c>
      <c r="V44" s="102">
        <f>TT!F$7*$H$5*$H$6*$D45*$M45</f>
        <v>14861.764375102994</v>
      </c>
      <c r="W44" s="102">
        <f>TT!G$7*$H$5*$H$6*$D45*$M45</f>
        <v>15061.099179356628</v>
      </c>
      <c r="X44" s="102">
        <f>TT!H$7*$H$5*$H$6*$D45*$M45</f>
        <v>15274.559823714011</v>
      </c>
      <c r="Y44" s="102">
        <f>TT!I$7*$H$5*$H$6*$D45*$M45</f>
        <v>15488.020468071392</v>
      </c>
      <c r="Z44" s="102">
        <f>TT!J$7*$H$5*$H$6*$D45*$M45</f>
        <v>15701.481112428772</v>
      </c>
      <c r="AA44" s="102">
        <f>TT!K$7*$H$5*$H$6*$D45*$M45</f>
        <v>15914.941756786156</v>
      </c>
      <c r="AB44" s="102">
        <f>TT!L$7*$H$5*$H$6*$D45*$M45</f>
        <v>16128.402401143529</v>
      </c>
      <c r="AC44" s="102">
        <f>TT!M$7*$H$5*$H$6*$D45*$M45</f>
        <v>16356.989911789629</v>
      </c>
      <c r="AD44" s="102">
        <f>TT!N$7*$H$5*$H$6*$D45*$M45</f>
        <v>16585.577422435734</v>
      </c>
      <c r="AE44" s="102">
        <f>TT!O$7*$H$5*$H$6*$D45*$M45</f>
        <v>16814.164933081836</v>
      </c>
      <c r="AF44" s="102">
        <f>TT!P$7*$H$5*$H$6*$D45*$M45</f>
        <v>17042.752443727935</v>
      </c>
      <c r="AG44" s="102">
        <f>TT!Q$7*$H$5*$H$6*$D45*$M45</f>
        <v>17271.339954374042</v>
      </c>
      <c r="AH44" s="102">
        <f>TT!R$7*$H$5*$H$6*$D45*$M45</f>
        <v>17516.126295109996</v>
      </c>
      <c r="AI44" s="102">
        <f>TT!S$7*$H$5*$H$6*$D45*$M45</f>
        <v>17760.912635845951</v>
      </c>
      <c r="AJ44" s="102">
        <f>TT!T$7*$H$5*$H$6*$D45*$M45</f>
        <v>18005.698976581909</v>
      </c>
      <c r="AK44" s="102">
        <f>TT!U$7*$H$5*$H$6*$D45*$M45</f>
        <v>18250.485317317864</v>
      </c>
      <c r="AL44" s="102">
        <f>TT!V$7*$H$5*$H$6*$D45*$M45</f>
        <v>18495.271658053822</v>
      </c>
      <c r="AM44" s="102">
        <f>TT!W$7*$H$5*$H$6*$D45*$M45</f>
        <v>18753.742806027218</v>
      </c>
      <c r="AN44" s="102">
        <f>TT!X$7*$H$5*$H$6*$D45*$M45</f>
        <v>19012.213954000614</v>
      </c>
      <c r="AO44" s="102">
        <f>TT!Y$7*$H$5*$H$6*$D45*$M45</f>
        <v>19270.68510197401</v>
      </c>
      <c r="AP44" s="102">
        <f>TT!Z$7*$H$5*$H$6*$D45*$M45</f>
        <v>19529.156249947402</v>
      </c>
      <c r="AQ44" s="102">
        <f>TT!AA$7*$H$5*$H$6*$D45*$M45</f>
        <v>19787.627397920805</v>
      </c>
      <c r="AR44" s="102">
        <f>TT!AB$7*$H$5*$H$6*$D45*$M45</f>
        <v>20046.098545894201</v>
      </c>
    </row>
    <row r="45" spans="2:44" x14ac:dyDescent="0.25">
      <c r="B45" s="99">
        <v>40</v>
      </c>
      <c r="C45" s="99" t="s">
        <v>245</v>
      </c>
      <c r="D45" s="106">
        <v>7.8494675668501438E-3</v>
      </c>
      <c r="J45" s="99" t="s">
        <v>197</v>
      </c>
      <c r="K45" s="99">
        <v>40</v>
      </c>
      <c r="L45" s="99" t="s">
        <v>245</v>
      </c>
      <c r="M45" s="99">
        <v>2.71</v>
      </c>
      <c r="P45" s="99">
        <v>41</v>
      </c>
      <c r="Q45" s="99" t="s">
        <v>246</v>
      </c>
      <c r="R45" s="102">
        <f>TT!B$7*$H$5*$H$6*$D46*$M46</f>
        <v>2130.9177797017483</v>
      </c>
      <c r="S45" s="102">
        <f>TT!C$7*$H$5*$H$6*$D46*$M46</f>
        <v>2161.1192329231167</v>
      </c>
      <c r="T45" s="102">
        <f>TT!D$7*$H$5*$H$6*$D46*$M46</f>
        <v>2191.3206861444851</v>
      </c>
      <c r="U45" s="102">
        <f>TT!E$7*$H$5*$H$6*$D46*$M46</f>
        <v>2221.5221393658539</v>
      </c>
      <c r="V45" s="102">
        <f>TT!F$7*$H$5*$H$6*$D46*$M46</f>
        <v>2251.7235925872219</v>
      </c>
      <c r="W45" s="102">
        <f>TT!G$7*$H$5*$H$6*$D46*$M46</f>
        <v>2281.9250458085903</v>
      </c>
      <c r="X45" s="102">
        <f>TT!H$7*$H$5*$H$6*$D46*$M46</f>
        <v>2314.266721861105</v>
      </c>
      <c r="Y45" s="102">
        <f>TT!I$7*$H$5*$H$6*$D46*$M46</f>
        <v>2346.6083979136197</v>
      </c>
      <c r="Z45" s="102">
        <f>TT!J$7*$H$5*$H$6*$D46*$M46</f>
        <v>2378.9500739661344</v>
      </c>
      <c r="AA45" s="102">
        <f>TT!K$7*$H$5*$H$6*$D46*$M46</f>
        <v>2411.2917500186495</v>
      </c>
      <c r="AB45" s="102">
        <f>TT!L$7*$H$5*$H$6*$D46*$M46</f>
        <v>2443.6334260711628</v>
      </c>
      <c r="AC45" s="102">
        <f>TT!M$7*$H$5*$H$6*$D46*$M46</f>
        <v>2478.2669916224299</v>
      </c>
      <c r="AD45" s="102">
        <f>TT!N$7*$H$5*$H$6*$D46*$M46</f>
        <v>2512.9005571736966</v>
      </c>
      <c r="AE45" s="102">
        <f>TT!O$7*$H$5*$H$6*$D46*$M46</f>
        <v>2547.5341227249633</v>
      </c>
      <c r="AF45" s="102">
        <f>TT!P$7*$H$5*$H$6*$D46*$M46</f>
        <v>2582.1676882762304</v>
      </c>
      <c r="AG45" s="102">
        <f>TT!Q$7*$H$5*$H$6*$D46*$M46</f>
        <v>2616.8012538274975</v>
      </c>
      <c r="AH45" s="102">
        <f>TT!R$7*$H$5*$H$6*$D46*$M46</f>
        <v>2653.8891233876971</v>
      </c>
      <c r="AI45" s="102">
        <f>TT!S$7*$H$5*$H$6*$D46*$M46</f>
        <v>2690.9769929478971</v>
      </c>
      <c r="AJ45" s="102">
        <f>TT!T$7*$H$5*$H$6*$D46*$M46</f>
        <v>2728.0648625080976</v>
      </c>
      <c r="AK45" s="102">
        <f>TT!U$7*$H$5*$H$6*$D46*$M46</f>
        <v>2765.1527320682972</v>
      </c>
      <c r="AL45" s="102">
        <f>TT!V$7*$H$5*$H$6*$D46*$M46</f>
        <v>2802.2406016284976</v>
      </c>
      <c r="AM45" s="102">
        <f>TT!W$7*$H$5*$H$6*$D46*$M46</f>
        <v>2841.4018726058384</v>
      </c>
      <c r="AN45" s="102">
        <f>TT!X$7*$H$5*$H$6*$D46*$M46</f>
        <v>2880.5631435831792</v>
      </c>
      <c r="AO45" s="102">
        <f>TT!Y$7*$H$5*$H$6*$D46*$M46</f>
        <v>2919.72441456052</v>
      </c>
      <c r="AP45" s="102">
        <f>TT!Z$7*$H$5*$H$6*$D46*$M46</f>
        <v>2958.8856855378604</v>
      </c>
      <c r="AQ45" s="102">
        <f>TT!AA$7*$H$5*$H$6*$D46*$M46</f>
        <v>2998.0469565152025</v>
      </c>
      <c r="AR45" s="102">
        <f>TT!AB$7*$H$5*$H$6*$D46*$M46</f>
        <v>3037.2082274925428</v>
      </c>
    </row>
    <row r="46" spans="2:44" x14ac:dyDescent="0.25">
      <c r="B46" s="99">
        <v>41</v>
      </c>
      <c r="C46" s="99" t="s">
        <v>246</v>
      </c>
      <c r="D46" s="106">
        <v>3.2229546667456137E-3</v>
      </c>
      <c r="J46" s="99" t="s">
        <v>197</v>
      </c>
      <c r="K46" s="99">
        <v>41</v>
      </c>
      <c r="L46" s="99" t="s">
        <v>246</v>
      </c>
      <c r="M46" s="99">
        <v>1</v>
      </c>
      <c r="P46" s="99">
        <v>43</v>
      </c>
      <c r="Q46" s="99" t="s">
        <v>247</v>
      </c>
      <c r="R46" s="102">
        <f>TT!B$7*$H$5*$H$6*$D47*$M47</f>
        <v>11675.261151315755</v>
      </c>
      <c r="S46" s="102">
        <f>TT!C$7*$H$5*$H$6*$D47*$M47</f>
        <v>11840.734383961117</v>
      </c>
      <c r="T46" s="102">
        <f>TT!D$7*$H$5*$H$6*$D47*$M47</f>
        <v>12006.207616606476</v>
      </c>
      <c r="U46" s="102">
        <f>TT!E$7*$H$5*$H$6*$D47*$M47</f>
        <v>12171.680849251839</v>
      </c>
      <c r="V46" s="102">
        <f>TT!F$7*$H$5*$H$6*$D47*$M47</f>
        <v>12337.154081897199</v>
      </c>
      <c r="W46" s="102">
        <f>TT!G$7*$H$5*$H$6*$D47*$M47</f>
        <v>12502.627314542558</v>
      </c>
      <c r="X46" s="102">
        <f>TT!H$7*$H$5*$H$6*$D47*$M47</f>
        <v>12679.826790552945</v>
      </c>
      <c r="Y46" s="102">
        <f>TT!I$7*$H$5*$H$6*$D47*$M47</f>
        <v>12857.026266563329</v>
      </c>
      <c r="Z46" s="102">
        <f>TT!J$7*$H$5*$H$6*$D47*$M47</f>
        <v>13034.225742573715</v>
      </c>
      <c r="AA46" s="102">
        <f>TT!K$7*$H$5*$H$6*$D47*$M47</f>
        <v>13211.425218584103</v>
      </c>
      <c r="AB46" s="102">
        <f>TT!L$7*$H$5*$H$6*$D47*$M47</f>
        <v>13388.624694594482</v>
      </c>
      <c r="AC46" s="102">
        <f>TT!M$7*$H$5*$H$6*$D47*$M47</f>
        <v>13578.38139298237</v>
      </c>
      <c r="AD46" s="102">
        <f>TT!N$7*$H$5*$H$6*$D47*$M47</f>
        <v>13768.138091370258</v>
      </c>
      <c r="AE46" s="102">
        <f>TT!O$7*$H$5*$H$6*$D47*$M47</f>
        <v>13957.894789758146</v>
      </c>
      <c r="AF46" s="102">
        <f>TT!P$7*$H$5*$H$6*$D47*$M47</f>
        <v>14147.651488146033</v>
      </c>
      <c r="AG46" s="102">
        <f>TT!Q$7*$H$5*$H$6*$D47*$M47</f>
        <v>14337.408186533925</v>
      </c>
      <c r="AH46" s="102">
        <f>TT!R$7*$H$5*$H$6*$D47*$M47</f>
        <v>14540.611973552808</v>
      </c>
      <c r="AI46" s="102">
        <f>TT!S$7*$H$5*$H$6*$D47*$M47</f>
        <v>14743.815760571691</v>
      </c>
      <c r="AJ46" s="102">
        <f>TT!T$7*$H$5*$H$6*$D47*$M47</f>
        <v>14947.019547590578</v>
      </c>
      <c r="AK46" s="102">
        <f>TT!U$7*$H$5*$H$6*$D47*$M47</f>
        <v>15150.223334609464</v>
      </c>
      <c r="AL46" s="102">
        <f>TT!V$7*$H$5*$H$6*$D47*$M47</f>
        <v>15353.427121628351</v>
      </c>
      <c r="AM46" s="102">
        <f>TT!W$7*$H$5*$H$6*$D47*$M47</f>
        <v>15567.991038656575</v>
      </c>
      <c r="AN46" s="102">
        <f>TT!X$7*$H$5*$H$6*$D47*$M47</f>
        <v>15782.554955684802</v>
      </c>
      <c r="AO46" s="102">
        <f>TT!Y$7*$H$5*$H$6*$D47*$M47</f>
        <v>15997.118872713027</v>
      </c>
      <c r="AP46" s="102">
        <f>TT!Z$7*$H$5*$H$6*$D47*$M47</f>
        <v>16211.68278974125</v>
      </c>
      <c r="AQ46" s="102">
        <f>TT!AA$7*$H$5*$H$6*$D47*$M47</f>
        <v>16426.246706769482</v>
      </c>
      <c r="AR46" s="102">
        <f>TT!AB$7*$H$5*$H$6*$D47*$M47</f>
        <v>16640.810623797704</v>
      </c>
    </row>
    <row r="47" spans="2:44" x14ac:dyDescent="0.25">
      <c r="B47" s="99">
        <v>43</v>
      </c>
      <c r="C47" s="99" t="s">
        <v>247</v>
      </c>
      <c r="D47" s="106">
        <v>1.7658512107573462E-2</v>
      </c>
      <c r="J47" s="99" t="s">
        <v>197</v>
      </c>
      <c r="K47" s="99">
        <v>43</v>
      </c>
      <c r="L47" s="99" t="s">
        <v>247</v>
      </c>
      <c r="M47" s="99">
        <v>1</v>
      </c>
      <c r="P47" s="99">
        <v>99</v>
      </c>
      <c r="Q47" s="99" t="s">
        <v>248</v>
      </c>
      <c r="R47" s="102">
        <f>TT!B$7*$H$5*$H$6*$D48*$M48</f>
        <v>0</v>
      </c>
      <c r="S47" s="102">
        <f>TT!C$7*$H$5*$H$6*$D48*$M48</f>
        <v>0</v>
      </c>
      <c r="T47" s="102">
        <f>TT!D$7*$H$5*$H$6*$D48*$M48</f>
        <v>0</v>
      </c>
      <c r="U47" s="102">
        <f>TT!E$7*$H$5*$H$6*$D48*$M48</f>
        <v>0</v>
      </c>
      <c r="V47" s="102">
        <f>TT!F$7*$H$5*$H$6*$D48*$M48</f>
        <v>0</v>
      </c>
      <c r="W47" s="102">
        <f>TT!G$7*$H$5*$H$6*$D48*$M48</f>
        <v>0</v>
      </c>
      <c r="X47" s="102">
        <f>TT!H$7*$H$5*$H$6*$D48*$M48</f>
        <v>0</v>
      </c>
      <c r="Y47" s="102">
        <f>TT!I$7*$H$5*$H$6*$D48*$M48</f>
        <v>0</v>
      </c>
      <c r="Z47" s="102">
        <f>TT!J$7*$H$5*$H$6*$D48*$M48</f>
        <v>0</v>
      </c>
      <c r="AA47" s="102">
        <f>TT!K$7*$H$5*$H$6*$D48*$M48</f>
        <v>0</v>
      </c>
      <c r="AB47" s="102">
        <f>TT!L$7*$H$5*$H$6*$D48*$M48</f>
        <v>0</v>
      </c>
      <c r="AC47" s="102">
        <f>TT!M$7*$H$5*$H$6*$D48*$M48</f>
        <v>0</v>
      </c>
      <c r="AD47" s="102">
        <f>TT!N$7*$H$5*$H$6*$D48*$M48</f>
        <v>0</v>
      </c>
      <c r="AE47" s="102">
        <f>TT!O$7*$H$5*$H$6*$D48*$M48</f>
        <v>0</v>
      </c>
      <c r="AF47" s="102">
        <f>TT!P$7*$H$5*$H$6*$D48*$M48</f>
        <v>0</v>
      </c>
      <c r="AG47" s="102">
        <f>TT!Q$7*$H$5*$H$6*$D48*$M48</f>
        <v>0</v>
      </c>
      <c r="AH47" s="102">
        <f>TT!R$7*$H$5*$H$6*$D48*$M48</f>
        <v>0</v>
      </c>
      <c r="AI47" s="102">
        <f>TT!S$7*$H$5*$H$6*$D48*$M48</f>
        <v>0</v>
      </c>
      <c r="AJ47" s="102">
        <f>TT!T$7*$H$5*$H$6*$D48*$M48</f>
        <v>0</v>
      </c>
      <c r="AK47" s="102">
        <f>TT!U$7*$H$5*$H$6*$D48*$M48</f>
        <v>0</v>
      </c>
      <c r="AL47" s="102">
        <f>TT!V$7*$H$5*$H$6*$D48*$M48</f>
        <v>0</v>
      </c>
      <c r="AM47" s="102">
        <f>TT!W$7*$H$5*$H$6*$D48*$M48</f>
        <v>0</v>
      </c>
      <c r="AN47" s="102">
        <f>TT!X$7*$H$5*$H$6*$D48*$M48</f>
        <v>0</v>
      </c>
      <c r="AO47" s="102">
        <f>TT!Y$7*$H$5*$H$6*$D48*$M48</f>
        <v>0</v>
      </c>
      <c r="AP47" s="102">
        <f>TT!Z$7*$H$5*$H$6*$D48*$M48</f>
        <v>0</v>
      </c>
      <c r="AQ47" s="102">
        <f>TT!AA$7*$H$5*$H$6*$D48*$M48</f>
        <v>0</v>
      </c>
      <c r="AR47" s="102">
        <f>TT!AB$7*$H$5*$H$6*$D48*$M48</f>
        <v>0</v>
      </c>
    </row>
    <row r="48" spans="2:44" x14ac:dyDescent="0.25">
      <c r="B48" s="99">
        <v>99</v>
      </c>
      <c r="C48" s="99" t="s">
        <v>248</v>
      </c>
      <c r="D48" s="106">
        <v>0</v>
      </c>
      <c r="J48" s="99" t="s">
        <v>197</v>
      </c>
      <c r="K48" s="99">
        <v>99</v>
      </c>
      <c r="L48" s="99" t="s">
        <v>248</v>
      </c>
      <c r="M48" s="99">
        <v>1</v>
      </c>
      <c r="P48" s="331" t="s">
        <v>11</v>
      </c>
      <c r="Q48" s="332"/>
      <c r="R48" s="102">
        <f>SUM(R5:R47)</f>
        <v>568394.67855566659</v>
      </c>
      <c r="S48" s="102">
        <f t="shared" ref="S48:AQ48" si="0">SUM(S5:S47)</f>
        <v>576450.5244729484</v>
      </c>
      <c r="T48" s="102">
        <f t="shared" si="0"/>
        <v>584506.37039023032</v>
      </c>
      <c r="U48" s="102">
        <f t="shared" si="0"/>
        <v>592562.21630751225</v>
      </c>
      <c r="V48" s="102">
        <f t="shared" si="0"/>
        <v>600618.06222479395</v>
      </c>
      <c r="W48" s="102">
        <f t="shared" si="0"/>
        <v>608673.90814207576</v>
      </c>
      <c r="X48" s="102">
        <f t="shared" si="0"/>
        <v>617300.63073969446</v>
      </c>
      <c r="Y48" s="102">
        <f t="shared" si="0"/>
        <v>625927.35333731328</v>
      </c>
      <c r="Z48" s="102">
        <f t="shared" si="0"/>
        <v>634554.07593493222</v>
      </c>
      <c r="AA48" s="102">
        <f t="shared" si="0"/>
        <v>643180.79853255092</v>
      </c>
      <c r="AB48" s="102">
        <f t="shared" si="0"/>
        <v>651807.52113016928</v>
      </c>
      <c r="AC48" s="102">
        <f t="shared" si="0"/>
        <v>661045.57552450814</v>
      </c>
      <c r="AD48" s="102">
        <f t="shared" si="0"/>
        <v>670283.62991884735</v>
      </c>
      <c r="AE48" s="102">
        <f t="shared" si="0"/>
        <v>679521.68431318633</v>
      </c>
      <c r="AF48" s="102">
        <f t="shared" si="0"/>
        <v>688759.73870752531</v>
      </c>
      <c r="AG48" s="102">
        <f t="shared" si="0"/>
        <v>697997.79310186452</v>
      </c>
      <c r="AH48" s="102">
        <f t="shared" si="0"/>
        <v>707890.50125690864</v>
      </c>
      <c r="AI48" s="102">
        <f t="shared" si="0"/>
        <v>717783.20941195299</v>
      </c>
      <c r="AJ48" s="102">
        <f t="shared" si="0"/>
        <v>727675.91756699746</v>
      </c>
      <c r="AK48" s="102">
        <f t="shared" si="0"/>
        <v>737568.62572204159</v>
      </c>
      <c r="AL48" s="102">
        <f t="shared" si="0"/>
        <v>747461.33387708606</v>
      </c>
      <c r="AM48" s="102">
        <f t="shared" si="0"/>
        <v>757907.09496699192</v>
      </c>
      <c r="AN48" s="102">
        <f t="shared" si="0"/>
        <v>768352.85605689778</v>
      </c>
      <c r="AO48" s="102">
        <f t="shared" si="0"/>
        <v>778798.6171468033</v>
      </c>
      <c r="AP48" s="102">
        <f t="shared" si="0"/>
        <v>789244.37823670905</v>
      </c>
      <c r="AQ48" s="102">
        <f t="shared" si="0"/>
        <v>799690.13932661514</v>
      </c>
      <c r="AR48" s="102">
        <f t="shared" ref="AR48" si="1">SUM(AR5:AR47)</f>
        <v>810135.90041652089</v>
      </c>
    </row>
    <row r="49" spans="4:18" x14ac:dyDescent="0.25">
      <c r="D49" s="105"/>
      <c r="R49" s="103"/>
    </row>
  </sheetData>
  <mergeCells count="6">
    <mergeCell ref="P48:Q48"/>
    <mergeCell ref="F20:H22"/>
    <mergeCell ref="Q2:R3"/>
    <mergeCell ref="B4:D4"/>
    <mergeCell ref="F4:H4"/>
    <mergeCell ref="J4:M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sheetPr>
    <tabColor rgb="FFFF0000"/>
  </sheetPr>
  <dimension ref="A1:AI52"/>
  <sheetViews>
    <sheetView topLeftCell="A12" zoomScaleNormal="100" workbookViewId="0">
      <selection activeCell="A51" sqref="A51"/>
    </sheetView>
  </sheetViews>
  <sheetFormatPr defaultRowHeight="15" x14ac:dyDescent="0.25"/>
  <cols>
    <col min="1" max="1" width="45.5703125" customWidth="1"/>
  </cols>
  <sheetData>
    <row r="1" spans="1:35" ht="18.75" x14ac:dyDescent="0.3">
      <c r="A1" s="6" t="s">
        <v>249</v>
      </c>
      <c r="B1" s="122"/>
      <c r="C1" s="122"/>
      <c r="D1" s="122"/>
      <c r="E1" s="122"/>
      <c r="F1" s="122"/>
      <c r="G1" s="122"/>
      <c r="H1" s="122"/>
      <c r="I1" s="122"/>
      <c r="J1" s="323" t="s">
        <v>35</v>
      </c>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35" x14ac:dyDescent="0.25">
      <c r="A2" s="221" t="s">
        <v>0</v>
      </c>
      <c r="B2" s="214">
        <v>2019</v>
      </c>
      <c r="C2" s="222">
        <f>B2+1</f>
        <v>2020</v>
      </c>
      <c r="D2" s="222">
        <f>C2+1</f>
        <v>2021</v>
      </c>
      <c r="E2" s="222">
        <f>D2+1</f>
        <v>2022</v>
      </c>
      <c r="F2" s="214">
        <f t="shared" ref="F2:AH2" si="0">E2+1</f>
        <v>2023</v>
      </c>
      <c r="G2" s="214">
        <f t="shared" si="0"/>
        <v>2024</v>
      </c>
      <c r="H2" s="214">
        <f t="shared" si="0"/>
        <v>2025</v>
      </c>
      <c r="I2" s="214">
        <f t="shared" si="0"/>
        <v>2026</v>
      </c>
      <c r="J2" s="214">
        <f t="shared" si="0"/>
        <v>2027</v>
      </c>
      <c r="K2" s="214">
        <f t="shared" si="0"/>
        <v>2028</v>
      </c>
      <c r="L2" s="214">
        <f t="shared" si="0"/>
        <v>2029</v>
      </c>
      <c r="M2" s="214">
        <f t="shared" si="0"/>
        <v>2030</v>
      </c>
      <c r="N2" s="214">
        <f t="shared" si="0"/>
        <v>2031</v>
      </c>
      <c r="O2" s="214">
        <f t="shared" si="0"/>
        <v>2032</v>
      </c>
      <c r="P2" s="214">
        <f t="shared" si="0"/>
        <v>2033</v>
      </c>
      <c r="Q2" s="214">
        <f t="shared" si="0"/>
        <v>2034</v>
      </c>
      <c r="R2" s="214">
        <f t="shared" si="0"/>
        <v>2035</v>
      </c>
      <c r="S2" s="214">
        <f t="shared" si="0"/>
        <v>2036</v>
      </c>
      <c r="T2" s="214">
        <f t="shared" si="0"/>
        <v>2037</v>
      </c>
      <c r="U2" s="214">
        <f t="shared" si="0"/>
        <v>2038</v>
      </c>
      <c r="V2" s="214">
        <f t="shared" si="0"/>
        <v>2039</v>
      </c>
      <c r="W2" s="214">
        <f t="shared" si="0"/>
        <v>2040</v>
      </c>
      <c r="X2" s="214">
        <f t="shared" si="0"/>
        <v>2041</v>
      </c>
      <c r="Y2" s="214">
        <f t="shared" si="0"/>
        <v>2042</v>
      </c>
      <c r="Z2" s="214">
        <f t="shared" si="0"/>
        <v>2043</v>
      </c>
      <c r="AA2" s="214">
        <f t="shared" si="0"/>
        <v>2044</v>
      </c>
      <c r="AB2" s="214">
        <f t="shared" si="0"/>
        <v>2045</v>
      </c>
      <c r="AC2" s="214">
        <f t="shared" si="0"/>
        <v>2046</v>
      </c>
      <c r="AD2" s="214">
        <f t="shared" si="0"/>
        <v>2047</v>
      </c>
      <c r="AE2" s="214">
        <f t="shared" si="0"/>
        <v>2048</v>
      </c>
      <c r="AF2" s="214">
        <f t="shared" si="0"/>
        <v>2049</v>
      </c>
      <c r="AG2" s="214">
        <f t="shared" si="0"/>
        <v>2050</v>
      </c>
      <c r="AH2" s="214">
        <f t="shared" si="0"/>
        <v>2051</v>
      </c>
      <c r="AI2" s="214"/>
    </row>
    <row r="3" spans="1:35" x14ac:dyDescent="0.25">
      <c r="A3" s="122"/>
      <c r="B3" s="122"/>
      <c r="C3" s="9"/>
      <c r="D3" s="9"/>
      <c r="E3" s="9"/>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row>
    <row r="4" spans="1:35" s="122" customFormat="1" x14ac:dyDescent="0.25">
      <c r="A4" s="4" t="s">
        <v>250</v>
      </c>
      <c r="C4" s="9"/>
      <c r="D4" s="9"/>
      <c r="E4" s="9"/>
    </row>
    <row r="5" spans="1:35" x14ac:dyDescent="0.25">
      <c r="A5" s="223" t="s">
        <v>251</v>
      </c>
      <c r="B5" s="45">
        <v>0</v>
      </c>
      <c r="C5" s="46">
        <v>0</v>
      </c>
      <c r="D5" s="46">
        <v>0</v>
      </c>
      <c r="E5" s="46">
        <v>0</v>
      </c>
      <c r="F5" s="45">
        <v>0</v>
      </c>
      <c r="G5" s="45">
        <v>68.599999999999994</v>
      </c>
      <c r="H5" s="45">
        <v>68.599999999999994</v>
      </c>
      <c r="I5" s="45">
        <v>68.599999999999994</v>
      </c>
      <c r="J5" s="45">
        <v>0</v>
      </c>
      <c r="K5" s="45">
        <v>0</v>
      </c>
      <c r="L5" s="45">
        <v>0</v>
      </c>
      <c r="M5" s="45">
        <v>0</v>
      </c>
      <c r="N5" s="45">
        <v>0</v>
      </c>
      <c r="O5" s="45">
        <v>0</v>
      </c>
      <c r="P5" s="45">
        <v>0</v>
      </c>
      <c r="Q5" s="45">
        <v>0</v>
      </c>
      <c r="R5" s="45">
        <v>0</v>
      </c>
      <c r="S5" s="45">
        <v>0</v>
      </c>
      <c r="T5" s="45">
        <v>0</v>
      </c>
      <c r="U5" s="45">
        <v>0</v>
      </c>
      <c r="V5" s="45">
        <v>0</v>
      </c>
      <c r="W5" s="45">
        <v>0</v>
      </c>
      <c r="X5" s="45">
        <v>0</v>
      </c>
      <c r="Y5" s="45">
        <v>0</v>
      </c>
      <c r="Z5" s="45">
        <v>0</v>
      </c>
      <c r="AA5" s="45">
        <v>0</v>
      </c>
      <c r="AB5" s="45">
        <v>0</v>
      </c>
      <c r="AC5" s="45">
        <v>0</v>
      </c>
      <c r="AD5" s="45">
        <v>0</v>
      </c>
      <c r="AE5" s="45">
        <v>0</v>
      </c>
      <c r="AF5" s="45">
        <v>0</v>
      </c>
      <c r="AG5" s="45">
        <v>0</v>
      </c>
      <c r="AH5" s="45">
        <v>0</v>
      </c>
      <c r="AI5" s="45"/>
    </row>
    <row r="6" spans="1:35" s="122" customFormat="1" x14ac:dyDescent="0.25">
      <c r="A6" s="223" t="s">
        <v>252</v>
      </c>
      <c r="B6" s="45">
        <f>B5*'NEW Factors'!$B$88</f>
        <v>0</v>
      </c>
      <c r="C6" s="45">
        <f>C5*'NEW Factors'!$B$88</f>
        <v>0</v>
      </c>
      <c r="D6" s="45">
        <f>D5*'NEW Factors'!$B$88</f>
        <v>0</v>
      </c>
      <c r="E6" s="45">
        <f>E5*'NEW Factors'!$B$88</f>
        <v>0</v>
      </c>
      <c r="F6" s="45">
        <f>F5*'NEW Factors'!$B$88</f>
        <v>0</v>
      </c>
      <c r="G6" s="45">
        <f>G5*'NEW Factors'!$B$88</f>
        <v>69.286000000000001</v>
      </c>
      <c r="H6" s="45">
        <f>H5*'NEW Factors'!$B$88</f>
        <v>69.286000000000001</v>
      </c>
      <c r="I6" s="45">
        <f>I5*'NEW Factors'!$B$88</f>
        <v>69.286000000000001</v>
      </c>
      <c r="J6" s="45">
        <f>J5*'NEW Factors'!$B$88</f>
        <v>0</v>
      </c>
      <c r="K6" s="45">
        <f>K5*'NEW Factors'!$B$88</f>
        <v>0</v>
      </c>
      <c r="L6" s="45">
        <f>L5*'NEW Factors'!$B$88</f>
        <v>0</v>
      </c>
      <c r="M6" s="45">
        <f>M5*'NEW Factors'!$B$88</f>
        <v>0</v>
      </c>
      <c r="N6" s="45">
        <f>N5*'NEW Factors'!$B$88</f>
        <v>0</v>
      </c>
      <c r="O6" s="45">
        <f>O5*'NEW Factors'!$B$88</f>
        <v>0</v>
      </c>
      <c r="P6" s="45">
        <f>P5*'NEW Factors'!$B$88</f>
        <v>0</v>
      </c>
      <c r="Q6" s="45">
        <f>Q5*'NEW Factors'!$B$88</f>
        <v>0</v>
      </c>
      <c r="R6" s="45">
        <f>R5*'NEW Factors'!$B$88</f>
        <v>0</v>
      </c>
      <c r="S6" s="45">
        <f>S5*'NEW Factors'!$B$88</f>
        <v>0</v>
      </c>
      <c r="T6" s="45">
        <f>T5*'NEW Factors'!$B$88</f>
        <v>0</v>
      </c>
      <c r="U6" s="45">
        <f>U5*'NEW Factors'!$B$88</f>
        <v>0</v>
      </c>
      <c r="V6" s="45">
        <f>V5*'NEW Factors'!$B$88</f>
        <v>0</v>
      </c>
      <c r="W6" s="45">
        <f>W5*'NEW Factors'!$B$88</f>
        <v>0</v>
      </c>
      <c r="X6" s="45">
        <f>X5*'NEW Factors'!$B$88</f>
        <v>0</v>
      </c>
      <c r="Y6" s="45">
        <f>Y5*'NEW Factors'!$B$88</f>
        <v>0</v>
      </c>
      <c r="Z6" s="45">
        <f>Z5*'NEW Factors'!$B$88</f>
        <v>0</v>
      </c>
      <c r="AA6" s="45">
        <f>AA5*'NEW Factors'!$B$88</f>
        <v>0</v>
      </c>
      <c r="AB6" s="45">
        <f>AB5*'NEW Factors'!$B$88</f>
        <v>0</v>
      </c>
      <c r="AC6" s="45">
        <f>AC5*'NEW Factors'!$B$88</f>
        <v>0</v>
      </c>
      <c r="AD6" s="45">
        <f>AD5*'NEW Factors'!$B$88</f>
        <v>0</v>
      </c>
      <c r="AE6" s="45">
        <f>AE5*'NEW Factors'!$B$88</f>
        <v>0</v>
      </c>
      <c r="AF6" s="45">
        <f>AF5*'NEW Factors'!$B$88</f>
        <v>0</v>
      </c>
      <c r="AG6" s="45">
        <f>AG5*'NEW Factors'!$B$88</f>
        <v>0</v>
      </c>
      <c r="AH6" s="45">
        <f>AH5*'NEW Factors'!$B$88</f>
        <v>0</v>
      </c>
      <c r="AI6" s="45"/>
    </row>
    <row r="7" spans="1:35" x14ac:dyDescent="0.25">
      <c r="A7" s="122"/>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row>
    <row r="8" spans="1:35" x14ac:dyDescent="0.25">
      <c r="A8" s="4" t="s">
        <v>253</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row>
    <row r="9" spans="1:35" x14ac:dyDescent="0.25">
      <c r="A9" s="41" t="s">
        <v>254</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row>
    <row r="10" spans="1:35" x14ac:dyDescent="0.25">
      <c r="A10" s="42" t="s">
        <v>255</v>
      </c>
      <c r="B10" s="47">
        <v>0</v>
      </c>
      <c r="C10" s="47">
        <v>0</v>
      </c>
      <c r="D10" s="47">
        <v>0</v>
      </c>
      <c r="E10" s="47">
        <v>0</v>
      </c>
      <c r="F10" s="47">
        <v>0</v>
      </c>
      <c r="G10" s="47">
        <v>0</v>
      </c>
      <c r="H10" s="47">
        <v>0</v>
      </c>
      <c r="I10" s="47">
        <v>0</v>
      </c>
      <c r="J10" s="47">
        <v>0</v>
      </c>
      <c r="K10" s="47">
        <v>0</v>
      </c>
      <c r="L10" s="47">
        <v>0</v>
      </c>
      <c r="M10" s="47">
        <v>6.6</v>
      </c>
      <c r="N10" s="47">
        <v>0</v>
      </c>
      <c r="O10" s="47">
        <v>0</v>
      </c>
      <c r="P10" s="47">
        <v>0</v>
      </c>
      <c r="Q10" s="47">
        <v>0</v>
      </c>
      <c r="R10" s="47">
        <v>0</v>
      </c>
      <c r="S10" s="47">
        <v>0</v>
      </c>
      <c r="T10" s="47">
        <v>0</v>
      </c>
      <c r="U10" s="47">
        <v>0</v>
      </c>
      <c r="V10" s="47">
        <v>0</v>
      </c>
      <c r="W10" s="47">
        <v>6.6</v>
      </c>
      <c r="X10" s="47">
        <v>0</v>
      </c>
      <c r="Y10" s="47">
        <v>0</v>
      </c>
      <c r="Z10" s="47">
        <v>0</v>
      </c>
      <c r="AA10" s="47">
        <v>0</v>
      </c>
      <c r="AB10" s="47">
        <v>0</v>
      </c>
      <c r="AC10" s="47">
        <v>0</v>
      </c>
      <c r="AD10" s="47">
        <v>0</v>
      </c>
      <c r="AE10" s="47">
        <v>0</v>
      </c>
      <c r="AF10" s="47">
        <v>0</v>
      </c>
      <c r="AG10" s="47">
        <v>6.6</v>
      </c>
      <c r="AH10" s="47">
        <v>0</v>
      </c>
      <c r="AI10" s="47"/>
    </row>
    <row r="11" spans="1:35" x14ac:dyDescent="0.25">
      <c r="A11" s="42" t="s">
        <v>256</v>
      </c>
      <c r="B11" s="47">
        <v>0</v>
      </c>
      <c r="C11" s="47">
        <v>0</v>
      </c>
      <c r="D11" s="47">
        <v>2.4</v>
      </c>
      <c r="E11" s="47">
        <v>0</v>
      </c>
      <c r="F11" s="47">
        <v>0</v>
      </c>
      <c r="G11" s="47">
        <v>0</v>
      </c>
      <c r="H11" s="47">
        <v>0</v>
      </c>
      <c r="I11" s="47">
        <v>0</v>
      </c>
      <c r="J11" s="47">
        <v>0</v>
      </c>
      <c r="K11" s="47">
        <v>0</v>
      </c>
      <c r="L11" s="47">
        <v>0</v>
      </c>
      <c r="M11" s="47">
        <v>2</v>
      </c>
      <c r="N11" s="47">
        <v>0</v>
      </c>
      <c r="O11" s="47">
        <v>0</v>
      </c>
      <c r="P11" s="47">
        <v>0</v>
      </c>
      <c r="Q11" s="47">
        <v>0</v>
      </c>
      <c r="R11" s="47">
        <v>3.3</v>
      </c>
      <c r="S11" s="47">
        <v>0</v>
      </c>
      <c r="T11" s="47">
        <v>0</v>
      </c>
      <c r="U11" s="47">
        <v>0</v>
      </c>
      <c r="V11" s="47">
        <v>0</v>
      </c>
      <c r="W11" s="47">
        <v>4.9000000000000004</v>
      </c>
      <c r="X11" s="47">
        <v>0</v>
      </c>
      <c r="Y11" s="47">
        <v>0</v>
      </c>
      <c r="Z11" s="47">
        <v>0</v>
      </c>
      <c r="AA11" s="47">
        <v>0</v>
      </c>
      <c r="AB11" s="47">
        <v>0</v>
      </c>
      <c r="AC11" s="47">
        <v>0</v>
      </c>
      <c r="AD11" s="47">
        <v>0</v>
      </c>
      <c r="AE11" s="47">
        <v>0</v>
      </c>
      <c r="AF11" s="47">
        <v>0</v>
      </c>
      <c r="AG11" s="47">
        <v>10</v>
      </c>
      <c r="AH11" s="47">
        <v>0</v>
      </c>
      <c r="AI11" s="47"/>
    </row>
    <row r="12" spans="1:35" x14ac:dyDescent="0.25">
      <c r="A12" s="42" t="s">
        <v>257</v>
      </c>
      <c r="B12" s="47">
        <v>0</v>
      </c>
      <c r="C12" s="47">
        <v>0</v>
      </c>
      <c r="D12" s="47">
        <v>0</v>
      </c>
      <c r="E12" s="47">
        <v>0</v>
      </c>
      <c r="F12" s="47">
        <v>0</v>
      </c>
      <c r="G12" s="47">
        <v>0</v>
      </c>
      <c r="H12" s="47">
        <v>0</v>
      </c>
      <c r="I12" s="47">
        <v>0</v>
      </c>
      <c r="J12" s="47">
        <v>0</v>
      </c>
      <c r="K12" s="47">
        <v>0</v>
      </c>
      <c r="L12" s="47">
        <v>0</v>
      </c>
      <c r="M12" s="47">
        <v>0.1</v>
      </c>
      <c r="N12" s="47">
        <v>0</v>
      </c>
      <c r="O12" s="47">
        <v>0</v>
      </c>
      <c r="P12" s="47">
        <v>0</v>
      </c>
      <c r="Q12" s="47">
        <v>0</v>
      </c>
      <c r="R12" s="47">
        <v>0.1</v>
      </c>
      <c r="S12" s="47">
        <v>0</v>
      </c>
      <c r="T12" s="47">
        <v>0</v>
      </c>
      <c r="U12" s="47">
        <v>0</v>
      </c>
      <c r="V12" s="47">
        <v>0</v>
      </c>
      <c r="W12" s="47">
        <v>0.1</v>
      </c>
      <c r="X12" s="47">
        <v>0</v>
      </c>
      <c r="Y12" s="47">
        <v>0</v>
      </c>
      <c r="Z12" s="47">
        <v>0</v>
      </c>
      <c r="AA12" s="47">
        <v>0</v>
      </c>
      <c r="AB12" s="47">
        <v>0.1</v>
      </c>
      <c r="AC12" s="47">
        <v>0</v>
      </c>
      <c r="AD12" s="47">
        <v>0</v>
      </c>
      <c r="AE12" s="47">
        <v>0</v>
      </c>
      <c r="AF12" s="47">
        <v>0</v>
      </c>
      <c r="AG12" s="47">
        <v>0.1</v>
      </c>
      <c r="AH12" s="47">
        <v>0</v>
      </c>
      <c r="AI12" s="47"/>
    </row>
    <row r="13" spans="1:35" x14ac:dyDescent="0.25">
      <c r="A13" s="42" t="s">
        <v>11</v>
      </c>
      <c r="B13" s="47">
        <f>B10+B11+B12</f>
        <v>0</v>
      </c>
      <c r="C13" s="47">
        <f t="shared" ref="C13:AH13" si="1">C10+C11+C12</f>
        <v>0</v>
      </c>
      <c r="D13" s="47">
        <f t="shared" si="1"/>
        <v>2.4</v>
      </c>
      <c r="E13" s="47">
        <f t="shared" si="1"/>
        <v>0</v>
      </c>
      <c r="F13" s="47">
        <f t="shared" si="1"/>
        <v>0</v>
      </c>
      <c r="G13" s="47">
        <f t="shared" si="1"/>
        <v>0</v>
      </c>
      <c r="H13" s="47">
        <f t="shared" si="1"/>
        <v>0</v>
      </c>
      <c r="I13" s="47">
        <f t="shared" si="1"/>
        <v>0</v>
      </c>
      <c r="J13" s="47">
        <f t="shared" si="1"/>
        <v>0</v>
      </c>
      <c r="K13" s="47">
        <f t="shared" si="1"/>
        <v>0</v>
      </c>
      <c r="L13" s="47">
        <f t="shared" si="1"/>
        <v>0</v>
      </c>
      <c r="M13" s="47">
        <f t="shared" si="1"/>
        <v>8.6999999999999993</v>
      </c>
      <c r="N13" s="47">
        <f t="shared" si="1"/>
        <v>0</v>
      </c>
      <c r="O13" s="47">
        <f t="shared" si="1"/>
        <v>0</v>
      </c>
      <c r="P13" s="47">
        <f t="shared" si="1"/>
        <v>0</v>
      </c>
      <c r="Q13" s="47">
        <f t="shared" si="1"/>
        <v>0</v>
      </c>
      <c r="R13" s="47">
        <f t="shared" si="1"/>
        <v>3.4</v>
      </c>
      <c r="S13" s="47">
        <f t="shared" si="1"/>
        <v>0</v>
      </c>
      <c r="T13" s="47">
        <f t="shared" si="1"/>
        <v>0</v>
      </c>
      <c r="U13" s="47">
        <f t="shared" si="1"/>
        <v>0</v>
      </c>
      <c r="V13" s="47">
        <f t="shared" si="1"/>
        <v>0</v>
      </c>
      <c r="W13" s="47">
        <f t="shared" si="1"/>
        <v>11.6</v>
      </c>
      <c r="X13" s="47">
        <f t="shared" si="1"/>
        <v>0</v>
      </c>
      <c r="Y13" s="47">
        <f t="shared" si="1"/>
        <v>0</v>
      </c>
      <c r="Z13" s="47">
        <f t="shared" si="1"/>
        <v>0</v>
      </c>
      <c r="AA13" s="47">
        <f t="shared" si="1"/>
        <v>0</v>
      </c>
      <c r="AB13" s="47">
        <f t="shared" si="1"/>
        <v>0.1</v>
      </c>
      <c r="AC13" s="47">
        <f t="shared" si="1"/>
        <v>0</v>
      </c>
      <c r="AD13" s="47">
        <f t="shared" si="1"/>
        <v>0</v>
      </c>
      <c r="AE13" s="47">
        <f t="shared" si="1"/>
        <v>0</v>
      </c>
      <c r="AF13" s="47">
        <f t="shared" si="1"/>
        <v>0</v>
      </c>
      <c r="AG13" s="47">
        <f t="shared" si="1"/>
        <v>16.700000000000003</v>
      </c>
      <c r="AH13" s="47">
        <f t="shared" si="1"/>
        <v>0</v>
      </c>
      <c r="AI13" s="47"/>
    </row>
    <row r="14" spans="1:35" x14ac:dyDescent="0.25">
      <c r="A14" s="44" t="s">
        <v>258</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row>
    <row r="15" spans="1:35" x14ac:dyDescent="0.25">
      <c r="A15" s="42" t="s">
        <v>259</v>
      </c>
      <c r="B15" s="47">
        <v>0</v>
      </c>
      <c r="C15" s="47">
        <v>0</v>
      </c>
      <c r="D15" s="47">
        <v>0</v>
      </c>
      <c r="E15" s="47">
        <v>0</v>
      </c>
      <c r="F15" s="47">
        <v>0</v>
      </c>
      <c r="G15" s="47">
        <v>0</v>
      </c>
      <c r="H15" s="47">
        <v>0</v>
      </c>
      <c r="I15" s="47">
        <v>1</v>
      </c>
      <c r="J15" s="47">
        <v>0</v>
      </c>
      <c r="K15" s="47">
        <v>0</v>
      </c>
      <c r="L15" s="47">
        <v>0</v>
      </c>
      <c r="M15" s="47">
        <v>0</v>
      </c>
      <c r="N15" s="47">
        <v>0</v>
      </c>
      <c r="O15" s="47">
        <v>0</v>
      </c>
      <c r="P15" s="47">
        <v>0</v>
      </c>
      <c r="Q15" s="47">
        <v>0</v>
      </c>
      <c r="R15" s="47">
        <v>0</v>
      </c>
      <c r="S15" s="47">
        <v>0</v>
      </c>
      <c r="T15" s="47">
        <v>0</v>
      </c>
      <c r="U15" s="47">
        <v>0</v>
      </c>
      <c r="V15" s="47">
        <v>0</v>
      </c>
      <c r="W15" s="47">
        <v>0</v>
      </c>
      <c r="X15" s="47">
        <v>0</v>
      </c>
      <c r="Y15" s="47">
        <v>0</v>
      </c>
      <c r="Z15" s="47">
        <v>0</v>
      </c>
      <c r="AA15" s="47">
        <v>0</v>
      </c>
      <c r="AB15" s="47">
        <v>5</v>
      </c>
      <c r="AC15" s="47">
        <v>0</v>
      </c>
      <c r="AD15" s="47">
        <v>0</v>
      </c>
      <c r="AE15" s="47">
        <v>0</v>
      </c>
      <c r="AF15" s="47">
        <v>0</v>
      </c>
      <c r="AG15" s="47">
        <v>2.5</v>
      </c>
      <c r="AH15" s="47">
        <v>0</v>
      </c>
      <c r="AI15" s="47"/>
    </row>
    <row r="16" spans="1:35" x14ac:dyDescent="0.25">
      <c r="A16" s="42"/>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row>
    <row r="17" spans="1:35" x14ac:dyDescent="0.25">
      <c r="A17" s="43" t="s">
        <v>260</v>
      </c>
      <c r="B17" s="47">
        <f>(B15-B13)*'NEW Factors'!$B$88</f>
        <v>0</v>
      </c>
      <c r="C17" s="47">
        <f>(C15-C13)*'NEW Factors'!$B$88</f>
        <v>0</v>
      </c>
      <c r="D17" s="47">
        <f>(D15-D13)*'NEW Factors'!$B$88</f>
        <v>-2.4239999999999999</v>
      </c>
      <c r="E17" s="47">
        <f>(E15-E13)*'NEW Factors'!$B$88</f>
        <v>0</v>
      </c>
      <c r="F17" s="47">
        <f>(F15-F13)*'NEW Factors'!$B$88</f>
        <v>0</v>
      </c>
      <c r="G17" s="47">
        <f>(G15-G13)*'NEW Factors'!$B$88</f>
        <v>0</v>
      </c>
      <c r="H17" s="47">
        <f>(H15-H13)*'NEW Factors'!$B$88</f>
        <v>0</v>
      </c>
      <c r="I17" s="47">
        <f>(I15-I13)*'NEW Factors'!$B$88</f>
        <v>1.01</v>
      </c>
      <c r="J17" s="47">
        <f>(J15-J13)*'NEW Factors'!$B$88</f>
        <v>0</v>
      </c>
      <c r="K17" s="47">
        <f>(K15-K13)*'NEW Factors'!$B$88</f>
        <v>0</v>
      </c>
      <c r="L17" s="47">
        <f>(L15-L13)*'NEW Factors'!$B$88</f>
        <v>0</v>
      </c>
      <c r="M17" s="47">
        <f>(M15-M13)*'NEW Factors'!$B$88</f>
        <v>-8.786999999999999</v>
      </c>
      <c r="N17" s="47">
        <f>(N15-N13)*'NEW Factors'!$B$88</f>
        <v>0</v>
      </c>
      <c r="O17" s="47">
        <f>(O15-O13)*'NEW Factors'!$B$88</f>
        <v>0</v>
      </c>
      <c r="P17" s="47">
        <f>(P15-P13)*'NEW Factors'!$B$88</f>
        <v>0</v>
      </c>
      <c r="Q17" s="47">
        <f>(Q15-Q13)*'NEW Factors'!$B$88</f>
        <v>0</v>
      </c>
      <c r="R17" s="47">
        <f>(R15-R13)*'NEW Factors'!$B$88</f>
        <v>-3.4339999999999997</v>
      </c>
      <c r="S17" s="47">
        <f>(S15-S13)*'NEW Factors'!$B$88</f>
        <v>0</v>
      </c>
      <c r="T17" s="47">
        <f>(T15-T13)*'NEW Factors'!$B$88</f>
        <v>0</v>
      </c>
      <c r="U17" s="47">
        <f>(U15-U13)*'NEW Factors'!$B$88</f>
        <v>0</v>
      </c>
      <c r="V17" s="47">
        <f>(V15-V13)*'NEW Factors'!$B$88</f>
        <v>0</v>
      </c>
      <c r="W17" s="47">
        <f>(W15-W13)*'NEW Factors'!$B$88</f>
        <v>-11.715999999999999</v>
      </c>
      <c r="X17" s="47">
        <f>(X15-X13)*'NEW Factors'!$B$88</f>
        <v>0</v>
      </c>
      <c r="Y17" s="47">
        <f>(Y15-Y13)*'NEW Factors'!$B$88</f>
        <v>0</v>
      </c>
      <c r="Z17" s="47">
        <f>(Z15-Z13)*'NEW Factors'!$B$88</f>
        <v>0</v>
      </c>
      <c r="AA17" s="47">
        <f>(AA15-AA13)*'NEW Factors'!$B$88</f>
        <v>0</v>
      </c>
      <c r="AB17" s="47">
        <f>(AB15-AB13)*'NEW Factors'!$B$88</f>
        <v>4.9490000000000007</v>
      </c>
      <c r="AC17" s="47">
        <f>(AC15-AC13)*'NEW Factors'!$B$88</f>
        <v>0</v>
      </c>
      <c r="AD17" s="47">
        <f>(AD15-AD13)*'NEW Factors'!$B$88</f>
        <v>0</v>
      </c>
      <c r="AE17" s="47">
        <f>(AE15-AE13)*'NEW Factors'!$B$88</f>
        <v>0</v>
      </c>
      <c r="AF17" s="47">
        <f>(AF15-AF13)*'NEW Factors'!$B$88</f>
        <v>0</v>
      </c>
      <c r="AG17" s="47">
        <f>(AG15-AG13)*'NEW Factors'!$B$88</f>
        <v>-14.342000000000002</v>
      </c>
      <c r="AH17" s="47">
        <f>(AH15-AH13)*'NEW Factors'!$B$88</f>
        <v>0</v>
      </c>
      <c r="AI17" s="47"/>
    </row>
    <row r="20" spans="1:35" x14ac:dyDescent="0.25">
      <c r="A20" s="2"/>
      <c r="B20" s="122"/>
      <c r="C20" s="122"/>
      <c r="D20" s="122"/>
      <c r="E20" s="122"/>
      <c r="F20" s="122"/>
      <c r="G20" s="122"/>
      <c r="H20" s="122"/>
      <c r="I20" s="122"/>
      <c r="J20" s="122"/>
      <c r="K20" s="122"/>
      <c r="L20" s="122"/>
      <c r="M20" s="123"/>
      <c r="N20" s="122" t="s">
        <v>23</v>
      </c>
      <c r="O20" s="122"/>
      <c r="P20" s="122"/>
      <c r="Q20" s="122"/>
      <c r="R20" s="122"/>
      <c r="S20" s="122"/>
      <c r="T20" s="122"/>
      <c r="U20" s="122"/>
      <c r="V20" s="122"/>
      <c r="W20" s="122"/>
      <c r="X20" s="122"/>
      <c r="Y20" s="122"/>
      <c r="Z20" s="122"/>
      <c r="AA20" s="122"/>
      <c r="AB20" s="123"/>
      <c r="AC20" s="122"/>
      <c r="AD20" s="122"/>
      <c r="AE20" s="122"/>
      <c r="AF20" s="123"/>
      <c r="AG20" s="122"/>
      <c r="AH20" s="122"/>
      <c r="AI20" s="122"/>
    </row>
    <row r="21" spans="1:35" x14ac:dyDescent="0.25">
      <c r="A21" s="122"/>
      <c r="B21" s="122"/>
      <c r="C21" s="122"/>
      <c r="D21" s="122"/>
      <c r="E21" s="122"/>
      <c r="F21" s="122"/>
      <c r="G21" s="122"/>
      <c r="H21" s="122"/>
      <c r="I21" s="122"/>
      <c r="J21" s="122"/>
      <c r="K21" s="123"/>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row>
    <row r="24" spans="1:35" x14ac:dyDescent="0.25">
      <c r="A24" s="122" t="s">
        <v>261</v>
      </c>
      <c r="B24" s="47">
        <f>SUM(G6:I6)</f>
        <v>207.858</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1:35" x14ac:dyDescent="0.25">
      <c r="A25" s="122"/>
      <c r="B25" s="47"/>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row>
    <row r="27" spans="1:35" x14ac:dyDescent="0.25">
      <c r="A27" s="124" t="s">
        <v>262</v>
      </c>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row>
    <row r="28" spans="1:35" x14ac:dyDescent="0.25">
      <c r="A28" s="196" t="s">
        <v>263</v>
      </c>
      <c r="B28" s="260"/>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row>
    <row r="29" spans="1:35" x14ac:dyDescent="0.25">
      <c r="A29" s="261" t="s">
        <v>254</v>
      </c>
      <c r="B29" s="262" t="s">
        <v>264</v>
      </c>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row>
    <row r="30" spans="1:35" x14ac:dyDescent="0.25">
      <c r="A30" s="263" t="s">
        <v>255</v>
      </c>
      <c r="B30" s="264">
        <f>SUM(B10:AI10)*'NEW Factors'!$B$88</f>
        <v>19.997999999999998</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122"/>
      <c r="AI30" s="122"/>
    </row>
    <row r="31" spans="1:35" x14ac:dyDescent="0.25">
      <c r="A31" s="263" t="s">
        <v>256</v>
      </c>
      <c r="B31" s="264">
        <f>SUM(B11:AI11)*'NEW Factors'!$B$88</f>
        <v>22.826000000000001</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122"/>
      <c r="AI31" s="122"/>
    </row>
    <row r="32" spans="1:35" x14ac:dyDescent="0.25">
      <c r="A32" s="263" t="s">
        <v>257</v>
      </c>
      <c r="B32" s="264">
        <f>SUM(B12:AI12)*'NEW Factors'!$B$88</f>
        <v>0.505</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122"/>
      <c r="AI32" s="122"/>
    </row>
    <row r="33" spans="1:33" x14ac:dyDescent="0.25">
      <c r="A33" s="265" t="s">
        <v>11</v>
      </c>
      <c r="B33" s="266">
        <f>SUM(B13:AI13)*'NEW Factors'!$B$88</f>
        <v>43.329000000000008</v>
      </c>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row>
    <row r="34" spans="1:33" x14ac:dyDescent="0.25">
      <c r="A34" s="267"/>
      <c r="B34" s="268"/>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row>
    <row r="35" spans="1:33" x14ac:dyDescent="0.25">
      <c r="A35" s="261" t="s">
        <v>258</v>
      </c>
      <c r="B35" s="264"/>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row>
    <row r="36" spans="1:33" x14ac:dyDescent="0.25">
      <c r="A36" s="269" t="s">
        <v>9</v>
      </c>
      <c r="B36" s="270">
        <f>SUM(C6:AG6)</f>
        <v>207.858</v>
      </c>
      <c r="C36" s="122"/>
      <c r="D36" s="122"/>
      <c r="E36" s="251"/>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row>
    <row r="37" spans="1:33" x14ac:dyDescent="0.25">
      <c r="A37" s="263" t="s">
        <v>259</v>
      </c>
      <c r="B37" s="264">
        <f>SUM(B15:AI15)*'NEW Factors'!$B$88</f>
        <v>8.5850000000000009</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row>
    <row r="38" spans="1:33" x14ac:dyDescent="0.25">
      <c r="A38" s="199"/>
      <c r="B38" s="220"/>
      <c r="C38" s="122"/>
      <c r="D38" s="122"/>
      <c r="E38" s="251"/>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row>
    <row r="40" spans="1:33" x14ac:dyDescent="0.25">
      <c r="A40" s="122" t="s">
        <v>265</v>
      </c>
      <c r="B40" s="122" t="s">
        <v>266</v>
      </c>
      <c r="C40" s="122" t="s">
        <v>267</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row>
    <row r="41" spans="1:33" x14ac:dyDescent="0.25">
      <c r="A41" s="1" t="s">
        <v>268</v>
      </c>
      <c r="B41" s="122">
        <v>75.099999999999994</v>
      </c>
      <c r="C41" s="122">
        <f>'NEW Factors'!$B$88*B41</f>
        <v>75.850999999999999</v>
      </c>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row>
    <row r="42" spans="1:33" x14ac:dyDescent="0.25">
      <c r="A42" s="1" t="s">
        <v>174</v>
      </c>
      <c r="B42" s="122">
        <v>60.2</v>
      </c>
      <c r="C42" s="122">
        <f>'NEW Factors'!$B$88*B42</f>
        <v>60.802000000000007</v>
      </c>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row>
    <row r="43" spans="1:33" x14ac:dyDescent="0.25">
      <c r="A43" s="1" t="s">
        <v>269</v>
      </c>
      <c r="B43" s="122">
        <v>70.5</v>
      </c>
      <c r="C43" s="122">
        <f>'NEW Factors'!$B$88*B43</f>
        <v>71.204999999999998</v>
      </c>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row>
    <row r="47" spans="1:33" x14ac:dyDescent="0.25">
      <c r="A47" s="1" t="s">
        <v>270</v>
      </c>
      <c r="B47" s="122" t="s">
        <v>266</v>
      </c>
      <c r="C47" s="122" t="s">
        <v>267</v>
      </c>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row>
    <row r="48" spans="1:33" x14ac:dyDescent="0.25">
      <c r="A48" s="122">
        <v>2016</v>
      </c>
      <c r="B48" s="7">
        <v>4.9000000000000004</v>
      </c>
      <c r="C48" s="7">
        <f>B48*'NEW Factors'!$B$88</f>
        <v>4.9490000000000007</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row>
    <row r="49" spans="1:3" x14ac:dyDescent="0.25">
      <c r="A49" s="122">
        <v>2017</v>
      </c>
      <c r="B49" s="7">
        <v>2.5</v>
      </c>
      <c r="C49" s="7">
        <f>B49*'NEW Factors'!$B$88</f>
        <v>2.5249999999999999</v>
      </c>
    </row>
    <row r="50" spans="1:3" x14ac:dyDescent="0.25">
      <c r="A50" s="122">
        <v>2018</v>
      </c>
      <c r="B50" s="7">
        <v>1.7</v>
      </c>
      <c r="C50" s="7">
        <f>B50*'NEW Factors'!$B$88</f>
        <v>1.7169999999999999</v>
      </c>
    </row>
    <row r="51" spans="1:3" x14ac:dyDescent="0.25">
      <c r="A51" s="122">
        <v>2019</v>
      </c>
      <c r="B51" s="7"/>
      <c r="C51" s="7"/>
    </row>
    <row r="52" spans="1:3" x14ac:dyDescent="0.25">
      <c r="A52" s="1" t="s">
        <v>271</v>
      </c>
      <c r="B52" s="7">
        <f>SUM(B48:B51)</f>
        <v>9.1</v>
      </c>
      <c r="C52" s="7">
        <f>SUM(C48:C51)</f>
        <v>9.1910000000000007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5266B-1BA2-4437-BCEA-3DFCB3981D8D}">
  <sheetPr>
    <tabColor rgb="FFFFC000"/>
  </sheetPr>
  <dimension ref="A1:W36"/>
  <sheetViews>
    <sheetView zoomScaleNormal="100" workbookViewId="0">
      <selection activeCell="A36" sqref="A36"/>
    </sheetView>
  </sheetViews>
  <sheetFormatPr defaultColWidth="8.7109375" defaultRowHeight="15" x14ac:dyDescent="0.25"/>
  <cols>
    <col min="1" max="1" width="28.28515625" style="60" customWidth="1"/>
    <col min="2" max="2" width="12.140625" style="60" customWidth="1"/>
    <col min="3" max="3" width="11.7109375" style="60" customWidth="1"/>
    <col min="4" max="4" width="14.7109375" style="60" bestFit="1" customWidth="1"/>
    <col min="5" max="5" width="14.42578125" style="60" bestFit="1" customWidth="1"/>
    <col min="6" max="7" width="14.42578125" style="60" customWidth="1"/>
    <col min="8" max="8" width="28.42578125" style="60" bestFit="1" customWidth="1"/>
    <col min="9" max="9" width="63.42578125" style="60" bestFit="1" customWidth="1"/>
    <col min="10" max="15" width="9.7109375" style="60" bestFit="1" customWidth="1"/>
    <col min="16" max="23" width="8.7109375" style="60" customWidth="1"/>
    <col min="24" max="16384" width="8.7109375" style="60"/>
  </cols>
  <sheetData>
    <row r="1" spans="1:23" ht="18.75" x14ac:dyDescent="0.25">
      <c r="A1" s="59" t="s">
        <v>272</v>
      </c>
    </row>
    <row r="3" spans="1:23" ht="15" customHeight="1" x14ac:dyDescent="0.25">
      <c r="A3" s="271" t="s">
        <v>273</v>
      </c>
      <c r="B3" s="338" t="s">
        <v>274</v>
      </c>
      <c r="C3" s="338"/>
      <c r="D3" s="338"/>
      <c r="E3" s="339"/>
      <c r="F3" s="328"/>
      <c r="G3" s="328"/>
      <c r="H3" s="61"/>
      <c r="P3" s="337"/>
      <c r="Q3" s="337"/>
      <c r="R3" s="337"/>
      <c r="S3" s="337"/>
      <c r="T3" s="337"/>
      <c r="U3" s="337"/>
      <c r="V3" s="337"/>
      <c r="W3" s="337"/>
    </row>
    <row r="4" spans="1:23" ht="15" customHeight="1" x14ac:dyDescent="0.25">
      <c r="A4" s="272"/>
      <c r="B4" s="276" t="s">
        <v>275</v>
      </c>
      <c r="C4" s="276" t="s">
        <v>276</v>
      </c>
      <c r="D4" s="276" t="s">
        <v>277</v>
      </c>
      <c r="E4" s="277" t="s">
        <v>278</v>
      </c>
      <c r="F4" s="328"/>
      <c r="G4" s="328"/>
      <c r="H4" s="61"/>
      <c r="I4" s="328"/>
      <c r="J4" s="328"/>
      <c r="K4" s="328"/>
      <c r="L4" s="328"/>
      <c r="P4" s="328"/>
      <c r="Q4" s="328"/>
      <c r="R4" s="328"/>
      <c r="S4" s="328"/>
      <c r="T4" s="328"/>
      <c r="U4" s="328"/>
      <c r="V4" s="328"/>
      <c r="W4" s="328"/>
    </row>
    <row r="5" spans="1:23" ht="15" hidden="1" customHeight="1" x14ac:dyDescent="0.25">
      <c r="A5" s="273" t="s">
        <v>279</v>
      </c>
      <c r="B5" s="66">
        <v>937508.10072900006</v>
      </c>
      <c r="C5" s="66">
        <v>854992.06488399999</v>
      </c>
      <c r="D5" s="66">
        <v>35081.607332</v>
      </c>
      <c r="E5" s="274">
        <v>47434.428512999999</v>
      </c>
      <c r="F5" s="66"/>
      <c r="G5" s="66"/>
      <c r="H5" s="62"/>
      <c r="I5" s="66"/>
      <c r="J5" s="66"/>
      <c r="K5" s="66"/>
      <c r="L5" s="66"/>
      <c r="P5" s="66"/>
      <c r="Q5" s="66"/>
      <c r="R5" s="66"/>
      <c r="S5" s="66"/>
      <c r="T5" s="66"/>
      <c r="U5" s="66"/>
      <c r="V5" s="66"/>
      <c r="W5" s="66"/>
    </row>
    <row r="6" spans="1:23" ht="15" customHeight="1" x14ac:dyDescent="0.25">
      <c r="A6" s="273" t="s">
        <v>280</v>
      </c>
      <c r="B6" s="278">
        <v>4048058.068895</v>
      </c>
      <c r="C6" s="278">
        <v>3672981.496113</v>
      </c>
      <c r="D6" s="278">
        <v>136664.322591</v>
      </c>
      <c r="E6" s="279">
        <v>238412.25014299998</v>
      </c>
      <c r="F6" s="66"/>
      <c r="G6" s="66"/>
      <c r="H6" s="62"/>
      <c r="I6" s="66"/>
      <c r="J6" s="66"/>
      <c r="K6" s="66"/>
      <c r="L6" s="66"/>
      <c r="P6" s="66"/>
      <c r="Q6" s="66"/>
      <c r="R6" s="66"/>
      <c r="S6" s="66"/>
      <c r="T6" s="66"/>
      <c r="U6" s="66"/>
      <c r="V6" s="66"/>
      <c r="W6" s="66"/>
    </row>
    <row r="7" spans="1:23" ht="15" customHeight="1" x14ac:dyDescent="0.25">
      <c r="A7" s="275" t="s">
        <v>281</v>
      </c>
      <c r="B7" s="280">
        <v>2458430.4896050002</v>
      </c>
      <c r="C7" s="280">
        <v>2295219.8003369998</v>
      </c>
      <c r="D7" s="280">
        <v>75520.532359000004</v>
      </c>
      <c r="E7" s="281">
        <v>87690.156915</v>
      </c>
      <c r="F7" s="66"/>
      <c r="G7" s="66"/>
      <c r="H7" s="62"/>
      <c r="I7" s="66"/>
      <c r="J7" s="66"/>
      <c r="K7" s="66"/>
      <c r="L7" s="66"/>
      <c r="P7" s="66"/>
      <c r="Q7" s="66"/>
      <c r="R7" s="66"/>
      <c r="S7" s="66"/>
      <c r="T7" s="66"/>
      <c r="U7" s="66"/>
      <c r="V7" s="66"/>
      <c r="W7" s="66"/>
    </row>
    <row r="8" spans="1:23" ht="15" hidden="1" customHeight="1" x14ac:dyDescent="0.25">
      <c r="A8" s="62" t="s">
        <v>282</v>
      </c>
      <c r="B8" s="66">
        <v>801893.83626400004</v>
      </c>
      <c r="C8" s="66">
        <v>727557.95273700007</v>
      </c>
      <c r="D8" s="66">
        <v>30576.160425000002</v>
      </c>
      <c r="E8" s="66">
        <v>43759.723101000003</v>
      </c>
      <c r="F8" s="66"/>
      <c r="G8" s="66"/>
      <c r="H8" s="62"/>
      <c r="I8" s="66"/>
      <c r="J8" s="66"/>
      <c r="K8" s="66"/>
      <c r="L8" s="66"/>
      <c r="P8" s="66"/>
      <c r="Q8" s="66"/>
      <c r="R8" s="66"/>
      <c r="S8" s="66"/>
      <c r="T8" s="66"/>
      <c r="U8" s="66"/>
      <c r="V8" s="66"/>
      <c r="W8" s="66"/>
    </row>
    <row r="9" spans="1:23" ht="15" customHeight="1" x14ac:dyDescent="0.25"/>
    <row r="10" spans="1:23" ht="15" customHeight="1" x14ac:dyDescent="0.25">
      <c r="A10" s="271" t="s">
        <v>283</v>
      </c>
      <c r="B10" s="338" t="s">
        <v>274</v>
      </c>
      <c r="C10" s="338"/>
      <c r="D10" s="338"/>
      <c r="E10" s="339"/>
      <c r="F10" s="328"/>
      <c r="G10" s="328"/>
      <c r="H10" s="61"/>
      <c r="I10" s="337"/>
      <c r="J10" s="337"/>
      <c r="K10" s="337"/>
      <c r="L10" s="337"/>
      <c r="P10" s="337"/>
      <c r="Q10" s="337"/>
      <c r="R10" s="337"/>
      <c r="S10" s="337"/>
      <c r="T10" s="337"/>
      <c r="U10" s="337"/>
      <c r="V10" s="337"/>
      <c r="W10" s="337"/>
    </row>
    <row r="11" spans="1:23" ht="15" customHeight="1" x14ac:dyDescent="0.25">
      <c r="A11" s="272"/>
      <c r="B11" s="276" t="s">
        <v>275</v>
      </c>
      <c r="C11" s="276" t="s">
        <v>276</v>
      </c>
      <c r="D11" s="276" t="s">
        <v>277</v>
      </c>
      <c r="E11" s="277" t="s">
        <v>278</v>
      </c>
      <c r="F11" s="328"/>
      <c r="G11" s="328"/>
      <c r="H11" s="61"/>
      <c r="I11" s="328"/>
      <c r="J11" s="328"/>
      <c r="K11" s="328"/>
      <c r="L11" s="328"/>
      <c r="P11" s="328"/>
      <c r="Q11" s="328"/>
      <c r="R11" s="328"/>
      <c r="S11" s="328"/>
      <c r="T11" s="328"/>
      <c r="U11" s="328"/>
      <c r="V11" s="328"/>
      <c r="W11" s="328"/>
    </row>
    <row r="12" spans="1:23" ht="15" hidden="1" customHeight="1" x14ac:dyDescent="0.25">
      <c r="A12" s="273" t="s">
        <v>284</v>
      </c>
      <c r="B12" s="66">
        <v>1487821.305747</v>
      </c>
      <c r="C12" s="66">
        <v>1356992.9231500002</v>
      </c>
      <c r="D12" s="66">
        <v>52772.676747999998</v>
      </c>
      <c r="E12" s="274">
        <v>78055.705856</v>
      </c>
      <c r="F12" s="66"/>
      <c r="G12" s="66"/>
      <c r="H12" s="62"/>
      <c r="I12" s="66"/>
      <c r="J12" s="66"/>
      <c r="K12" s="66"/>
      <c r="L12" s="66"/>
      <c r="P12" s="66"/>
      <c r="Q12" s="66"/>
      <c r="R12" s="66"/>
      <c r="S12" s="66"/>
      <c r="T12" s="66"/>
      <c r="U12" s="66"/>
      <c r="V12" s="66"/>
      <c r="W12" s="66"/>
    </row>
    <row r="13" spans="1:23" ht="15" customHeight="1" x14ac:dyDescent="0.25">
      <c r="A13" s="273" t="s">
        <v>285</v>
      </c>
      <c r="B13" s="278">
        <v>5247407.7619270002</v>
      </c>
      <c r="C13" s="278">
        <v>4756955.204384</v>
      </c>
      <c r="D13" s="278">
        <v>189138.20864900001</v>
      </c>
      <c r="E13" s="279">
        <v>301314.34878299996</v>
      </c>
      <c r="F13" s="66"/>
      <c r="G13" s="66"/>
      <c r="H13" s="62"/>
      <c r="I13" s="66"/>
      <c r="J13" s="328"/>
      <c r="K13" s="66"/>
      <c r="L13" s="66"/>
      <c r="P13" s="66"/>
      <c r="Q13" s="66"/>
      <c r="R13" s="66"/>
      <c r="S13" s="66"/>
      <c r="T13" s="66"/>
      <c r="U13" s="66"/>
      <c r="V13" s="66"/>
      <c r="W13" s="66"/>
    </row>
    <row r="14" spans="1:23" ht="15" customHeight="1" x14ac:dyDescent="0.25">
      <c r="A14" s="275" t="s">
        <v>286</v>
      </c>
      <c r="B14" s="280">
        <v>1108530.7477289999</v>
      </c>
      <c r="C14" s="280">
        <v>999481.10853499989</v>
      </c>
      <c r="D14" s="280">
        <v>43956.012723</v>
      </c>
      <c r="E14" s="281">
        <v>65093.626475000005</v>
      </c>
      <c r="F14" s="66"/>
      <c r="G14" s="66"/>
      <c r="H14" s="62"/>
      <c r="I14" s="66"/>
      <c r="J14" s="66"/>
      <c r="K14" s="66"/>
      <c r="L14" s="66"/>
      <c r="P14" s="66"/>
      <c r="Q14" s="66"/>
      <c r="R14" s="66"/>
      <c r="S14" s="66"/>
      <c r="T14" s="66"/>
      <c r="U14" s="66"/>
      <c r="V14" s="66"/>
      <c r="W14" s="66"/>
    </row>
    <row r="15" spans="1:23" ht="30" hidden="1" customHeight="1" x14ac:dyDescent="0.25">
      <c r="A15" s="62" t="s">
        <v>287</v>
      </c>
      <c r="B15" s="66">
        <v>1091935.527586</v>
      </c>
      <c r="C15" s="66">
        <v>983929.88898000005</v>
      </c>
      <c r="D15" s="66">
        <v>43359.665881000001</v>
      </c>
      <c r="E15" s="66">
        <v>64645.972728999994</v>
      </c>
      <c r="F15" s="66"/>
      <c r="G15" s="66"/>
      <c r="H15" s="66"/>
      <c r="I15" s="66"/>
      <c r="J15" s="66"/>
      <c r="K15" s="66"/>
      <c r="L15" s="66"/>
      <c r="M15" s="66"/>
      <c r="N15" s="66"/>
      <c r="O15" s="66"/>
    </row>
    <row r="17" spans="1:15" ht="15.75" x14ac:dyDescent="0.25">
      <c r="A17" s="61" t="s">
        <v>334</v>
      </c>
      <c r="I17" s="61"/>
    </row>
    <row r="18" spans="1:15" x14ac:dyDescent="0.25">
      <c r="A18" s="284" t="s">
        <v>288</v>
      </c>
      <c r="B18" s="285">
        <v>2025</v>
      </c>
      <c r="C18" s="285">
        <v>2030</v>
      </c>
      <c r="D18" s="285">
        <v>2035</v>
      </c>
      <c r="E18" s="285">
        <v>2040</v>
      </c>
      <c r="F18" s="285">
        <v>2045</v>
      </c>
      <c r="G18" s="286">
        <v>2050</v>
      </c>
      <c r="I18" s="63"/>
      <c r="N18" s="69"/>
    </row>
    <row r="19" spans="1:15" x14ac:dyDescent="0.25">
      <c r="A19" s="287" t="s">
        <v>276</v>
      </c>
      <c r="B19" s="288">
        <f>$F19*((1-'Look Up'!$B$5)^($F$18-B$18))</f>
        <v>813.54283403424881</v>
      </c>
      <c r="C19" s="288">
        <f>$F19*((1-'Look Up'!$B$5)^($F$18-C$18))</f>
        <v>871.19446207853639</v>
      </c>
      <c r="D19" s="288">
        <f>$F19*((1-'Look Up'!$B$5)^($F$18-D$18))</f>
        <v>932.93156672849352</v>
      </c>
      <c r="E19" s="288">
        <f>$F19*((1-'Look Up'!$B$5)^($F$18-E$18))</f>
        <v>999.0436648574796</v>
      </c>
      <c r="F19" s="289">
        <f>((C6-C7)+(C13-C14))/('Look Up'!$B$14)*'Look Up'!$B$4</f>
        <v>1069.8407899218751</v>
      </c>
      <c r="G19" s="290">
        <f>$F19*((1+'Look Up'!$B$5)^(G$18-F$18))</f>
        <v>1144.595836031041</v>
      </c>
      <c r="H19" s="67"/>
      <c r="I19" s="65"/>
      <c r="J19" s="67"/>
      <c r="K19" s="67"/>
      <c r="L19" s="67"/>
      <c r="M19" s="67"/>
      <c r="N19" s="67"/>
      <c r="O19" s="67"/>
    </row>
    <row r="20" spans="1:15" x14ac:dyDescent="0.25">
      <c r="A20" s="291" t="s">
        <v>277</v>
      </c>
      <c r="B20" s="67">
        <f>$F20*((1-'Look Up'!$B$5)^($F$18-B$18))</f>
        <v>32.686917276056427</v>
      </c>
      <c r="C20" s="67">
        <f>$F20*((1-'Look Up'!$B$5)^($F$18-C$18))</f>
        <v>35.00327225809081</v>
      </c>
      <c r="D20" s="67">
        <f>$F20*((1-'Look Up'!$B$5)^($F$18-D$18))</f>
        <v>37.483775494225803</v>
      </c>
      <c r="E20" s="67">
        <f>$F20*((1-'Look Up'!$B$5)^($F$18-E$18))</f>
        <v>40.140059333360099</v>
      </c>
      <c r="F20" s="282">
        <f>((D6-D7)+(D13-D14))/('Look Up'!$B$14)*'Look Up'!$B$4</f>
        <v>42.984580449583333</v>
      </c>
      <c r="G20" s="292">
        <f>$F20*((1+'Look Up'!$B$5)^(G$18-F$18))</f>
        <v>45.988124830917307</v>
      </c>
      <c r="H20" s="67"/>
      <c r="I20" s="65"/>
      <c r="J20" s="67"/>
      <c r="K20" s="67"/>
      <c r="L20" s="67"/>
      <c r="M20" s="67"/>
      <c r="N20" s="67"/>
      <c r="O20" s="67"/>
    </row>
    <row r="21" spans="1:15" x14ac:dyDescent="0.25">
      <c r="A21" s="293" t="s">
        <v>278</v>
      </c>
      <c r="B21" s="294">
        <f>$F21*((1-'Look Up'!$B$5)^($F$18-B$18))</f>
        <v>61.300895914797898</v>
      </c>
      <c r="C21" s="294">
        <f>$F21*((1-'Look Up'!$B$5)^($F$18-C$18))</f>
        <v>65.644977507326232</v>
      </c>
      <c r="D21" s="294">
        <f>$F21*((1-'Look Up'!$B$5)^($F$18-D$18))</f>
        <v>70.296901988623659</v>
      </c>
      <c r="E21" s="294">
        <f>$F21*((1-'Look Up'!$B$5)^($F$18-E$18))</f>
        <v>75.278484612880746</v>
      </c>
      <c r="F21" s="295">
        <f>((E13-E14)+(E6-E7))/('Look Up'!$B$14)*'Look Up'!$B$4</f>
        <v>80.613086569999979</v>
      </c>
      <c r="G21" s="296">
        <f>$F21*((1+'Look Up'!$B$5)^(G$18-F$18))</f>
        <v>86.245920034858415</v>
      </c>
      <c r="H21" s="67"/>
      <c r="I21" s="65"/>
      <c r="J21" s="67"/>
      <c r="K21" s="67"/>
      <c r="L21" s="67"/>
      <c r="M21" s="67"/>
      <c r="N21" s="67"/>
      <c r="O21" s="67"/>
    </row>
    <row r="22" spans="1:15" x14ac:dyDescent="0.25">
      <c r="B22" s="67"/>
      <c r="C22" s="67"/>
      <c r="D22" s="67"/>
      <c r="E22" s="67"/>
      <c r="F22" s="283"/>
      <c r="G22" s="67"/>
      <c r="H22" s="67"/>
      <c r="J22" s="67"/>
      <c r="K22" s="67"/>
      <c r="L22" s="67"/>
      <c r="M22" s="67"/>
      <c r="N22" s="67"/>
      <c r="O22" s="67"/>
    </row>
    <row r="23" spans="1:15" x14ac:dyDescent="0.25">
      <c r="A23" s="284" t="s">
        <v>289</v>
      </c>
      <c r="B23" s="285">
        <v>2025</v>
      </c>
      <c r="C23" s="285">
        <v>2030</v>
      </c>
      <c r="D23" s="285">
        <v>2035</v>
      </c>
      <c r="E23" s="285">
        <v>2040</v>
      </c>
      <c r="F23" s="285">
        <v>2045</v>
      </c>
      <c r="G23" s="286">
        <v>2050</v>
      </c>
      <c r="I23" s="63"/>
      <c r="N23" s="69"/>
    </row>
    <row r="24" spans="1:15" x14ac:dyDescent="0.25">
      <c r="A24" s="287" t="s">
        <v>276</v>
      </c>
      <c r="B24" s="288">
        <f>'Look Up'!$B$6*B19</f>
        <v>203385.70850856221</v>
      </c>
      <c r="C24" s="288">
        <f>'Look Up'!$B$6*C19</f>
        <v>217798.6155196341</v>
      </c>
      <c r="D24" s="288">
        <f>'Look Up'!$B$6*D19</f>
        <v>233232.89168212339</v>
      </c>
      <c r="E24" s="288">
        <f>'Look Up'!$B$6*E19</f>
        <v>249760.91621436991</v>
      </c>
      <c r="F24" s="297">
        <f>'Look Up'!$B$6*F19</f>
        <v>267460.19748046878</v>
      </c>
      <c r="G24" s="290">
        <f>'Look Up'!$B$6*G19</f>
        <v>286148.95900776028</v>
      </c>
      <c r="H24" s="67"/>
      <c r="I24" s="65"/>
      <c r="J24" s="67"/>
      <c r="K24" s="67"/>
      <c r="L24" s="67"/>
      <c r="M24" s="67"/>
      <c r="N24" s="67"/>
      <c r="O24" s="67"/>
    </row>
    <row r="25" spans="1:15" x14ac:dyDescent="0.25">
      <c r="A25" s="291" t="s">
        <v>277</v>
      </c>
      <c r="B25" s="67">
        <f>'Look Up'!$B$6*B20</f>
        <v>8171.7293190141063</v>
      </c>
      <c r="C25" s="67">
        <f>'Look Up'!$B$6*C20</f>
        <v>8750.8180645227021</v>
      </c>
      <c r="D25" s="67">
        <f>'Look Up'!$B$6*D20</f>
        <v>9370.9438735564509</v>
      </c>
      <c r="E25" s="67">
        <f>'Look Up'!$B$6*E20</f>
        <v>10035.014833340025</v>
      </c>
      <c r="F25" s="283">
        <f>'Look Up'!$B$6*F20</f>
        <v>10746.145112395834</v>
      </c>
      <c r="G25" s="292">
        <f>'Look Up'!$B$6*G20</f>
        <v>11497.031207729327</v>
      </c>
      <c r="H25" s="67"/>
      <c r="I25" s="65"/>
      <c r="J25" s="67"/>
      <c r="K25" s="67"/>
      <c r="L25" s="67"/>
      <c r="M25" s="67"/>
      <c r="N25" s="67"/>
      <c r="O25" s="67"/>
    </row>
    <row r="26" spans="1:15" x14ac:dyDescent="0.25">
      <c r="A26" s="293" t="s">
        <v>278</v>
      </c>
      <c r="B26" s="294">
        <f>'Look Up'!$B$6*B21</f>
        <v>15325.223978699474</v>
      </c>
      <c r="C26" s="294">
        <f>'Look Up'!$B$6*C21</f>
        <v>16411.244376831557</v>
      </c>
      <c r="D26" s="294">
        <f>'Look Up'!$B$6*D21</f>
        <v>17574.225497155916</v>
      </c>
      <c r="E26" s="294">
        <f>'Look Up'!$B$6*E21</f>
        <v>18819.621153220185</v>
      </c>
      <c r="F26" s="295">
        <f>'Look Up'!$B$6*F21</f>
        <v>20153.271642499996</v>
      </c>
      <c r="G26" s="296">
        <f>'Look Up'!$B$6*G21</f>
        <v>21561.480008714603</v>
      </c>
      <c r="H26" s="67"/>
      <c r="I26" s="65"/>
      <c r="J26" s="67"/>
      <c r="K26" s="67"/>
      <c r="L26" s="67"/>
      <c r="M26" s="67"/>
      <c r="N26" s="67"/>
      <c r="O26" s="67"/>
    </row>
    <row r="27" spans="1:15" x14ac:dyDescent="0.25">
      <c r="B27" s="67"/>
      <c r="C27" s="67"/>
      <c r="D27" s="67"/>
      <c r="E27" s="67"/>
      <c r="F27" s="283"/>
      <c r="G27" s="67"/>
      <c r="H27" s="67"/>
      <c r="J27" s="67"/>
      <c r="K27" s="67"/>
      <c r="L27" s="67"/>
      <c r="M27" s="67"/>
      <c r="N27" s="70"/>
      <c r="O27" s="67"/>
    </row>
    <row r="28" spans="1:15" x14ac:dyDescent="0.25">
      <c r="A28" s="298" t="s">
        <v>290</v>
      </c>
      <c r="B28" s="299">
        <f>B24*'Look Up'!$B$7</f>
        <v>301010.84859267209</v>
      </c>
      <c r="C28" s="299">
        <f>C24*'Look Up'!$B$7</f>
        <v>322341.95096905844</v>
      </c>
      <c r="D28" s="299">
        <f>D24*'Look Up'!$B$7</f>
        <v>345184.67968954262</v>
      </c>
      <c r="E28" s="299">
        <f>E24*'Look Up'!$B$7</f>
        <v>369646.15599726746</v>
      </c>
      <c r="F28" s="300">
        <f>F24*'Look Up'!$B$7</f>
        <v>395841.0922710938</v>
      </c>
      <c r="G28" s="301">
        <f>G24*'Look Up'!$B$7</f>
        <v>423500.45933148521</v>
      </c>
      <c r="H28" s="67"/>
      <c r="J28" s="67"/>
      <c r="K28" s="67"/>
      <c r="L28" s="67"/>
      <c r="M28" s="67"/>
      <c r="N28" s="70"/>
      <c r="O28" s="67"/>
    </row>
    <row r="30" spans="1:15" x14ac:dyDescent="0.25">
      <c r="A30" s="68" t="s">
        <v>291</v>
      </c>
    </row>
    <row r="31" spans="1:15" x14ac:dyDescent="0.25">
      <c r="A31" s="64" t="s">
        <v>292</v>
      </c>
      <c r="B31" s="64"/>
      <c r="C31" s="64"/>
      <c r="D31" s="64"/>
      <c r="E31" s="64"/>
      <c r="F31" s="64"/>
      <c r="G31" s="64"/>
      <c r="H31" s="64"/>
    </row>
    <row r="32" spans="1:15" hidden="1" x14ac:dyDescent="0.25">
      <c r="A32" s="64" t="s">
        <v>293</v>
      </c>
      <c r="B32" s="64"/>
      <c r="C32" s="64"/>
      <c r="D32" s="64"/>
      <c r="E32" s="64"/>
      <c r="F32" s="64"/>
      <c r="G32" s="64"/>
      <c r="H32" s="64"/>
    </row>
    <row r="33" spans="1:8" hidden="1" x14ac:dyDescent="0.25">
      <c r="A33" s="64" t="s">
        <v>294</v>
      </c>
      <c r="B33" s="64"/>
      <c r="C33" s="64"/>
      <c r="D33" s="64"/>
      <c r="E33" s="64"/>
      <c r="F33" s="64"/>
      <c r="G33" s="64"/>
      <c r="H33" s="64"/>
    </row>
    <row r="34" spans="1:8" hidden="1" x14ac:dyDescent="0.25">
      <c r="A34" s="64" t="s">
        <v>295</v>
      </c>
      <c r="B34" s="64"/>
      <c r="C34" s="64"/>
      <c r="D34" s="64"/>
      <c r="E34" s="64"/>
      <c r="F34" s="64"/>
      <c r="G34" s="64"/>
      <c r="H34" s="64"/>
    </row>
    <row r="35" spans="1:8" x14ac:dyDescent="0.25">
      <c r="A35" s="64" t="s">
        <v>340</v>
      </c>
    </row>
    <row r="36" spans="1:8" x14ac:dyDescent="0.25">
      <c r="A36" s="64" t="s">
        <v>296</v>
      </c>
    </row>
  </sheetData>
  <mergeCells count="7">
    <mergeCell ref="P3:S3"/>
    <mergeCell ref="T3:W3"/>
    <mergeCell ref="B3:E3"/>
    <mergeCell ref="P10:S10"/>
    <mergeCell ref="T10:W10"/>
    <mergeCell ref="I10:L10"/>
    <mergeCell ref="B10:E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89AAC-4799-4F52-B0B4-CC3BEC057D58}">
  <sheetPr>
    <tabColor rgb="FF002060"/>
  </sheetPr>
  <dimension ref="A1:AK141"/>
  <sheetViews>
    <sheetView zoomScaleNormal="100" workbookViewId="0">
      <selection activeCell="A88" sqref="A88"/>
    </sheetView>
  </sheetViews>
  <sheetFormatPr defaultColWidth="8.7109375" defaultRowHeight="15" x14ac:dyDescent="0.25"/>
  <cols>
    <col min="1" max="1" width="19.85546875" style="122" customWidth="1"/>
    <col min="2" max="2" width="24.7109375" style="122" customWidth="1"/>
    <col min="3" max="3" width="15.140625" style="122" customWidth="1"/>
    <col min="4" max="4" width="16.85546875" style="122" customWidth="1"/>
    <col min="5" max="5" width="10.5703125" style="122" customWidth="1"/>
    <col min="6" max="7" width="13.28515625" style="122" customWidth="1"/>
    <col min="8" max="8" width="13.85546875" style="122" customWidth="1"/>
    <col min="9" max="9" width="10.85546875" style="122" customWidth="1"/>
    <col min="10" max="11" width="8.7109375" style="122"/>
    <col min="12" max="12" width="11.42578125" style="122" customWidth="1"/>
    <col min="13" max="14" width="13" style="122" customWidth="1"/>
    <col min="15" max="15" width="10.85546875" style="122" customWidth="1"/>
    <col min="16" max="25" width="8.7109375" style="122"/>
    <col min="26" max="26" width="17.85546875" style="122" customWidth="1"/>
    <col min="27" max="33" width="8.7109375" style="122"/>
    <col min="34" max="34" width="13.28515625" style="122" customWidth="1"/>
    <col min="35" max="35" width="14.140625" style="122" customWidth="1"/>
    <col min="36" max="36" width="13.42578125" style="122" customWidth="1"/>
    <col min="37" max="37" width="15.28515625" style="122" customWidth="1"/>
    <col min="38" max="16384" width="8.7109375" style="122"/>
  </cols>
  <sheetData>
    <row r="1" spans="1:37" x14ac:dyDescent="0.25">
      <c r="A1" s="124" t="s">
        <v>55</v>
      </c>
    </row>
    <row r="2" spans="1:37" x14ac:dyDescent="0.25">
      <c r="A2" s="3" t="s">
        <v>56</v>
      </c>
      <c r="B2" s="3"/>
      <c r="D2" s="3" t="s">
        <v>57</v>
      </c>
    </row>
    <row r="3" spans="1:37" x14ac:dyDescent="0.25">
      <c r="A3" s="3"/>
      <c r="B3" s="3"/>
      <c r="R3" s="342" t="s">
        <v>58</v>
      </c>
      <c r="S3" s="342"/>
      <c r="T3" s="342"/>
      <c r="U3" s="342"/>
      <c r="V3" s="342"/>
      <c r="W3" s="342"/>
    </row>
    <row r="4" spans="1:37" ht="15.75" thickBot="1" x14ac:dyDescent="0.3">
      <c r="A4" s="124" t="s">
        <v>59</v>
      </c>
      <c r="D4" s="124" t="s">
        <v>60</v>
      </c>
      <c r="K4" s="124" t="s">
        <v>61</v>
      </c>
      <c r="R4" s="343"/>
      <c r="S4" s="343"/>
      <c r="T4" s="343"/>
      <c r="U4" s="343"/>
      <c r="V4" s="343"/>
      <c r="W4" s="343"/>
      <c r="Y4" s="124" t="s">
        <v>62</v>
      </c>
    </row>
    <row r="5" spans="1:37" ht="45.75" thickBot="1" x14ac:dyDescent="0.3">
      <c r="A5" s="134" t="s">
        <v>63</v>
      </c>
      <c r="B5" s="134" t="s">
        <v>335</v>
      </c>
      <c r="D5" s="135" t="s">
        <v>64</v>
      </c>
      <c r="E5" s="136" t="s">
        <v>65</v>
      </c>
      <c r="F5" s="136" t="s">
        <v>66</v>
      </c>
      <c r="G5" s="136" t="s">
        <v>67</v>
      </c>
      <c r="H5" s="136" t="s">
        <v>68</v>
      </c>
      <c r="I5" s="137" t="s">
        <v>69</v>
      </c>
      <c r="K5" s="135" t="s">
        <v>0</v>
      </c>
      <c r="L5" s="136" t="s">
        <v>70</v>
      </c>
      <c r="M5" s="136" t="s">
        <v>66</v>
      </c>
      <c r="N5" s="136" t="s">
        <v>67</v>
      </c>
      <c r="O5" s="136" t="s">
        <v>71</v>
      </c>
      <c r="P5" s="137" t="s">
        <v>69</v>
      </c>
      <c r="R5" s="135" t="s">
        <v>0</v>
      </c>
      <c r="S5" s="136" t="s">
        <v>70</v>
      </c>
      <c r="T5" s="136" t="s">
        <v>66</v>
      </c>
      <c r="U5" s="136" t="s">
        <v>71</v>
      </c>
      <c r="V5" s="136" t="s">
        <v>72</v>
      </c>
      <c r="W5" s="137" t="s">
        <v>69</v>
      </c>
      <c r="Y5" s="138" t="s">
        <v>73</v>
      </c>
      <c r="Z5" s="139" t="s">
        <v>74</v>
      </c>
    </row>
    <row r="6" spans="1:37" x14ac:dyDescent="0.25">
      <c r="A6" s="140" t="s">
        <v>75</v>
      </c>
      <c r="B6" s="141">
        <v>3900</v>
      </c>
      <c r="C6" s="127"/>
      <c r="D6" s="142" t="s">
        <v>76</v>
      </c>
      <c r="E6" s="143">
        <v>9.4000000000000004E-3</v>
      </c>
      <c r="F6" s="144">
        <v>2.2000000000000001E-3</v>
      </c>
      <c r="G6" s="144">
        <v>0.223</v>
      </c>
      <c r="H6" s="144">
        <v>0.2175</v>
      </c>
      <c r="I6" s="145">
        <f>D20*E29</f>
        <v>400.06814400000002</v>
      </c>
      <c r="K6" s="146">
        <v>2021</v>
      </c>
      <c r="L6" s="147">
        <v>748600</v>
      </c>
      <c r="M6" s="147">
        <v>41500</v>
      </c>
      <c r="N6" s="147">
        <v>2384</v>
      </c>
      <c r="O6" s="147">
        <v>15600</v>
      </c>
      <c r="P6" s="148">
        <v>52</v>
      </c>
      <c r="R6" s="146">
        <v>2021</v>
      </c>
      <c r="S6" s="123">
        <v>1</v>
      </c>
      <c r="T6" s="123">
        <v>1</v>
      </c>
      <c r="U6" s="123">
        <v>1</v>
      </c>
      <c r="V6" s="123">
        <v>1</v>
      </c>
      <c r="W6" s="149">
        <v>1</v>
      </c>
      <c r="Y6" s="150" t="s">
        <v>69</v>
      </c>
      <c r="Z6" s="151">
        <v>1.8559961976040484E-2</v>
      </c>
      <c r="AI6" s="147"/>
      <c r="AJ6" s="147"/>
      <c r="AK6" s="147"/>
    </row>
    <row r="7" spans="1:37" x14ac:dyDescent="0.25">
      <c r="A7" s="140" t="s">
        <v>77</v>
      </c>
      <c r="B7" s="141">
        <v>77200</v>
      </c>
      <c r="C7" s="127"/>
      <c r="D7" s="152" t="s">
        <v>78</v>
      </c>
      <c r="E7" s="153">
        <v>3.4099999999999998E-2</v>
      </c>
      <c r="F7" s="153">
        <v>3.5000000000000001E-3</v>
      </c>
      <c r="G7" s="153">
        <v>0.26029999999999998</v>
      </c>
      <c r="H7" s="153">
        <v>1.0682</v>
      </c>
      <c r="I7" s="154">
        <f>D24*E32</f>
        <v>1356.4215167999998</v>
      </c>
      <c r="K7" s="146">
        <v>2022</v>
      </c>
      <c r="L7" s="147">
        <v>761600</v>
      </c>
      <c r="M7" s="147">
        <v>42300</v>
      </c>
      <c r="N7" s="147">
        <v>2384</v>
      </c>
      <c r="O7" s="147">
        <v>15800</v>
      </c>
      <c r="P7" s="148">
        <v>53</v>
      </c>
      <c r="R7" s="146">
        <v>2022</v>
      </c>
      <c r="S7" s="123">
        <f>IF('NEW Factors'!$AA$16="y",S6*(1-$Z$8),1)</f>
        <v>0.89167805866576388</v>
      </c>
      <c r="T7" s="123">
        <f>IF('NEW Factors'!$AA$16="y",T6*(1-$Z$9),1)</f>
        <v>0.9805697981242355</v>
      </c>
      <c r="U7" s="123">
        <f>IF('NEW Factors'!$AA$16="y",U6*(1-$Z$7),1)</f>
        <v>0.9364177067690449</v>
      </c>
      <c r="V7" s="123">
        <f>IF('NEW Factors'!$AA$16="y",V6*(1-$Z$10),1)</f>
        <v>0.93083477179083118</v>
      </c>
      <c r="W7" s="149">
        <f>IF('NEW Factors'!$AA$16="y",W6*(1-$Z$6),1)</f>
        <v>0.98144003802395952</v>
      </c>
      <c r="Y7" s="155" t="s">
        <v>71</v>
      </c>
      <c r="Z7" s="156">
        <v>6.35822932309551E-2</v>
      </c>
      <c r="AI7" s="147"/>
      <c r="AJ7" s="147"/>
      <c r="AK7" s="147"/>
    </row>
    <row r="8" spans="1:37" ht="16.5" customHeight="1" thickBot="1" x14ac:dyDescent="0.3">
      <c r="A8" s="140" t="s">
        <v>79</v>
      </c>
      <c r="B8" s="141">
        <v>151100</v>
      </c>
      <c r="C8" s="127"/>
      <c r="D8" s="157" t="s">
        <v>80</v>
      </c>
      <c r="E8" s="158">
        <v>8.3900000000000002E-2</v>
      </c>
      <c r="F8" s="159">
        <v>5.4999999999999997E-3</v>
      </c>
      <c r="G8" s="159">
        <v>0.1825</v>
      </c>
      <c r="H8" s="159">
        <v>3.9024000000000001</v>
      </c>
      <c r="I8" s="160">
        <f>D24*E31</f>
        <v>1679.5241702399999</v>
      </c>
      <c r="K8" s="146">
        <v>2023</v>
      </c>
      <c r="L8" s="147">
        <v>774700</v>
      </c>
      <c r="M8" s="147">
        <v>43100</v>
      </c>
      <c r="N8" s="147">
        <v>2384</v>
      </c>
      <c r="O8" s="147">
        <v>16000</v>
      </c>
      <c r="P8" s="148">
        <v>54</v>
      </c>
      <c r="R8" s="146">
        <v>2023</v>
      </c>
      <c r="S8" s="123">
        <f>IF('NEW Factors'!$AA$16="y",S7*(1-$Z$8),1)</f>
        <v>0.79508976030594547</v>
      </c>
      <c r="T8" s="123">
        <f>IF('NEW Factors'!$AA$16="y",T7*(1-$Z$9),1)</f>
        <v>0.96151712899340391</v>
      </c>
      <c r="U8" s="123">
        <f>IF('NEW Factors'!$AA$16="y",U7*(1-$Z$7),1)</f>
        <v>0.87687812155059697</v>
      </c>
      <c r="V8" s="123">
        <f>IF('NEW Factors'!$AA$16="y",V7*(1-$Z$10),1)</f>
        <v>0.86645337237488873</v>
      </c>
      <c r="W8" s="149">
        <f>IF('NEW Factors'!$AA$16="y",W7*(1-$Z$6),1)</f>
        <v>0.96322454823647108</v>
      </c>
      <c r="Y8" s="155" t="s">
        <v>70</v>
      </c>
      <c r="Z8" s="156">
        <v>0.10832194133423612</v>
      </c>
      <c r="AI8" s="147"/>
      <c r="AJ8" s="147"/>
      <c r="AK8" s="147"/>
    </row>
    <row r="9" spans="1:37" x14ac:dyDescent="0.25">
      <c r="A9" s="140" t="s">
        <v>81</v>
      </c>
      <c r="B9" s="141">
        <v>554800</v>
      </c>
      <c r="C9" s="127"/>
      <c r="K9" s="146">
        <v>2024</v>
      </c>
      <c r="L9" s="147">
        <v>788100</v>
      </c>
      <c r="M9" s="147">
        <v>44000</v>
      </c>
      <c r="N9" s="147">
        <v>2384</v>
      </c>
      <c r="O9" s="147">
        <v>16200</v>
      </c>
      <c r="P9" s="148">
        <v>55</v>
      </c>
      <c r="R9" s="146">
        <v>2024</v>
      </c>
      <c r="S9" s="123">
        <f>IF('NEW Factors'!$AA$16="y",S8*(1-$Z$8),1)</f>
        <v>0.708964093934633</v>
      </c>
      <c r="T9" s="123">
        <f>IF('NEW Factors'!$AA$16="y",T8*(1-$Z$9),1)</f>
        <v>0.94283465707005654</v>
      </c>
      <c r="U9" s="123">
        <f>IF('NEW Factors'!$AA$16="y",U8*(1-$Z$7),1)</f>
        <v>0.82112419969835782</v>
      </c>
      <c r="V9" s="123">
        <f>IF('NEW Factors'!$AA$16="y",V8*(1-$Z$10),1)</f>
        <v>0.80652492714197566</v>
      </c>
      <c r="W9" s="149">
        <f>IF('NEW Factors'!$AA$16="y",W8*(1-$Z$6),1)</f>
        <v>0.94534713724681341</v>
      </c>
      <c r="Y9" s="155" t="s">
        <v>66</v>
      </c>
      <c r="Z9" s="156">
        <v>1.9430201875764497E-2</v>
      </c>
      <c r="AI9" s="147"/>
      <c r="AJ9" s="147"/>
      <c r="AK9" s="147"/>
    </row>
    <row r="10" spans="1:37" ht="15.75" thickBot="1" x14ac:dyDescent="0.3">
      <c r="A10" s="140" t="s">
        <v>82</v>
      </c>
      <c r="B10" s="141">
        <v>11600000</v>
      </c>
      <c r="C10" s="127"/>
      <c r="D10" s="124" t="s">
        <v>83</v>
      </c>
      <c r="K10" s="146">
        <v>2025</v>
      </c>
      <c r="L10" s="147">
        <v>801700</v>
      </c>
      <c r="M10" s="147">
        <v>44900</v>
      </c>
      <c r="N10" s="147">
        <v>2384</v>
      </c>
      <c r="O10" s="147">
        <v>16500</v>
      </c>
      <c r="P10" s="148">
        <v>56</v>
      </c>
      <c r="R10" s="146">
        <v>2025</v>
      </c>
      <c r="S10" s="123">
        <f>IF('NEW Factors'!$AA$16="y",S9*(1-$Z$8),1)</f>
        <v>0.63216772694336587</v>
      </c>
      <c r="T10" s="123">
        <f>IF('NEW Factors'!$AA$16="y",T9*(1-$Z$9),1)</f>
        <v>0.92451518934771815</v>
      </c>
      <c r="U10" s="123">
        <f>IF('NEW Factors'!$AA$16="y",U9*(1-$Z$7),1)</f>
        <v>0.7689152400541035</v>
      </c>
      <c r="V10" s="123">
        <f>IF('NEW Factors'!$AA$16="y",V9*(1-$Z$10),1)</f>
        <v>0.75074144649981767</v>
      </c>
      <c r="W10" s="149">
        <f>IF('NEW Factors'!$AA$16="y",W9*(1-$Z$6),1)</f>
        <v>0.92780153032535384</v>
      </c>
      <c r="Y10" s="161" t="s">
        <v>72</v>
      </c>
      <c r="Z10" s="156">
        <v>6.9165228209168816E-2</v>
      </c>
      <c r="AI10" s="147"/>
      <c r="AJ10" s="147"/>
      <c r="AK10" s="147"/>
    </row>
    <row r="11" spans="1:37" ht="30.75" thickBot="1" x14ac:dyDescent="0.3">
      <c r="A11" s="140" t="s">
        <v>84</v>
      </c>
      <c r="B11" s="141">
        <v>210300</v>
      </c>
      <c r="C11" s="127"/>
      <c r="D11" s="162" t="s">
        <v>64</v>
      </c>
      <c r="E11" s="163" t="s">
        <v>65</v>
      </c>
      <c r="F11" s="163" t="s">
        <v>66</v>
      </c>
      <c r="G11" s="163" t="s">
        <v>67</v>
      </c>
      <c r="H11" s="163" t="s">
        <v>68</v>
      </c>
      <c r="I11" s="164" t="s">
        <v>69</v>
      </c>
      <c r="K11" s="146">
        <v>2026</v>
      </c>
      <c r="L11" s="147">
        <v>814500</v>
      </c>
      <c r="M11" s="147">
        <v>45700</v>
      </c>
      <c r="N11" s="147">
        <v>2384</v>
      </c>
      <c r="O11" s="147">
        <v>16800</v>
      </c>
      <c r="P11" s="148">
        <v>57</v>
      </c>
      <c r="R11" s="146">
        <v>2026</v>
      </c>
      <c r="S11" s="123">
        <f>IF('NEW Factors'!$AA$16="y",S10*(1-$Z$8),1)</f>
        <v>0.56369009151200922</v>
      </c>
      <c r="T11" s="123">
        <f>IF('NEW Factors'!$AA$16="y",T10*(1-$Z$9),1)</f>
        <v>0.90655167258148139</v>
      </c>
      <c r="U11" s="123">
        <f>IF('NEW Factors'!$AA$16="y",U10*(1-$Z$7),1)</f>
        <v>0.7200258457912333</v>
      </c>
      <c r="V11" s="123">
        <f>IF('NEW Factors'!$AA$16="y",V10*(1-$Z$10),1)</f>
        <v>0.6988162430265763</v>
      </c>
      <c r="W11" s="149">
        <f>IF('NEW Factors'!$AA$16="y",W10*(1-$Z$6),1)</f>
        <v>0.91058156920120314</v>
      </c>
      <c r="Y11" s="344" t="s">
        <v>85</v>
      </c>
      <c r="Z11" s="344"/>
      <c r="AI11" s="147"/>
      <c r="AJ11" s="147"/>
      <c r="AK11" s="147"/>
    </row>
    <row r="12" spans="1:37" ht="45" x14ac:dyDescent="0.25">
      <c r="A12" s="140" t="s">
        <v>86</v>
      </c>
      <c r="B12" s="141">
        <v>159800</v>
      </c>
      <c r="C12" s="127"/>
      <c r="D12" s="146" t="s">
        <v>76</v>
      </c>
      <c r="E12" s="165">
        <f>E6*$I$15</f>
        <v>9.3999999999999998E-9</v>
      </c>
      <c r="F12" s="165">
        <f t="shared" ref="F12:I12" si="0">F6*$I$15</f>
        <v>2.1999999999999998E-9</v>
      </c>
      <c r="G12" s="165">
        <f t="shared" si="0"/>
        <v>2.23E-7</v>
      </c>
      <c r="H12" s="165">
        <f t="shared" si="0"/>
        <v>2.1749999999999998E-7</v>
      </c>
      <c r="I12" s="166">
        <f t="shared" si="0"/>
        <v>4.0006814400000003E-4</v>
      </c>
      <c r="K12" s="146">
        <v>2027</v>
      </c>
      <c r="L12" s="147">
        <v>827400</v>
      </c>
      <c r="M12" s="147">
        <v>46500</v>
      </c>
      <c r="N12" s="147">
        <v>2384</v>
      </c>
      <c r="O12" s="147">
        <v>17100</v>
      </c>
      <c r="P12" s="148">
        <v>58</v>
      </c>
      <c r="R12" s="146">
        <v>2027</v>
      </c>
      <c r="S12" s="123">
        <f>IF('NEW Factors'!$AA$16="y",S11*(1-$Z$8),1)</f>
        <v>0.50263008648855512</v>
      </c>
      <c r="T12" s="123">
        <f>IF('NEW Factors'!$AA$16="y",T11*(1-$Z$9),1)</f>
        <v>0.88893719057241127</v>
      </c>
      <c r="U12" s="123">
        <f>IF('NEW Factors'!$AA$16="y",U11*(1-$Z$7),1)</f>
        <v>0.67424495133026863</v>
      </c>
      <c r="V12" s="123">
        <f>IF('NEW Factors'!$AA$16="y",V11*(1-$Z$10),1)</f>
        <v>0.65048245810136918</v>
      </c>
      <c r="W12" s="149">
        <f>IF('NEW Factors'!$AA$16="y",W11*(1-$Z$6),1)</f>
        <v>0.89368120990074551</v>
      </c>
      <c r="Y12" s="344"/>
      <c r="Z12" s="344"/>
      <c r="AI12" s="147"/>
      <c r="AJ12" s="147"/>
      <c r="AK12" s="147"/>
    </row>
    <row r="13" spans="1:37" x14ac:dyDescent="0.25">
      <c r="A13" s="19"/>
      <c r="B13" s="167"/>
      <c r="C13" s="127"/>
      <c r="D13" s="168" t="s">
        <v>78</v>
      </c>
      <c r="E13" s="169">
        <f t="shared" ref="E13:I14" si="1">E7*$I$15</f>
        <v>3.4099999999999994E-8</v>
      </c>
      <c r="F13" s="169">
        <f t="shared" si="1"/>
        <v>3.4999999999999999E-9</v>
      </c>
      <c r="G13" s="169">
        <f t="shared" si="1"/>
        <v>2.6029999999999997E-7</v>
      </c>
      <c r="H13" s="169">
        <f t="shared" si="1"/>
        <v>1.0682E-6</v>
      </c>
      <c r="I13" s="170">
        <f t="shared" si="1"/>
        <v>1.3564215167999997E-3</v>
      </c>
      <c r="K13" s="146">
        <v>2028</v>
      </c>
      <c r="L13" s="147">
        <v>840600</v>
      </c>
      <c r="M13" s="147">
        <v>47300</v>
      </c>
      <c r="N13" s="147">
        <v>2384</v>
      </c>
      <c r="O13" s="147">
        <v>17400</v>
      </c>
      <c r="P13" s="148">
        <v>60</v>
      </c>
      <c r="R13" s="146">
        <v>2028</v>
      </c>
      <c r="S13" s="123">
        <f>IF('NEW Factors'!$AA$16="y",S12*(1-$Z$8),1)</f>
        <v>0.44818421974711981</v>
      </c>
      <c r="T13" s="123">
        <f>IF('NEW Factors'!$AA$16="y",T12*(1-$Z$9),1)</f>
        <v>0.8716649615047144</v>
      </c>
      <c r="U13" s="123">
        <f>IF('NEW Factors'!$AA$16="y",U12*(1-$Z$7),1)</f>
        <v>0.63137491112529642</v>
      </c>
      <c r="V13" s="123">
        <f>IF('NEW Factors'!$AA$16="y",V12*(1-$Z$10),1)</f>
        <v>0.60549169044072693</v>
      </c>
      <c r="W13" s="149">
        <f>IF('NEW Factors'!$AA$16="y",W12*(1-$Z$6),1)</f>
        <v>0.87709452062628579</v>
      </c>
      <c r="Y13" s="344"/>
      <c r="Z13" s="344"/>
      <c r="AI13" s="147"/>
      <c r="AJ13" s="147"/>
      <c r="AK13" s="147"/>
    </row>
    <row r="14" spans="1:37" ht="15.75" thickBot="1" x14ac:dyDescent="0.3">
      <c r="A14" s="124" t="s">
        <v>87</v>
      </c>
      <c r="D14" s="157" t="s">
        <v>80</v>
      </c>
      <c r="E14" s="171">
        <f t="shared" si="1"/>
        <v>8.3900000000000004E-8</v>
      </c>
      <c r="F14" s="171">
        <f t="shared" si="1"/>
        <v>5.4999999999999996E-9</v>
      </c>
      <c r="G14" s="171">
        <f t="shared" si="1"/>
        <v>1.825E-7</v>
      </c>
      <c r="H14" s="171">
        <f t="shared" si="1"/>
        <v>3.9024000000000001E-6</v>
      </c>
      <c r="I14" s="172">
        <f t="shared" si="1"/>
        <v>1.6795241702399998E-3</v>
      </c>
      <c r="K14" s="146">
        <v>2029</v>
      </c>
      <c r="L14" s="147">
        <v>854000</v>
      </c>
      <c r="M14" s="147">
        <v>48200</v>
      </c>
      <c r="N14" s="147">
        <v>2384</v>
      </c>
      <c r="O14" s="147">
        <v>17700</v>
      </c>
      <c r="P14" s="148">
        <v>61</v>
      </c>
      <c r="R14" s="146">
        <v>2029</v>
      </c>
      <c r="S14" s="123">
        <f>IF('NEW Factors'!$AA$16="y",S13*(1-$Z$8),1)</f>
        <v>0.3996360349887419</v>
      </c>
      <c r="T14" s="123">
        <f>IF('NEW Factors'!$AA$16="y",T13*(1-$Z$9),1)</f>
        <v>0.85472833533464732</v>
      </c>
      <c r="U14" s="123">
        <f>IF('NEW Factors'!$AA$16="y",U13*(1-$Z$7),1)</f>
        <v>0.59123064638745959</v>
      </c>
      <c r="V14" s="123">
        <f>IF('NEW Factors'!$AA$16="y",V13*(1-$Z$10),1)</f>
        <v>0.56361271949263869</v>
      </c>
      <c r="W14" s="149">
        <f>IF('NEW Factors'!$AA$16="y",W13*(1-$Z$6),1)</f>
        <v>0.86081567967406847</v>
      </c>
      <c r="Y14" s="344"/>
      <c r="Z14" s="344"/>
      <c r="AI14" s="147"/>
      <c r="AJ14" s="147"/>
      <c r="AK14" s="147"/>
    </row>
    <row r="15" spans="1:37" ht="32.1" customHeight="1" x14ac:dyDescent="0.25">
      <c r="A15" s="173" t="s">
        <v>88</v>
      </c>
      <c r="B15" s="174" t="s">
        <v>89</v>
      </c>
      <c r="D15" s="124" t="s">
        <v>90</v>
      </c>
      <c r="I15" s="175">
        <f>10^-6</f>
        <v>9.9999999999999995E-7</v>
      </c>
      <c r="K15" s="146">
        <v>2030</v>
      </c>
      <c r="L15" s="147">
        <v>867600</v>
      </c>
      <c r="M15" s="147">
        <v>49100</v>
      </c>
      <c r="N15" s="147">
        <v>2384</v>
      </c>
      <c r="O15" s="147">
        <v>18100</v>
      </c>
      <c r="P15" s="148">
        <v>62</v>
      </c>
      <c r="R15" s="146">
        <v>2030</v>
      </c>
      <c r="S15" s="123">
        <f>IF('NEW Factors'!$AA$16="y",S14*(1-$Z$8),1)</f>
        <v>0.35634668385164464</v>
      </c>
      <c r="T15" s="123">
        <f>IF('NEW Factors'!$AA$16="y",T14*(1-$Z$9),1)</f>
        <v>0.83812079123015903</v>
      </c>
      <c r="U15" s="123">
        <f>IF('NEW Factors'!$AA$16="y",U14*(1-$Z$7),1)</f>
        <v>0.55363884606172498</v>
      </c>
      <c r="V15" s="123">
        <f>IF('NEW Factors'!$AA$16="y",V14*(1-$Z$10),1)</f>
        <v>0.5246303171273401</v>
      </c>
      <c r="W15" s="149">
        <f>IF('NEW Factors'!$AA$16="y",W14*(1-$Z$6),1)</f>
        <v>0.84483897339093827</v>
      </c>
      <c r="AI15" s="147"/>
      <c r="AJ15" s="147"/>
      <c r="AK15" s="147"/>
    </row>
    <row r="16" spans="1:37" x14ac:dyDescent="0.25">
      <c r="A16" s="176" t="s">
        <v>91</v>
      </c>
      <c r="B16" s="177">
        <v>0.45</v>
      </c>
      <c r="K16" s="146">
        <v>2031</v>
      </c>
      <c r="L16" s="147">
        <v>867600</v>
      </c>
      <c r="M16" s="147">
        <v>49100</v>
      </c>
      <c r="N16" s="147">
        <v>2384</v>
      </c>
      <c r="O16" s="147">
        <v>18100</v>
      </c>
      <c r="P16" s="148">
        <v>63</v>
      </c>
      <c r="R16" s="146">
        <v>2031</v>
      </c>
      <c r="S16" s="123">
        <f>IF('NEW Factors'!$AA$16="y",S15*(1-$Z$8),1)</f>
        <v>0.3177465192688172</v>
      </c>
      <c r="T16" s="123">
        <f>IF('NEW Factors'!$AA$16="y",T15*(1-$Z$9),1)</f>
        <v>0.82183593506028152</v>
      </c>
      <c r="U16" s="123">
        <f>IF('NEW Factors'!$AA$16="y",U15*(1-$Z$7),1)</f>
        <v>0.51843721860738079</v>
      </c>
      <c r="V16" s="123">
        <f>IF('NEW Factors'!$AA$16="y",V15*(1-$Z$10),1)</f>
        <v>0.488344141517779</v>
      </c>
      <c r="W16" s="149">
        <f>IF('NEW Factors'!$AA$16="y",W15*(1-$Z$6),1)</f>
        <v>0.82915879416892535</v>
      </c>
      <c r="Z16" s="122" t="s">
        <v>92</v>
      </c>
      <c r="AA16" s="207" t="s">
        <v>93</v>
      </c>
      <c r="AE16" s="208" t="s">
        <v>93</v>
      </c>
      <c r="AF16" s="208" t="s">
        <v>94</v>
      </c>
      <c r="AI16" s="147"/>
      <c r="AJ16" s="147"/>
      <c r="AK16" s="147"/>
    </row>
    <row r="17" spans="1:37" ht="15.75" thickBot="1" x14ac:dyDescent="0.3">
      <c r="A17" s="178" t="s">
        <v>95</v>
      </c>
      <c r="B17" s="179">
        <v>0.94</v>
      </c>
      <c r="D17" s="124" t="s">
        <v>96</v>
      </c>
      <c r="H17" s="124"/>
      <c r="K17" s="146">
        <v>2032</v>
      </c>
      <c r="L17" s="147">
        <v>867600</v>
      </c>
      <c r="M17" s="147">
        <v>49100</v>
      </c>
      <c r="N17" s="147">
        <v>2384</v>
      </c>
      <c r="O17" s="147">
        <v>18100</v>
      </c>
      <c r="P17" s="148">
        <v>64</v>
      </c>
      <c r="R17" s="146">
        <v>2032</v>
      </c>
      <c r="S17" s="123">
        <f>IF('NEW Factors'!$AA$16="y",S16*(1-$Z$8),1)</f>
        <v>0.28332759944942265</v>
      </c>
      <c r="T17" s="123">
        <f>IF('NEW Factors'!$AA$16="y",T16*(1-$Z$9),1)</f>
        <v>0.80586749693330262</v>
      </c>
      <c r="U17" s="123">
        <f>IF('NEW Factors'!$AA$16="y",U16*(1-$Z$7),1)</f>
        <v>0.48547379135204555</v>
      </c>
      <c r="V17" s="123">
        <f>IF('NEW Factors'!$AA$16="y",V16*(1-$Z$10),1)</f>
        <v>0.45456770752509118</v>
      </c>
      <c r="W17" s="149">
        <f>IF('NEW Factors'!$AA$16="y",W16*(1-$Z$6),1)</f>
        <v>0.81376963847705053</v>
      </c>
      <c r="AI17" s="147"/>
      <c r="AJ17" s="147"/>
      <c r="AK17" s="147"/>
    </row>
    <row r="18" spans="1:37" x14ac:dyDescent="0.25">
      <c r="A18" s="122" t="s">
        <v>97</v>
      </c>
      <c r="B18" s="177">
        <v>0.56499999999999995</v>
      </c>
      <c r="D18" s="180">
        <v>19.600000000000001</v>
      </c>
      <c r="E18" s="122" t="s">
        <v>98</v>
      </c>
      <c r="K18" s="146">
        <v>2033</v>
      </c>
      <c r="L18" s="147">
        <v>867600</v>
      </c>
      <c r="M18" s="147">
        <v>49100</v>
      </c>
      <c r="N18" s="147">
        <v>2384</v>
      </c>
      <c r="O18" s="147">
        <v>18100</v>
      </c>
      <c r="P18" s="148">
        <v>65</v>
      </c>
      <c r="R18" s="146">
        <v>2033</v>
      </c>
      <c r="S18" s="123">
        <f>IF('NEW Factors'!$AA$16="y",S17*(1-$Z$8),1)</f>
        <v>0.25263700384349236</v>
      </c>
      <c r="T18" s="123">
        <f>IF('NEW Factors'!$AA$16="y",T17*(1-$Z$9),1)</f>
        <v>0.7902093287827715</v>
      </c>
      <c r="U18" s="123">
        <f>IF('NEW Factors'!$AA$16="y",U17*(1-$Z$7),1)</f>
        <v>0.45460625439435626</v>
      </c>
      <c r="V18" s="123">
        <f>IF('NEW Factors'!$AA$16="y",V17*(1-$Z$10),1)</f>
        <v>0.42312742829759953</v>
      </c>
      <c r="W18" s="149">
        <f>IF('NEW Factors'!$AA$16="y",W17*(1-$Z$6),1)</f>
        <v>0.79866610492966028</v>
      </c>
      <c r="AI18" s="147"/>
      <c r="AJ18" s="147"/>
      <c r="AK18" s="147"/>
    </row>
    <row r="19" spans="1:37" ht="30" customHeight="1" x14ac:dyDescent="0.25">
      <c r="D19" s="180">
        <v>453.59199999999998</v>
      </c>
      <c r="E19" s="122" t="s">
        <v>99</v>
      </c>
      <c r="K19" s="146">
        <v>2034</v>
      </c>
      <c r="L19" s="147">
        <v>867600</v>
      </c>
      <c r="M19" s="147">
        <v>49100</v>
      </c>
      <c r="N19" s="147">
        <v>2384</v>
      </c>
      <c r="O19" s="147">
        <v>18100</v>
      </c>
      <c r="P19" s="148">
        <v>66</v>
      </c>
      <c r="R19" s="146">
        <v>2034</v>
      </c>
      <c r="S19" s="123">
        <f>IF('NEW Factors'!$AA$16="y",S18*(1-$Z$8),1)</f>
        <v>0.22527087313430039</v>
      </c>
      <c r="T19" s="123">
        <f>IF('NEW Factors'!$AA$16="y",T18*(1-$Z$9),1)</f>
        <v>0.77485540200040992</v>
      </c>
      <c r="U19" s="123">
        <f>IF('NEW Factors'!$AA$16="y",U18*(1-$Z$7),1)</f>
        <v>0.42570134622282813</v>
      </c>
      <c r="V19" s="123">
        <f>IF('NEW Factors'!$AA$16="y",V18*(1-$Z$10),1)</f>
        <v>0.39386172315783735</v>
      </c>
      <c r="W19" s="149">
        <f>IF('NEW Factors'!$AA$16="y",W18*(1-$Z$6),1)</f>
        <v>0.78384289239061344</v>
      </c>
      <c r="AI19" s="147"/>
      <c r="AJ19" s="147"/>
      <c r="AK19" s="147"/>
    </row>
    <row r="20" spans="1:37" ht="40.5" customHeight="1" thickBot="1" x14ac:dyDescent="0.3">
      <c r="A20" s="345" t="s">
        <v>100</v>
      </c>
      <c r="B20" s="345"/>
      <c r="D20" s="181">
        <f>D18*D19</f>
        <v>8890.4032000000007</v>
      </c>
      <c r="E20" s="175" t="s">
        <v>101</v>
      </c>
      <c r="K20" s="146">
        <v>2035</v>
      </c>
      <c r="L20" s="147">
        <v>867600</v>
      </c>
      <c r="M20" s="147">
        <v>49100</v>
      </c>
      <c r="N20" s="147">
        <v>2384</v>
      </c>
      <c r="O20" s="147">
        <v>18100</v>
      </c>
      <c r="P20" s="148">
        <v>67</v>
      </c>
      <c r="R20" s="146">
        <v>2035</v>
      </c>
      <c r="S20" s="123">
        <f>IF('NEW Factors'!$AA$16="y",S19*(1-$Z$8),1)</f>
        <v>0.20086909483033455</v>
      </c>
      <c r="T20" s="123">
        <f>IF('NEW Factors'!$AA$16="y",T19*(1-$Z$9),1)</f>
        <v>0.75979980511501533</v>
      </c>
      <c r="U20" s="123">
        <f>IF('NEW Factors'!$AA$16="y",U19*(1-$Z$7),1)</f>
        <v>0.39863427839847593</v>
      </c>
      <c r="V20" s="123">
        <f>IF('NEW Factors'!$AA$16="y",V19*(1-$Z$10),1)</f>
        <v>0.36662018719276906</v>
      </c>
      <c r="W20" s="149">
        <f>IF('NEW Factors'!$AA$16="y",W19*(1-$Z$6),1)</f>
        <v>0.76929479811265411</v>
      </c>
      <c r="AI20" s="147"/>
      <c r="AJ20" s="147"/>
      <c r="AK20" s="147"/>
    </row>
    <row r="21" spans="1:37" x14ac:dyDescent="0.25">
      <c r="A21" s="173" t="s">
        <v>88</v>
      </c>
      <c r="B21" s="174" t="s">
        <v>102</v>
      </c>
      <c r="K21" s="146">
        <v>2036</v>
      </c>
      <c r="L21" s="147">
        <v>867600</v>
      </c>
      <c r="M21" s="147">
        <v>49100</v>
      </c>
      <c r="N21" s="147">
        <v>2384</v>
      </c>
      <c r="O21" s="147">
        <v>18100</v>
      </c>
      <c r="P21" s="148">
        <v>69</v>
      </c>
      <c r="R21" s="146">
        <v>2036</v>
      </c>
      <c r="S21" s="123">
        <f>IF('NEW Factors'!$AA$16="y",S20*(1-$Z$8),1)</f>
        <v>0.17911056452426194</v>
      </c>
      <c r="T21" s="123">
        <f>IF('NEW Factors'!$AA$16="y",T20*(1-$Z$9),1)</f>
        <v>0.74503674151646404</v>
      </c>
      <c r="U21" s="123">
        <f>IF('NEW Factors'!$AA$16="y",U20*(1-$Z$7),1)</f>
        <v>0.37328819681743386</v>
      </c>
      <c r="V21" s="123">
        <f>IF('NEW Factors'!$AA$16="y",V20*(1-$Z$10),1)</f>
        <v>0.34126281827949301</v>
      </c>
      <c r="W21" s="149">
        <f>IF('NEW Factors'!$AA$16="y",W20*(1-$Z$6),1)</f>
        <v>0.75501671591131747</v>
      </c>
      <c r="AI21" s="147"/>
      <c r="AJ21" s="147"/>
      <c r="AK21" s="147"/>
    </row>
    <row r="22" spans="1:37" ht="30" x14ac:dyDescent="0.25">
      <c r="A22" s="176" t="s">
        <v>103</v>
      </c>
      <c r="B22" s="182">
        <v>1.48</v>
      </c>
      <c r="D22" s="180">
        <v>22.4</v>
      </c>
      <c r="E22" s="122" t="s">
        <v>104</v>
      </c>
      <c r="K22" s="146">
        <v>2037</v>
      </c>
      <c r="L22" s="147">
        <v>867600</v>
      </c>
      <c r="M22" s="147">
        <v>49100</v>
      </c>
      <c r="N22" s="147">
        <v>2384</v>
      </c>
      <c r="O22" s="147">
        <v>18100</v>
      </c>
      <c r="P22" s="148">
        <v>70</v>
      </c>
      <c r="R22" s="146">
        <v>2037</v>
      </c>
      <c r="S22" s="123">
        <f>IF('NEW Factors'!$AA$16="y",S21*(1-$Z$8),1)</f>
        <v>0.15970896046152291</v>
      </c>
      <c r="T22" s="123">
        <f>IF('NEW Factors'!$AA$16="y",T21*(1-$Z$9),1)</f>
        <v>0.73056052722393738</v>
      </c>
      <c r="U22" s="123">
        <f>IF('NEW Factors'!$AA$16="y",U21*(1-$Z$7),1)</f>
        <v>0.34955367722773328</v>
      </c>
      <c r="V22" s="123">
        <f>IF('NEW Factors'!$AA$16="y",V21*(1-$Z$10),1)</f>
        <v>0.31765929757388778</v>
      </c>
      <c r="W22" s="149">
        <f>IF('NEW Factors'!$AA$16="y",W21*(1-$Z$6),1)</f>
        <v>0.74100363437272843</v>
      </c>
      <c r="AI22" s="147"/>
      <c r="AJ22" s="147"/>
      <c r="AK22" s="147"/>
    </row>
    <row r="23" spans="1:37" ht="30" x14ac:dyDescent="0.25">
      <c r="A23" s="176" t="s">
        <v>105</v>
      </c>
      <c r="B23" s="182">
        <v>1.58</v>
      </c>
      <c r="D23" s="180">
        <v>453.59199999999998</v>
      </c>
      <c r="E23" s="122" t="s">
        <v>99</v>
      </c>
      <c r="K23" s="146">
        <v>2038</v>
      </c>
      <c r="L23" s="147">
        <v>867600</v>
      </c>
      <c r="M23" s="147">
        <v>49100</v>
      </c>
      <c r="N23" s="147">
        <v>2384</v>
      </c>
      <c r="O23" s="147">
        <v>18100</v>
      </c>
      <c r="P23" s="148">
        <v>71</v>
      </c>
      <c r="R23" s="146">
        <v>2038</v>
      </c>
      <c r="S23" s="123">
        <f>IF('NEW Factors'!$AA$16="y",S22*(1-$Z$8),1)</f>
        <v>0.14240897581585799</v>
      </c>
      <c r="T23" s="123">
        <f>IF('NEW Factors'!$AA$16="y",T22*(1-$Z$9),1)</f>
        <v>0.71636558869751132</v>
      </c>
      <c r="U23" s="123">
        <f>IF('NEW Factors'!$AA$16="y",U22*(1-$Z$7),1)</f>
        <v>0.3273282528222809</v>
      </c>
      <c r="V23" s="123">
        <f>IF('NEW Factors'!$AA$16="y",V22*(1-$Z$10),1)</f>
        <v>0.29568831976442556</v>
      </c>
      <c r="W23" s="149">
        <f>IF('NEW Factors'!$AA$16="y",W22*(1-$Z$6),1)</f>
        <v>0.72725063509466281</v>
      </c>
      <c r="AI23" s="147"/>
      <c r="AJ23" s="147"/>
      <c r="AK23" s="147"/>
    </row>
    <row r="24" spans="1:37" ht="30" x14ac:dyDescent="0.25">
      <c r="A24" s="176" t="s">
        <v>106</v>
      </c>
      <c r="B24" s="182">
        <v>2.02</v>
      </c>
      <c r="D24" s="181">
        <f>D22*D23</f>
        <v>10160.460799999999</v>
      </c>
      <c r="E24" s="175" t="s">
        <v>107</v>
      </c>
      <c r="K24" s="146">
        <v>2039</v>
      </c>
      <c r="L24" s="147">
        <v>867600</v>
      </c>
      <c r="M24" s="147">
        <v>49100</v>
      </c>
      <c r="N24" s="147">
        <v>2384</v>
      </c>
      <c r="O24" s="147">
        <v>18100</v>
      </c>
      <c r="P24" s="148">
        <v>72</v>
      </c>
      <c r="R24" s="146">
        <v>2039</v>
      </c>
      <c r="S24" s="123">
        <f>IF('NEW Factors'!$AA$16="y",S23*(1-$Z$8),1)</f>
        <v>0.12698295909206397</v>
      </c>
      <c r="T24" s="123">
        <f>IF('NEW Factors'!$AA$16="y",T23*(1-$Z$9),1)</f>
        <v>0.70244646069226779</v>
      </c>
      <c r="U24" s="123">
        <f>IF('NEW Factors'!$AA$16="y",U23*(1-$Z$7),1)</f>
        <v>0.30651597186855845</v>
      </c>
      <c r="V24" s="123">
        <f>IF('NEW Factors'!$AA$16="y",V23*(1-$Z$10),1)</f>
        <v>0.27523696964913336</v>
      </c>
      <c r="W24" s="149">
        <f>IF('NEW Factors'!$AA$16="y",W23*(1-$Z$6),1)</f>
        <v>0.71375289096025463</v>
      </c>
      <c r="AI24" s="147"/>
      <c r="AJ24" s="147"/>
      <c r="AK24" s="147"/>
    </row>
    <row r="25" spans="1:37" ht="30" x14ac:dyDescent="0.25">
      <c r="A25" s="183" t="s">
        <v>108</v>
      </c>
      <c r="B25" s="184">
        <v>1.67</v>
      </c>
      <c r="K25" s="146">
        <v>2040</v>
      </c>
      <c r="L25" s="147">
        <v>867600</v>
      </c>
      <c r="M25" s="147">
        <v>49100</v>
      </c>
      <c r="N25" s="147">
        <v>2384</v>
      </c>
      <c r="O25" s="147">
        <v>18100</v>
      </c>
      <c r="P25" s="148">
        <v>73</v>
      </c>
      <c r="R25" s="146">
        <v>2040</v>
      </c>
      <c r="S25" s="123">
        <f>IF('NEW Factors'!$AA$16="y",S24*(1-$Z$8),1)</f>
        <v>0.11322791844684571</v>
      </c>
      <c r="T25" s="123">
        <f>IF('NEW Factors'!$AA$16="y",T24*(1-$Z$9),1)</f>
        <v>0.68879778415410076</v>
      </c>
      <c r="U25" s="123">
        <f>IF('NEW Factors'!$AA$16="y",U24*(1-$Z$7),1)</f>
        <v>0.28702698346524058</v>
      </c>
      <c r="V25" s="123">
        <f>IF('NEW Factors'!$AA$16="y",V24*(1-$Z$10),1)</f>
        <v>0.25620014183175099</v>
      </c>
      <c r="W25" s="149">
        <f>IF('NEW Factors'!$AA$16="y",W24*(1-$Z$6),1)</f>
        <v>0.70050566444374329</v>
      </c>
      <c r="AI25" s="147"/>
      <c r="AJ25" s="147"/>
      <c r="AK25" s="147"/>
    </row>
    <row r="26" spans="1:37" ht="15.75" thickBot="1" x14ac:dyDescent="0.3">
      <c r="A26" s="178" t="s">
        <v>109</v>
      </c>
      <c r="B26" s="185">
        <v>1</v>
      </c>
      <c r="K26" s="146">
        <v>2041</v>
      </c>
      <c r="L26" s="147">
        <v>867600</v>
      </c>
      <c r="M26" s="147">
        <v>49100</v>
      </c>
      <c r="N26" s="147">
        <v>2384</v>
      </c>
      <c r="O26" s="147">
        <v>18100</v>
      </c>
      <c r="P26" s="148">
        <v>74</v>
      </c>
      <c r="R26" s="146">
        <v>2041</v>
      </c>
      <c r="S26" s="123">
        <f>IF('NEW Factors'!$AA$16="y",S25*(1-$Z$8),1)</f>
        <v>0.10096285050744881</v>
      </c>
      <c r="T26" s="123">
        <f>IF('NEW Factors'!$AA$16="y",T25*(1-$Z$9),1)</f>
        <v>0.67541430415640735</v>
      </c>
      <c r="U26" s="123">
        <f>IF('NEW Factors'!$AA$16="y",U25*(1-$Z$7),1)</f>
        <v>0.26877714963735716</v>
      </c>
      <c r="V26" s="123">
        <f>IF('NEW Factors'!$AA$16="y",V25*(1-$Z$10),1)</f>
        <v>0.23848000055473653</v>
      </c>
      <c r="W26" s="149">
        <f>IF('NEW Factors'!$AA$16="y",W25*(1-$Z$6),1)</f>
        <v>0.68750430594766643</v>
      </c>
      <c r="AE26" s="147"/>
      <c r="AI26" s="147"/>
      <c r="AJ26" s="147"/>
      <c r="AK26" s="147"/>
    </row>
    <row r="27" spans="1:37" x14ac:dyDescent="0.25">
      <c r="D27" s="124" t="s">
        <v>110</v>
      </c>
      <c r="K27" s="146">
        <v>2042</v>
      </c>
      <c r="L27" s="147">
        <v>867600</v>
      </c>
      <c r="M27" s="147">
        <v>49100</v>
      </c>
      <c r="N27" s="147">
        <v>2384</v>
      </c>
      <c r="O27" s="147">
        <v>18100</v>
      </c>
      <c r="P27" s="148">
        <v>75</v>
      </c>
      <c r="R27" s="146">
        <v>2042</v>
      </c>
      <c r="S27" s="123">
        <f>IF('NEW Factors'!$AA$16="y",S26*(1-$Z$8),1)</f>
        <v>9.0026358537843687E-2</v>
      </c>
      <c r="T27" s="123">
        <f>IF('NEW Factors'!$AA$16="y",T26*(1-$Z$9),1)</f>
        <v>0.6622908678768693</v>
      </c>
      <c r="U27" s="123">
        <f>IF('NEW Factors'!$AA$16="y",U26*(1-$Z$7),1)</f>
        <v>0.25168768209533443</v>
      </c>
      <c r="V27" s="123">
        <f>IF('NEW Factors'!$AA$16="y",V26*(1-$Z$10),1)</f>
        <v>0.22198547689304549</v>
      </c>
      <c r="W27" s="149">
        <f>IF('NEW Factors'!$AA$16="y",W26*(1-$Z$6),1)</f>
        <v>0.67474425217091361</v>
      </c>
      <c r="AE27" s="147"/>
      <c r="AI27" s="147"/>
      <c r="AJ27" s="147"/>
      <c r="AK27" s="147"/>
    </row>
    <row r="28" spans="1:37" x14ac:dyDescent="0.25">
      <c r="A28" s="124" t="s">
        <v>111</v>
      </c>
      <c r="D28" s="122" t="s">
        <v>64</v>
      </c>
      <c r="E28" s="122" t="s">
        <v>112</v>
      </c>
      <c r="K28" s="146">
        <v>2043</v>
      </c>
      <c r="L28" s="147">
        <v>867600</v>
      </c>
      <c r="M28" s="147">
        <v>49100</v>
      </c>
      <c r="N28" s="147">
        <v>2384</v>
      </c>
      <c r="O28" s="147">
        <v>18100</v>
      </c>
      <c r="P28" s="148">
        <v>77</v>
      </c>
      <c r="R28" s="146">
        <v>2043</v>
      </c>
      <c r="S28" s="123">
        <f>IF('NEW Factors'!$AA$16="y",S27*(1-$Z$8),1)</f>
        <v>8.027452860977248E-2</v>
      </c>
      <c r="T28" s="123">
        <f>IF('NEW Factors'!$AA$16="y",T27*(1-$Z$9),1)</f>
        <v>0.64942242261354644</v>
      </c>
      <c r="U28" s="123">
        <f>IF('NEW Factors'!$AA$16="y",U27*(1-$Z$7),1)</f>
        <v>0.23568480208972947</v>
      </c>
      <c r="V28" s="123">
        <f>IF('NEW Factors'!$AA$16="y",V27*(1-$Z$10),1)</f>
        <v>0.20663180072461682</v>
      </c>
      <c r="W28" s="149">
        <f>IF('NEW Factors'!$AA$16="y",W27*(1-$Z$6),1)</f>
        <v>0.66222102450706954</v>
      </c>
      <c r="AE28" s="147"/>
      <c r="AI28" s="147"/>
      <c r="AJ28" s="147"/>
      <c r="AK28" s="147"/>
    </row>
    <row r="29" spans="1:37" ht="50.45" customHeight="1" x14ac:dyDescent="0.25">
      <c r="A29" s="346" t="s">
        <v>113</v>
      </c>
      <c r="B29" s="346"/>
      <c r="D29" s="122" t="s">
        <v>76</v>
      </c>
      <c r="E29" s="180">
        <v>4.4999999999999998E-2</v>
      </c>
      <c r="F29" s="122" t="s">
        <v>114</v>
      </c>
      <c r="I29" s="186"/>
      <c r="K29" s="146">
        <v>2044</v>
      </c>
      <c r="L29" s="147">
        <v>867600</v>
      </c>
      <c r="M29" s="147">
        <v>49100</v>
      </c>
      <c r="N29" s="147">
        <v>2384</v>
      </c>
      <c r="O29" s="147">
        <v>18100</v>
      </c>
      <c r="P29" s="148">
        <v>78</v>
      </c>
      <c r="R29" s="146">
        <v>2044</v>
      </c>
      <c r="S29" s="123">
        <f>IF('NEW Factors'!$AA$16="y",S28*(1-$Z$8),1)</f>
        <v>7.1579035831071253E-2</v>
      </c>
      <c r="T29" s="123">
        <f>IF('NEW Factors'!$AA$16="y",T28*(1-$Z$9),1)</f>
        <v>0.63680401383951724</v>
      </c>
      <c r="U29" s="123">
        <f>IF('NEW Factors'!$AA$16="y",U28*(1-$Z$7),1)</f>
        <v>0.22069942189318068</v>
      </c>
      <c r="V29" s="123">
        <f>IF('NEW Factors'!$AA$16="y",V28*(1-$Z$10),1)</f>
        <v>0.1923400650722272</v>
      </c>
      <c r="W29" s="149">
        <f>IF('NEW Factors'!$AA$16="y",W28*(1-$Z$6),1)</f>
        <v>0.64993022747248375</v>
      </c>
      <c r="AI29" s="147"/>
      <c r="AJ29" s="147"/>
      <c r="AK29" s="147"/>
    </row>
    <row r="30" spans="1:37" x14ac:dyDescent="0.25">
      <c r="A30" s="134" t="s">
        <v>115</v>
      </c>
      <c r="B30" s="134" t="s">
        <v>116</v>
      </c>
      <c r="D30" s="122" t="s">
        <v>109</v>
      </c>
      <c r="E30" s="180">
        <v>0.15210000000000001</v>
      </c>
      <c r="F30" s="122" t="s">
        <v>117</v>
      </c>
      <c r="K30" s="146">
        <v>2045</v>
      </c>
      <c r="L30" s="147">
        <v>867600</v>
      </c>
      <c r="M30" s="147">
        <v>49100</v>
      </c>
      <c r="N30" s="147">
        <v>2384</v>
      </c>
      <c r="O30" s="147">
        <v>18100</v>
      </c>
      <c r="P30" s="148">
        <v>79</v>
      </c>
      <c r="R30" s="146">
        <v>2045</v>
      </c>
      <c r="S30" s="123">
        <f>IF('NEW Factors'!$AA$16="y",S29*(1-$Z$8),1)</f>
        <v>6.3825455711016763E-2</v>
      </c>
      <c r="T30" s="123">
        <f>IF('NEW Factors'!$AA$16="y",T29*(1-$Z$9),1)</f>
        <v>0.62443078329531831</v>
      </c>
      <c r="U30" s="123">
        <f>IF('NEW Factors'!$AA$16="y",U29*(1-$Z$7),1)</f>
        <v>0.20666684653446618</v>
      </c>
      <c r="V30" s="123">
        <f>IF('NEW Factors'!$AA$16="y",V29*(1-$Z$10),1)</f>
        <v>0.17903682057774023</v>
      </c>
      <c r="W30" s="149">
        <f>IF('NEW Factors'!$AA$16="y",W29*(1-$Z$6),1)</f>
        <v>0.63786754716351513</v>
      </c>
      <c r="AE30" s="147"/>
      <c r="AI30" s="147"/>
      <c r="AJ30" s="147"/>
      <c r="AK30" s="147"/>
    </row>
    <row r="31" spans="1:37" x14ac:dyDescent="0.25">
      <c r="A31" s="187" t="s">
        <v>118</v>
      </c>
      <c r="B31" s="141"/>
      <c r="D31" s="122" t="s">
        <v>119</v>
      </c>
      <c r="E31" s="180">
        <v>0.1653</v>
      </c>
      <c r="F31" s="122" t="s">
        <v>117</v>
      </c>
      <c r="K31" s="146">
        <v>2046</v>
      </c>
      <c r="L31" s="147">
        <v>867600</v>
      </c>
      <c r="M31" s="147">
        <v>49100</v>
      </c>
      <c r="N31" s="147">
        <v>2384</v>
      </c>
      <c r="O31" s="147">
        <v>18100</v>
      </c>
      <c r="P31" s="148">
        <v>80</v>
      </c>
      <c r="R31" s="146">
        <v>2046</v>
      </c>
      <c r="S31" s="123">
        <f>IF('NEW Factors'!$AA$16="y",S30*(1-$Z$8),1)</f>
        <v>5.691175844185712E-2</v>
      </c>
      <c r="T31" s="123">
        <f>IF('NEW Factors'!$AA$16="y",T30*(1-$Z$9),1)</f>
        <v>0.61229796711844853</v>
      </c>
      <c r="U31" s="123">
        <f>IF('NEW Factors'!$AA$16="y",U30*(1-$Z$7),1)</f>
        <v>0.19352649449699497</v>
      </c>
      <c r="V31" s="123">
        <f>IF('NEW Factors'!$AA$16="y",V30*(1-$Z$10),1)</f>
        <v>0.16665369802463681</v>
      </c>
      <c r="W31" s="149">
        <f>IF('NEW Factors'!$AA$16="y",W30*(1-$Z$6),1)</f>
        <v>0.62602874974241007</v>
      </c>
      <c r="AE31" s="147"/>
      <c r="AI31" s="147"/>
      <c r="AJ31" s="147"/>
      <c r="AK31" s="147"/>
    </row>
    <row r="32" spans="1:37" x14ac:dyDescent="0.25">
      <c r="A32" s="140" t="s">
        <v>120</v>
      </c>
      <c r="B32" s="188">
        <v>16.2</v>
      </c>
      <c r="D32" s="122" t="s">
        <v>121</v>
      </c>
      <c r="E32" s="180">
        <v>0.13350000000000001</v>
      </c>
      <c r="F32" s="122" t="s">
        <v>117</v>
      </c>
      <c r="K32" s="146">
        <v>2047</v>
      </c>
      <c r="L32" s="147">
        <v>867600</v>
      </c>
      <c r="M32" s="147">
        <v>49100</v>
      </c>
      <c r="N32" s="147">
        <v>2384</v>
      </c>
      <c r="O32" s="147">
        <v>18100</v>
      </c>
      <c r="P32" s="148">
        <v>81</v>
      </c>
      <c r="R32" s="146">
        <v>2047</v>
      </c>
      <c r="S32" s="123">
        <f>IF('NEW Factors'!$AA$16="y",S31*(1-$Z$8),1)</f>
        <v>5.0746966282690056E-2</v>
      </c>
      <c r="T32" s="123">
        <f>IF('NEW Factors'!$AA$16="y",T31*(1-$Z$9),1)</f>
        <v>0.60040089400921681</v>
      </c>
      <c r="U32" s="123">
        <f>IF('NEW Factors'!$AA$16="y",U31*(1-$Z$7),1)</f>
        <v>0.18122163617592821</v>
      </c>
      <c r="V32" s="123">
        <f>IF('NEW Factors'!$AA$16="y",V31*(1-$Z$10),1)</f>
        <v>0.15512705696886089</v>
      </c>
      <c r="W32" s="149">
        <f>IF('NEW Factors'!$AA$16="y",W31*(1-$Z$6),1)</f>
        <v>0.61440967995128282</v>
      </c>
      <c r="AE32" s="147"/>
      <c r="AI32" s="147"/>
      <c r="AJ32" s="147"/>
      <c r="AK32" s="147"/>
    </row>
    <row r="33" spans="1:37" x14ac:dyDescent="0.25">
      <c r="A33" s="140" t="s">
        <v>122</v>
      </c>
      <c r="B33" s="188">
        <v>29.4</v>
      </c>
      <c r="K33" s="146">
        <v>2048</v>
      </c>
      <c r="L33" s="147">
        <v>867600</v>
      </c>
      <c r="M33" s="147">
        <v>49100</v>
      </c>
      <c r="N33" s="147">
        <v>2384</v>
      </c>
      <c r="O33" s="147">
        <v>18100</v>
      </c>
      <c r="P33" s="148">
        <v>82</v>
      </c>
      <c r="R33" s="146">
        <v>2048</v>
      </c>
      <c r="S33" s="123">
        <f>IF('NEW Factors'!$AA$16="y",S32*(1-$Z$8),1)</f>
        <v>4.5249956378126045E-2</v>
      </c>
      <c r="T33" s="123">
        <f>IF('NEW Factors'!$AA$16="y",T32*(1-$Z$9),1)</f>
        <v>0.5887349834322283</v>
      </c>
      <c r="U33" s="123">
        <f>IF('NEW Factors'!$AA$16="y",U32*(1-$Z$7),1)</f>
        <v>0.16969914896479688</v>
      </c>
      <c r="V33" s="123">
        <f>IF('NEW Factors'!$AA$16="y",V32*(1-$Z$10),1)</f>
        <v>0.1443976586721929</v>
      </c>
      <c r="W33" s="149">
        <f>IF('NEW Factors'!$AA$16="y",W32*(1-$Z$6),1)</f>
        <v>0.60300625965367582</v>
      </c>
      <c r="AI33" s="147"/>
      <c r="AJ33" s="147"/>
      <c r="AK33" s="147"/>
    </row>
    <row r="34" spans="1:37" x14ac:dyDescent="0.25">
      <c r="A34" s="140" t="s">
        <v>123</v>
      </c>
      <c r="B34" s="188">
        <v>17.8</v>
      </c>
      <c r="K34" s="146">
        <v>2049</v>
      </c>
      <c r="L34" s="147">
        <v>867600</v>
      </c>
      <c r="M34" s="147">
        <v>49100</v>
      </c>
      <c r="N34" s="147">
        <v>2384</v>
      </c>
      <c r="O34" s="147">
        <v>18100</v>
      </c>
      <c r="P34" s="148">
        <v>84</v>
      </c>
      <c r="R34" s="146">
        <v>2049</v>
      </c>
      <c r="S34" s="123">
        <f>IF('NEW Factors'!$AA$16="y",S33*(1-$Z$8),1)</f>
        <v>4.0348393257957929E-2</v>
      </c>
      <c r="T34" s="123">
        <f>IF('NEW Factors'!$AA$16="y",T33*(1-$Z$9),1)</f>
        <v>0.57729574385281524</v>
      </c>
      <c r="U34" s="123">
        <f>IF('NEW Factors'!$AA$16="y",U33*(1-$Z$7),1)</f>
        <v>0.15890928791427364</v>
      </c>
      <c r="V34" s="123">
        <f>IF('NEW Factors'!$AA$16="y",V33*(1-$Z$10),1)</f>
        <v>0.134410361657261</v>
      </c>
      <c r="W34" s="149">
        <f>IF('NEW Factors'!$AA$16="y",W33*(1-$Z$6),1)</f>
        <v>0.59181448640318923</v>
      </c>
      <c r="AE34" s="147"/>
      <c r="AI34" s="147"/>
      <c r="AJ34" s="147"/>
      <c r="AK34" s="147"/>
    </row>
    <row r="35" spans="1:37" x14ac:dyDescent="0.25">
      <c r="A35" s="140"/>
      <c r="B35" s="141"/>
      <c r="K35" s="146">
        <v>2050</v>
      </c>
      <c r="L35" s="147">
        <v>867600</v>
      </c>
      <c r="M35" s="147">
        <v>49100</v>
      </c>
      <c r="N35" s="147">
        <v>2384</v>
      </c>
      <c r="O35" s="147">
        <v>18100</v>
      </c>
      <c r="P35" s="148">
        <v>85</v>
      </c>
      <c r="R35" s="146">
        <v>2050</v>
      </c>
      <c r="S35" s="123">
        <f>IF('NEW Factors'!$AA$16="y",S34*(1-$Z$8),1)</f>
        <v>3.5977776970538722E-2</v>
      </c>
      <c r="T35" s="123">
        <f>IF('NEW Factors'!$AA$16="y",T34*(1-$Z$9),1)</f>
        <v>0.5660787710077354</v>
      </c>
      <c r="U35" s="123">
        <f>IF('NEW Factors'!$AA$16="y",U34*(1-$Z$7),1)</f>
        <v>0.14880547097298602</v>
      </c>
      <c r="V35" s="123">
        <f>IF('NEW Factors'!$AA$16="y",V34*(1-$Z$10),1)</f>
        <v>0.12511383831955963</v>
      </c>
      <c r="W35" s="149">
        <f>IF('NEW Factors'!$AA$16="y",W34*(1-$Z$6),1)</f>
        <v>0.58083043203867613</v>
      </c>
      <c r="AE35" s="147"/>
      <c r="AI35" s="147"/>
      <c r="AJ35" s="147"/>
      <c r="AK35" s="147"/>
    </row>
    <row r="36" spans="1:37" ht="30" x14ac:dyDescent="0.25">
      <c r="A36" s="187" t="s">
        <v>124</v>
      </c>
      <c r="B36" s="188"/>
      <c r="K36" s="146">
        <v>2051</v>
      </c>
      <c r="L36" s="147">
        <f t="shared" ref="L36:M45" si="2">L35</f>
        <v>867600</v>
      </c>
      <c r="M36" s="147">
        <f t="shared" si="2"/>
        <v>49100</v>
      </c>
      <c r="N36" s="147">
        <v>2384</v>
      </c>
      <c r="O36" s="147">
        <f t="shared" ref="O36:O45" si="3">O35</f>
        <v>18100</v>
      </c>
      <c r="P36" s="148">
        <v>86</v>
      </c>
      <c r="R36" s="146">
        <v>2051</v>
      </c>
      <c r="S36" s="123">
        <f>IF('NEW Factors'!$AA$16="y",S35*(1-$Z$8),1)</f>
        <v>3.2080594324199796E-2</v>
      </c>
      <c r="T36" s="123">
        <f>IF('NEW Factors'!$AA$16="y",T35*(1-$Z$9),1)</f>
        <v>0.55507974620947043</v>
      </c>
      <c r="U36" s="123">
        <f>IF('NEW Factors'!$AA$16="y",U35*(1-$Z$7),1)</f>
        <v>0.13934407788321124</v>
      </c>
      <c r="V36" s="123">
        <f>IF('NEW Factors'!$AA$16="y",V35*(1-$Z$10),1)</f>
        <v>0.11646031114006224</v>
      </c>
      <c r="W36" s="149">
        <f>IF('NEW Factors'!$AA$16="y",W35*(1-$Z$6),1)</f>
        <v>0.57005024130551118</v>
      </c>
      <c r="AE36" s="147"/>
    </row>
    <row r="37" spans="1:37" x14ac:dyDescent="0.25">
      <c r="A37" s="140" t="s">
        <v>125</v>
      </c>
      <c r="B37" s="188">
        <v>32</v>
      </c>
      <c r="K37" s="146">
        <v>2052</v>
      </c>
      <c r="L37" s="147">
        <f t="shared" si="2"/>
        <v>867600</v>
      </c>
      <c r="M37" s="147">
        <f t="shared" si="2"/>
        <v>49100</v>
      </c>
      <c r="N37" s="147">
        <v>2384</v>
      </c>
      <c r="O37" s="147">
        <f t="shared" si="3"/>
        <v>18100</v>
      </c>
      <c r="P37" s="148">
        <v>88</v>
      </c>
      <c r="R37" s="146">
        <v>2052</v>
      </c>
      <c r="S37" s="123">
        <f>IF('NEW Factors'!$AA$16="y",S36*(1-$Z$8),1)</f>
        <v>2.8605562067846396E-2</v>
      </c>
      <c r="T37" s="123">
        <f>IF('NEW Factors'!$AA$16="y",T36*(1-$Z$9),1)</f>
        <v>0.54429443468347227</v>
      </c>
      <c r="U37" s="123">
        <f>IF('NEW Factors'!$AA$16="y",U36*(1-$Z$7),1)</f>
        <v>0.13048426186324386</v>
      </c>
      <c r="V37" s="123">
        <f>IF('NEW Factors'!$AA$16="y",V36*(1-$Z$10),1)</f>
        <v>0.10840530714274903</v>
      </c>
      <c r="W37" s="149">
        <f>IF('NEW Factors'!$AA$16="y",W36*(1-$Z$6),1)</f>
        <v>0.5594701305024482</v>
      </c>
    </row>
    <row r="38" spans="1:37" x14ac:dyDescent="0.25">
      <c r="A38" s="140" t="s">
        <v>126</v>
      </c>
      <c r="B38" s="188">
        <v>33.6</v>
      </c>
      <c r="K38" s="146">
        <v>2053</v>
      </c>
      <c r="L38" s="147">
        <f t="shared" si="2"/>
        <v>867600</v>
      </c>
      <c r="M38" s="147">
        <f t="shared" si="2"/>
        <v>49100</v>
      </c>
      <c r="N38" s="147">
        <v>2384</v>
      </c>
      <c r="O38" s="147">
        <f t="shared" si="3"/>
        <v>18100</v>
      </c>
      <c r="P38" s="148">
        <v>89</v>
      </c>
      <c r="R38" s="146">
        <v>2053</v>
      </c>
      <c r="S38" s="123">
        <f>IF('NEW Factors'!$AA$16="y",S37*(1-$Z$8),1)</f>
        <v>2.5506952051700289E-2</v>
      </c>
      <c r="T38" s="123">
        <f>IF('NEW Factors'!$AA$16="y",T37*(1-$Z$9),1)</f>
        <v>0.53371868393771726</v>
      </c>
      <c r="U38" s="123">
        <f>IF('NEW Factors'!$AA$16="y",U37*(1-$Z$7),1)</f>
        <v>0.12218777326343035</v>
      </c>
      <c r="V38" s="123">
        <f>IF('NEW Factors'!$AA$16="y",V37*(1-$Z$10),1)</f>
        <v>0.10090742933513576</v>
      </c>
      <c r="W38" s="149">
        <f>IF('NEW Factors'!$AA$16="y",W37*(1-$Z$6),1)</f>
        <v>0.5490863861535924</v>
      </c>
      <c r="AE38" s="147"/>
    </row>
    <row r="39" spans="1:37" ht="30" x14ac:dyDescent="0.25">
      <c r="A39" s="140" t="s">
        <v>127</v>
      </c>
      <c r="B39" s="188">
        <v>50.7</v>
      </c>
      <c r="K39" s="146">
        <v>2054</v>
      </c>
      <c r="L39" s="147">
        <f t="shared" si="2"/>
        <v>867600</v>
      </c>
      <c r="M39" s="147">
        <f t="shared" si="2"/>
        <v>49100</v>
      </c>
      <c r="N39" s="147">
        <v>2384</v>
      </c>
      <c r="O39" s="147">
        <f t="shared" si="3"/>
        <v>18100</v>
      </c>
      <c r="P39" s="148">
        <v>91</v>
      </c>
      <c r="R39" s="146">
        <v>2054</v>
      </c>
      <c r="S39" s="123">
        <f>IF('NEW Factors'!$AA$16="y",S38*(1-$Z$8),1)</f>
        <v>2.2743989487940836E-2</v>
      </c>
      <c r="T39" s="123">
        <f>IF('NEW Factors'!$AA$16="y",T38*(1-$Z$9),1)</f>
        <v>0.52334842216394006</v>
      </c>
      <c r="U39" s="123">
        <f>IF('NEW Factors'!$AA$16="y",U38*(1-$Z$7),1)</f>
        <v>0.11441879443455746</v>
      </c>
      <c r="V39" s="123">
        <f>IF('NEW Factors'!$AA$16="y",V38*(1-$Z$10),1)</f>
        <v>9.3928143957170515E-2</v>
      </c>
      <c r="W39" s="149">
        <f>IF('NEW Factors'!$AA$16="y",W38*(1-$Z$6),1)</f>
        <v>0.53889536370502022</v>
      </c>
      <c r="AE39" s="147"/>
    </row>
    <row r="40" spans="1:37" ht="30" x14ac:dyDescent="0.25">
      <c r="A40" s="140" t="s">
        <v>128</v>
      </c>
      <c r="B40" s="188">
        <v>52.5</v>
      </c>
      <c r="K40" s="146">
        <v>2055</v>
      </c>
      <c r="L40" s="147">
        <f t="shared" si="2"/>
        <v>867600</v>
      </c>
      <c r="M40" s="147">
        <f t="shared" si="2"/>
        <v>49100</v>
      </c>
      <c r="N40" s="147">
        <v>2384</v>
      </c>
      <c r="O40" s="147">
        <f t="shared" si="3"/>
        <v>18100</v>
      </c>
      <c r="P40" s="148">
        <v>92</v>
      </c>
      <c r="R40" s="146">
        <v>2055</v>
      </c>
      <c r="S40" s="123">
        <f>IF('NEW Factors'!$AA$16="y",S39*(1-$Z$8),1)</f>
        <v>2.0280316392921625E-2</v>
      </c>
      <c r="T40" s="123">
        <f>IF('NEW Factors'!$AA$16="y",T39*(1-$Z$9),1)</f>
        <v>0.51317965666993193</v>
      </c>
      <c r="U40" s="123">
        <f>IF('NEW Factors'!$AA$16="y",U39*(1-$Z$7),1)</f>
        <v>0.10714378509568706</v>
      </c>
      <c r="V40" s="123">
        <f>IF('NEW Factors'!$AA$16="y",V39*(1-$Z$10),1)</f>
        <v>8.7431582445109152E-2</v>
      </c>
      <c r="W40" s="149">
        <f>IF('NEW Factors'!$AA$16="y",W39*(1-$Z$6),1)</f>
        <v>0.52889348624559052</v>
      </c>
      <c r="AE40" s="147"/>
    </row>
    <row r="41" spans="1:37" x14ac:dyDescent="0.25">
      <c r="K41" s="146">
        <v>2056</v>
      </c>
      <c r="L41" s="147">
        <f t="shared" si="2"/>
        <v>867600</v>
      </c>
      <c r="M41" s="147">
        <f t="shared" si="2"/>
        <v>49100</v>
      </c>
      <c r="N41" s="147">
        <v>2384</v>
      </c>
      <c r="O41" s="147">
        <f t="shared" si="3"/>
        <v>18100</v>
      </c>
      <c r="P41" s="148">
        <v>94</v>
      </c>
      <c r="R41" s="146">
        <v>2056</v>
      </c>
      <c r="S41" s="123">
        <f>IF('NEW Factors'!$AA$16="y",S40*(1-$Z$8),1)</f>
        <v>1.8083513150367821E-2</v>
      </c>
      <c r="T41" s="123">
        <f>IF('NEW Factors'!$AA$16="y",T40*(1-$Z$9),1)</f>
        <v>0.5032084723422996</v>
      </c>
      <c r="U41" s="123">
        <f>IF('NEW Factors'!$AA$16="y",U40*(1-$Z$7),1)</f>
        <v>0.10033133753385864</v>
      </c>
      <c r="V41" s="123">
        <f>IF('NEW Factors'!$AA$16="y",V40*(1-$Z$10),1)</f>
        <v>8.1384357092604415E-2</v>
      </c>
      <c r="W41" s="149">
        <f>IF('NEW Factors'!$AA$16="y",W40*(1-$Z$6),1)</f>
        <v>0.51907724325149684</v>
      </c>
    </row>
    <row r="42" spans="1:37" x14ac:dyDescent="0.25">
      <c r="K42" s="146">
        <v>2057</v>
      </c>
      <c r="L42" s="147">
        <f t="shared" si="2"/>
        <v>867600</v>
      </c>
      <c r="M42" s="147">
        <f t="shared" si="2"/>
        <v>49100</v>
      </c>
      <c r="N42" s="147">
        <v>2384</v>
      </c>
      <c r="O42" s="147">
        <f t="shared" si="3"/>
        <v>18100</v>
      </c>
      <c r="P42" s="148">
        <v>95</v>
      </c>
      <c r="R42" s="146">
        <v>2057</v>
      </c>
      <c r="S42" s="123">
        <f>IF('NEW Factors'!$AA$16="y",S41*(1-$Z$8),1)</f>
        <v>1.6124671899776791E-2</v>
      </c>
      <c r="T42" s="123">
        <f>IF('NEW Factors'!$AA$16="y",T41*(1-$Z$9),1)</f>
        <v>0.49343103013909367</v>
      </c>
      <c r="U42" s="123">
        <f>IF('NEW Factors'!$AA$16="y",U41*(1-$Z$7),1)</f>
        <v>9.3952041010526913E-2</v>
      </c>
      <c r="V42" s="123">
        <f>IF('NEW Factors'!$AA$16="y",V41*(1-$Z$10),1)</f>
        <v>7.5755389461637943E-2</v>
      </c>
      <c r="W42" s="149">
        <f>IF('NEW Factors'!$AA$16="y",W41*(1-$Z$6),1)</f>
        <v>0.50944318935412114</v>
      </c>
      <c r="AE42" s="147"/>
    </row>
    <row r="43" spans="1:37" x14ac:dyDescent="0.25">
      <c r="K43" s="146">
        <v>2058</v>
      </c>
      <c r="L43" s="147">
        <f t="shared" si="2"/>
        <v>867600</v>
      </c>
      <c r="M43" s="147">
        <f t="shared" si="2"/>
        <v>49100</v>
      </c>
      <c r="N43" s="147">
        <v>2384</v>
      </c>
      <c r="O43" s="147">
        <f t="shared" si="3"/>
        <v>18100</v>
      </c>
      <c r="P43" s="148">
        <v>97</v>
      </c>
      <c r="R43" s="146">
        <v>2058</v>
      </c>
      <c r="S43" s="123">
        <f>IF('NEW Factors'!$AA$16="y",S42*(1-$Z$8),1)</f>
        <v>1.4378016136215364E-2</v>
      </c>
      <c r="T43" s="123">
        <f>IF('NEW Factors'!$AA$16="y",T42*(1-$Z$9),1)</f>
        <v>0.48384356561172465</v>
      </c>
      <c r="U43" s="123">
        <f>IF('NEW Factors'!$AA$16="y",U42*(1-$Z$7),1)</f>
        <v>8.7978354789348873E-2</v>
      </c>
      <c r="V43" s="123">
        <f>IF('NEW Factors'!$AA$16="y",V42*(1-$Z$10),1)</f>
        <v>7.0515750661449286E-2</v>
      </c>
      <c r="W43" s="149">
        <f>IF('NEW Factors'!$AA$16="y",W42*(1-$Z$6),1)</f>
        <v>0.49998794313075584</v>
      </c>
      <c r="AE43" s="147"/>
    </row>
    <row r="44" spans="1:37" x14ac:dyDescent="0.25">
      <c r="K44" s="146">
        <v>2059</v>
      </c>
      <c r="L44" s="147">
        <f t="shared" si="2"/>
        <v>867600</v>
      </c>
      <c r="M44" s="147">
        <f t="shared" si="2"/>
        <v>49100</v>
      </c>
      <c r="N44" s="147">
        <v>2384</v>
      </c>
      <c r="O44" s="147">
        <f t="shared" si="3"/>
        <v>18100</v>
      </c>
      <c r="P44" s="148">
        <v>99</v>
      </c>
      <c r="R44" s="146">
        <v>2059</v>
      </c>
      <c r="S44" s="123">
        <f>IF('NEW Factors'!$AA$16="y",S43*(1-$Z$8),1)</f>
        <v>1.2820561515805544E-2</v>
      </c>
      <c r="T44" s="123">
        <f>IF('NEW Factors'!$AA$16="y",T43*(1-$Z$9),1)</f>
        <v>0.47444238745559913</v>
      </c>
      <c r="U44" s="123">
        <f>IF('NEW Factors'!$AA$16="y",U43*(1-$Z$7),1)</f>
        <v>8.2384489237155495E-2</v>
      </c>
      <c r="V44" s="123">
        <f>IF('NEW Factors'!$AA$16="y",V43*(1-$Z$10),1)</f>
        <v>6.5638512674609295E-2</v>
      </c>
      <c r="W44" s="149">
        <f>IF('NEW Factors'!$AA$16="y",W43*(1-$Z$6),1)</f>
        <v>0.49070818591777032</v>
      </c>
      <c r="AE44" s="147"/>
    </row>
    <row r="45" spans="1:37" x14ac:dyDescent="0.25">
      <c r="K45" s="146">
        <v>2060</v>
      </c>
      <c r="L45" s="147">
        <f t="shared" si="2"/>
        <v>867600</v>
      </c>
      <c r="M45" s="147">
        <f t="shared" si="2"/>
        <v>49100</v>
      </c>
      <c r="N45" s="147">
        <v>2384</v>
      </c>
      <c r="O45" s="147">
        <f t="shared" si="3"/>
        <v>18100</v>
      </c>
      <c r="P45" s="148">
        <v>100</v>
      </c>
      <c r="R45" s="146">
        <v>2060</v>
      </c>
      <c r="S45" s="123">
        <f>IF('NEW Factors'!$AA$16="y",S44*(1-$Z$8),1)</f>
        <v>1.143181340341849E-2</v>
      </c>
      <c r="T45" s="123">
        <f>IF('NEW Factors'!$AA$16="y",T44*(1-$Z$9),1)</f>
        <v>0.46522387608891719</v>
      </c>
      <c r="U45" s="123">
        <f>IF('NEW Factors'!$AA$16="y",U44*(1-$Z$7),1)</f>
        <v>7.7146294484796207E-2</v>
      </c>
      <c r="V45" s="123">
        <f>IF('NEW Factors'!$AA$16="y",V44*(1-$Z$10),1)</f>
        <v>6.1098609966159526E-2</v>
      </c>
      <c r="W45" s="149">
        <f>IF('NEW Factors'!$AA$16="y",W44*(1-$Z$6),1)</f>
        <v>0.4816006606458047</v>
      </c>
    </row>
    <row r="46" spans="1:37" ht="15.75" thickBot="1" x14ac:dyDescent="0.3">
      <c r="K46" s="157"/>
      <c r="L46" s="189"/>
      <c r="M46" s="189"/>
      <c r="N46" s="189"/>
      <c r="O46" s="189"/>
      <c r="P46" s="190"/>
      <c r="R46" s="157"/>
      <c r="S46" s="191"/>
      <c r="T46" s="191"/>
      <c r="U46" s="191"/>
      <c r="V46" s="191"/>
      <c r="W46" s="192"/>
      <c r="AE46" s="147"/>
    </row>
    <row r="47" spans="1:37" x14ac:dyDescent="0.25">
      <c r="AE47" s="147"/>
    </row>
    <row r="48" spans="1:37" x14ac:dyDescent="0.25">
      <c r="K48" s="122" t="s">
        <v>129</v>
      </c>
      <c r="AE48" s="147"/>
    </row>
    <row r="49" spans="1:31" ht="60" x14ac:dyDescent="0.25">
      <c r="A49" s="193" t="s">
        <v>64</v>
      </c>
      <c r="B49" s="194" t="s">
        <v>130</v>
      </c>
      <c r="C49" s="195" t="s">
        <v>131</v>
      </c>
    </row>
    <row r="50" spans="1:31" x14ac:dyDescent="0.25">
      <c r="A50" s="196" t="s">
        <v>132</v>
      </c>
      <c r="B50" s="197" t="s">
        <v>133</v>
      </c>
      <c r="C50" s="198">
        <v>7.08</v>
      </c>
      <c r="AE50" s="147"/>
    </row>
    <row r="51" spans="1:31" x14ac:dyDescent="0.25">
      <c r="A51" s="199" t="s">
        <v>134</v>
      </c>
      <c r="B51" s="200" t="s">
        <v>135</v>
      </c>
      <c r="C51" s="201">
        <v>6.31</v>
      </c>
      <c r="AE51" s="147"/>
    </row>
    <row r="52" spans="1:31" x14ac:dyDescent="0.25">
      <c r="AE52" s="147"/>
    </row>
    <row r="54" spans="1:31" x14ac:dyDescent="0.25">
      <c r="AE54" s="147"/>
    </row>
    <row r="55" spans="1:31" ht="30" x14ac:dyDescent="0.25">
      <c r="A55" s="193" t="s">
        <v>136</v>
      </c>
      <c r="B55" s="195" t="s">
        <v>137</v>
      </c>
      <c r="AE55" s="147"/>
    </row>
    <row r="56" spans="1:31" x14ac:dyDescent="0.25">
      <c r="A56" s="196" t="s">
        <v>138</v>
      </c>
      <c r="B56" s="198">
        <v>1.42</v>
      </c>
      <c r="AE56" s="147"/>
    </row>
    <row r="57" spans="1:31" x14ac:dyDescent="0.25">
      <c r="A57" s="202" t="s">
        <v>139</v>
      </c>
      <c r="B57" s="203">
        <v>1.78</v>
      </c>
    </row>
    <row r="58" spans="1:31" x14ac:dyDescent="0.25">
      <c r="A58" s="202" t="s">
        <v>140</v>
      </c>
      <c r="B58" s="203">
        <v>1.69</v>
      </c>
      <c r="AE58" s="147"/>
    </row>
    <row r="59" spans="1:31" x14ac:dyDescent="0.25">
      <c r="A59" s="202" t="s">
        <v>141</v>
      </c>
      <c r="B59" s="203">
        <v>0.26</v>
      </c>
      <c r="AE59" s="147"/>
    </row>
    <row r="60" spans="1:31" x14ac:dyDescent="0.25">
      <c r="A60" s="199" t="s">
        <v>142</v>
      </c>
      <c r="B60" s="201">
        <v>1.69</v>
      </c>
      <c r="AE60" s="147"/>
    </row>
    <row r="62" spans="1:31" x14ac:dyDescent="0.25">
      <c r="AE62" s="147"/>
    </row>
    <row r="63" spans="1:31" x14ac:dyDescent="0.25">
      <c r="AE63" s="147"/>
    </row>
    <row r="64" spans="1:31" ht="45" x14ac:dyDescent="0.25">
      <c r="A64" s="204" t="s">
        <v>143</v>
      </c>
      <c r="B64" s="195" t="s">
        <v>144</v>
      </c>
      <c r="AE64" s="147"/>
    </row>
    <row r="65" spans="1:31" ht="45" x14ac:dyDescent="0.25">
      <c r="A65" s="205" t="s">
        <v>145</v>
      </c>
      <c r="B65" s="203">
        <v>0.1</v>
      </c>
    </row>
    <row r="66" spans="1:31" ht="30" x14ac:dyDescent="0.25">
      <c r="A66" s="204" t="s">
        <v>146</v>
      </c>
      <c r="B66" s="195" t="s">
        <v>147</v>
      </c>
      <c r="AE66" s="147"/>
    </row>
    <row r="67" spans="1:31" ht="75" x14ac:dyDescent="0.25">
      <c r="A67" s="205" t="s">
        <v>148</v>
      </c>
      <c r="B67" s="203">
        <v>0.18</v>
      </c>
      <c r="AE67" s="147"/>
    </row>
    <row r="68" spans="1:31" ht="75" x14ac:dyDescent="0.25">
      <c r="A68" s="206" t="s">
        <v>149</v>
      </c>
      <c r="B68" s="201">
        <v>0.46</v>
      </c>
      <c r="AE68" s="147"/>
    </row>
    <row r="70" spans="1:31" x14ac:dyDescent="0.25">
      <c r="AE70" s="147"/>
    </row>
    <row r="71" spans="1:31" ht="30" x14ac:dyDescent="0.25">
      <c r="A71" s="217" t="s">
        <v>150</v>
      </c>
      <c r="B71" s="217" t="s">
        <v>151</v>
      </c>
      <c r="AE71" s="147"/>
    </row>
    <row r="72" spans="1:31" x14ac:dyDescent="0.25">
      <c r="A72" s="196">
        <v>2003</v>
      </c>
      <c r="B72" s="218">
        <v>1.38</v>
      </c>
      <c r="AE72" s="147"/>
    </row>
    <row r="73" spans="1:31" x14ac:dyDescent="0.25">
      <c r="A73" s="202">
        <v>2004</v>
      </c>
      <c r="B73" s="219">
        <v>1.34</v>
      </c>
    </row>
    <row r="74" spans="1:31" x14ac:dyDescent="0.25">
      <c r="A74" s="202">
        <v>2005</v>
      </c>
      <c r="B74" s="219">
        <v>1.3</v>
      </c>
      <c r="AE74" s="147"/>
    </row>
    <row r="75" spans="1:31" x14ac:dyDescent="0.25">
      <c r="A75" s="202">
        <v>2006</v>
      </c>
      <c r="B75" s="219">
        <v>1.26</v>
      </c>
      <c r="AE75" s="147"/>
    </row>
    <row r="76" spans="1:31" x14ac:dyDescent="0.25">
      <c r="A76" s="202">
        <v>2007</v>
      </c>
      <c r="B76" s="219">
        <v>1.23</v>
      </c>
      <c r="AE76" s="147"/>
    </row>
    <row r="77" spans="1:31" x14ac:dyDescent="0.25">
      <c r="A77" s="202">
        <v>2008</v>
      </c>
      <c r="B77" s="219">
        <v>1.2</v>
      </c>
    </row>
    <row r="78" spans="1:31" x14ac:dyDescent="0.25">
      <c r="A78" s="202">
        <v>2009</v>
      </c>
      <c r="B78" s="219">
        <v>1.2</v>
      </c>
      <c r="AE78" s="147"/>
    </row>
    <row r="79" spans="1:31" x14ac:dyDescent="0.25">
      <c r="A79" s="202">
        <v>2010</v>
      </c>
      <c r="B79" s="219">
        <v>1.18</v>
      </c>
      <c r="AE79" s="147"/>
    </row>
    <row r="80" spans="1:31" x14ac:dyDescent="0.25">
      <c r="A80" s="202">
        <v>2011</v>
      </c>
      <c r="B80" s="219">
        <v>1.1599999999999999</v>
      </c>
      <c r="AE80" s="147"/>
    </row>
    <row r="81" spans="1:31" x14ac:dyDescent="0.25">
      <c r="A81" s="202">
        <v>2012</v>
      </c>
      <c r="B81" s="219">
        <v>1.1399999999999999</v>
      </c>
    </row>
    <row r="82" spans="1:31" x14ac:dyDescent="0.25">
      <c r="A82" s="202">
        <v>2013</v>
      </c>
      <c r="B82" s="219">
        <v>1.1200000000000001</v>
      </c>
      <c r="AE82" s="147"/>
    </row>
    <row r="83" spans="1:31" x14ac:dyDescent="0.25">
      <c r="A83" s="202">
        <v>2014</v>
      </c>
      <c r="B83" s="219">
        <v>1.1000000000000001</v>
      </c>
      <c r="AE83" s="147"/>
    </row>
    <row r="84" spans="1:31" x14ac:dyDescent="0.25">
      <c r="A84" s="202">
        <v>2015</v>
      </c>
      <c r="B84" s="219">
        <v>1.0900000000000001</v>
      </c>
      <c r="AE84" s="147"/>
    </row>
    <row r="85" spans="1:31" x14ac:dyDescent="0.25">
      <c r="A85" s="202">
        <v>2016</v>
      </c>
      <c r="B85" s="219">
        <v>1.07</v>
      </c>
    </row>
    <row r="86" spans="1:31" x14ac:dyDescent="0.25">
      <c r="A86" s="202">
        <v>2017</v>
      </c>
      <c r="B86" s="219">
        <v>1.05</v>
      </c>
      <c r="AE86" s="147"/>
    </row>
    <row r="87" spans="1:31" x14ac:dyDescent="0.25">
      <c r="A87" s="202">
        <v>2018</v>
      </c>
      <c r="B87" s="219">
        <v>1.03</v>
      </c>
      <c r="AE87" s="147"/>
    </row>
    <row r="88" spans="1:31" x14ac:dyDescent="0.25">
      <c r="A88" s="202">
        <v>2019</v>
      </c>
      <c r="B88" s="219">
        <v>1.01</v>
      </c>
      <c r="AE88" s="147"/>
    </row>
    <row r="89" spans="1:31" x14ac:dyDescent="0.25">
      <c r="A89" s="199">
        <v>2020</v>
      </c>
      <c r="B89" s="220">
        <v>1</v>
      </c>
    </row>
    <row r="91" spans="1:31" x14ac:dyDescent="0.25">
      <c r="A91" s="122" t="s">
        <v>152</v>
      </c>
    </row>
    <row r="94" spans="1:31" ht="17.25" thickBot="1" x14ac:dyDescent="0.3">
      <c r="A94" s="238" t="s">
        <v>50</v>
      </c>
    </row>
    <row r="95" spans="1:31" x14ac:dyDescent="0.25">
      <c r="A95" s="225"/>
      <c r="B95" s="347" t="s">
        <v>153</v>
      </c>
      <c r="C95" s="348"/>
      <c r="D95" s="348"/>
      <c r="E95" s="348"/>
      <c r="F95" s="349"/>
    </row>
    <row r="96" spans="1:31" ht="15.75" thickBot="1" x14ac:dyDescent="0.3">
      <c r="A96" s="226" t="s">
        <v>64</v>
      </c>
      <c r="B96" s="231" t="s">
        <v>72</v>
      </c>
      <c r="C96" s="237" t="s">
        <v>68</v>
      </c>
      <c r="D96" s="237" t="s">
        <v>154</v>
      </c>
      <c r="E96" s="237" t="s">
        <v>155</v>
      </c>
      <c r="F96" s="232" t="s">
        <v>156</v>
      </c>
      <c r="L96" s="122" t="s">
        <v>157</v>
      </c>
      <c r="M96" s="175">
        <v>1.1023100000000001E-6</v>
      </c>
    </row>
    <row r="97" spans="1:14" x14ac:dyDescent="0.25">
      <c r="A97" s="326" t="s">
        <v>76</v>
      </c>
      <c r="B97" s="234">
        <v>4.9580000000000002</v>
      </c>
      <c r="C97" s="234">
        <v>7.79</v>
      </c>
      <c r="D97" s="234">
        <v>8.4000000000000005E-2</v>
      </c>
      <c r="E97" s="234">
        <v>0.36799999999999999</v>
      </c>
      <c r="F97" s="257">
        <f>N97</f>
        <v>12884.901590000001</v>
      </c>
      <c r="L97" s="122">
        <v>11689</v>
      </c>
      <c r="M97" s="259">
        <f>L97*$M$96</f>
        <v>1.2884901590000001E-2</v>
      </c>
      <c r="N97" s="186">
        <f>M97*10^6</f>
        <v>12884.901590000001</v>
      </c>
    </row>
    <row r="98" spans="1:14" x14ac:dyDescent="0.25">
      <c r="A98" s="235" t="s">
        <v>78</v>
      </c>
      <c r="B98" s="252">
        <v>6.8289999999999997</v>
      </c>
      <c r="C98" s="252">
        <v>64.334000000000003</v>
      </c>
      <c r="D98" s="252">
        <v>0.34</v>
      </c>
      <c r="E98" s="252">
        <v>2.9870000000000001</v>
      </c>
      <c r="F98" s="228">
        <f t="shared" ref="F98:F99" si="4">N98</f>
        <v>40664.215900000003</v>
      </c>
      <c r="L98" s="122">
        <v>36890</v>
      </c>
      <c r="M98" s="259">
        <f>L98*$M$96</f>
        <v>4.0664215900000002E-2</v>
      </c>
      <c r="N98" s="186">
        <f t="shared" ref="N98:N99" si="5">M98*10^6</f>
        <v>40664.215900000003</v>
      </c>
    </row>
    <row r="99" spans="1:14" x14ac:dyDescent="0.25">
      <c r="A99" s="233" t="s">
        <v>80</v>
      </c>
      <c r="B99" s="253">
        <v>19.881</v>
      </c>
      <c r="C99" s="253">
        <v>241.779</v>
      </c>
      <c r="D99" s="253">
        <v>0.67600000000000005</v>
      </c>
      <c r="E99" s="253">
        <v>7.165</v>
      </c>
      <c r="F99" s="327">
        <f t="shared" si="4"/>
        <v>76946.749550000008</v>
      </c>
      <c r="L99" s="122">
        <v>69805</v>
      </c>
      <c r="M99" s="259">
        <f>L99*$M$96</f>
        <v>7.6946749550000013E-2</v>
      </c>
      <c r="N99" s="186">
        <f t="shared" si="5"/>
        <v>76946.749550000008</v>
      </c>
    </row>
    <row r="100" spans="1:14" x14ac:dyDescent="0.25">
      <c r="A100" s="235" t="s">
        <v>158</v>
      </c>
      <c r="B100" s="252">
        <v>11.821999999999999</v>
      </c>
      <c r="C100" s="252">
        <v>183.417</v>
      </c>
      <c r="D100" s="252">
        <v>0.47799999999999998</v>
      </c>
      <c r="E100" s="252">
        <v>4.4649999999999999</v>
      </c>
      <c r="F100" s="258"/>
    </row>
    <row r="101" spans="1:14" ht="25.5" x14ac:dyDescent="0.25">
      <c r="A101" s="233" t="s">
        <v>159</v>
      </c>
      <c r="B101" s="253">
        <v>131.5</v>
      </c>
      <c r="C101" s="253">
        <v>2729</v>
      </c>
      <c r="D101" s="253">
        <v>1.996</v>
      </c>
      <c r="E101" s="253">
        <v>86.13</v>
      </c>
      <c r="F101" s="227"/>
    </row>
    <row r="102" spans="1:14" ht="25.5" x14ac:dyDescent="0.25">
      <c r="A102" s="235" t="s">
        <v>160</v>
      </c>
      <c r="B102" s="252">
        <v>0</v>
      </c>
      <c r="C102" s="252">
        <v>0</v>
      </c>
      <c r="D102" s="252">
        <v>0</v>
      </c>
      <c r="E102" s="252">
        <v>0</v>
      </c>
      <c r="F102" s="228"/>
    </row>
    <row r="103" spans="1:14" x14ac:dyDescent="0.25">
      <c r="A103" s="233" t="s">
        <v>161</v>
      </c>
      <c r="B103" s="253">
        <v>1499</v>
      </c>
      <c r="C103" s="253">
        <v>31108</v>
      </c>
      <c r="D103" s="253">
        <v>22.75</v>
      </c>
      <c r="E103" s="253">
        <v>981.7</v>
      </c>
      <c r="F103" s="227"/>
    </row>
    <row r="104" spans="1:14" x14ac:dyDescent="0.25">
      <c r="A104" s="235" t="s">
        <v>162</v>
      </c>
      <c r="B104" s="252">
        <v>0</v>
      </c>
      <c r="C104" s="252">
        <v>0</v>
      </c>
      <c r="D104" s="252">
        <v>0</v>
      </c>
      <c r="E104" s="252">
        <v>0</v>
      </c>
      <c r="F104" s="228"/>
    </row>
    <row r="105" spans="1:14" ht="15.75" thickBot="1" x14ac:dyDescent="0.3">
      <c r="A105" s="236" t="s">
        <v>163</v>
      </c>
      <c r="B105" s="229">
        <v>0</v>
      </c>
      <c r="C105" s="229">
        <v>0</v>
      </c>
      <c r="D105" s="229">
        <v>0</v>
      </c>
      <c r="E105" s="229">
        <v>0</v>
      </c>
      <c r="F105" s="230"/>
    </row>
    <row r="107" spans="1:14" x14ac:dyDescent="0.25">
      <c r="A107" s="340" t="s">
        <v>164</v>
      </c>
      <c r="B107" s="341"/>
      <c r="C107" s="341"/>
      <c r="D107" s="341"/>
      <c r="E107" s="341"/>
      <c r="F107" s="341"/>
      <c r="G107" s="341"/>
      <c r="H107" s="341"/>
      <c r="I107" s="341"/>
    </row>
    <row r="108" spans="1:14" x14ac:dyDescent="0.25">
      <c r="A108" s="341"/>
      <c r="B108" s="341"/>
      <c r="C108" s="341"/>
      <c r="D108" s="341"/>
      <c r="E108" s="341"/>
      <c r="F108" s="341"/>
      <c r="G108" s="341"/>
      <c r="H108" s="341"/>
      <c r="I108" s="341"/>
    </row>
    <row r="109" spans="1:14" x14ac:dyDescent="0.25">
      <c r="A109" s="341"/>
      <c r="B109" s="341"/>
      <c r="C109" s="341"/>
      <c r="D109" s="341"/>
      <c r="E109" s="341"/>
      <c r="F109" s="341"/>
      <c r="G109" s="341"/>
      <c r="H109" s="341"/>
      <c r="I109" s="341"/>
    </row>
    <row r="110" spans="1:14" x14ac:dyDescent="0.25">
      <c r="A110" s="341"/>
      <c r="B110" s="341"/>
      <c r="C110" s="341"/>
      <c r="D110" s="341"/>
      <c r="E110" s="341"/>
      <c r="F110" s="341"/>
      <c r="G110" s="341"/>
      <c r="H110" s="341"/>
      <c r="I110" s="341"/>
    </row>
    <row r="111" spans="1:14" x14ac:dyDescent="0.25">
      <c r="A111" s="341"/>
      <c r="B111" s="341"/>
      <c r="C111" s="341"/>
      <c r="D111" s="341"/>
      <c r="E111" s="341"/>
      <c r="F111" s="341"/>
      <c r="G111" s="341"/>
      <c r="H111" s="341"/>
      <c r="I111" s="341"/>
    </row>
    <row r="112" spans="1:14" x14ac:dyDescent="0.25">
      <c r="A112" s="341"/>
      <c r="B112" s="341"/>
      <c r="C112" s="341"/>
      <c r="D112" s="341"/>
      <c r="E112" s="341"/>
      <c r="F112" s="341"/>
      <c r="G112" s="341"/>
      <c r="H112" s="341"/>
      <c r="I112" s="341"/>
    </row>
    <row r="113" spans="1:9" x14ac:dyDescent="0.25">
      <c r="A113" s="341"/>
      <c r="B113" s="341"/>
      <c r="C113" s="341"/>
      <c r="D113" s="341"/>
      <c r="E113" s="341"/>
      <c r="F113" s="341"/>
      <c r="G113" s="341"/>
      <c r="H113" s="341"/>
      <c r="I113" s="341"/>
    </row>
    <row r="114" spans="1:9" x14ac:dyDescent="0.25">
      <c r="A114" s="341"/>
      <c r="B114" s="341"/>
      <c r="C114" s="341"/>
      <c r="D114" s="341"/>
      <c r="E114" s="341"/>
      <c r="F114" s="341"/>
      <c r="G114" s="341"/>
      <c r="H114" s="341"/>
      <c r="I114" s="341"/>
    </row>
    <row r="115" spans="1:9" x14ac:dyDescent="0.25">
      <c r="A115" s="341"/>
      <c r="B115" s="341"/>
      <c r="C115" s="341"/>
      <c r="D115" s="341"/>
      <c r="E115" s="341"/>
      <c r="F115" s="341"/>
      <c r="G115" s="341"/>
      <c r="H115" s="341"/>
      <c r="I115" s="341"/>
    </row>
    <row r="116" spans="1:9" x14ac:dyDescent="0.25">
      <c r="A116" s="341"/>
      <c r="B116" s="341"/>
      <c r="C116" s="341"/>
      <c r="D116" s="341"/>
      <c r="E116" s="341"/>
      <c r="F116" s="341"/>
      <c r="G116" s="341"/>
      <c r="H116" s="341"/>
      <c r="I116" s="341"/>
    </row>
    <row r="117" spans="1:9" x14ac:dyDescent="0.25">
      <c r="A117" s="341"/>
      <c r="B117" s="341"/>
      <c r="C117" s="341"/>
      <c r="D117" s="341"/>
      <c r="E117" s="341"/>
      <c r="F117" s="341"/>
      <c r="G117" s="341"/>
      <c r="H117" s="341"/>
      <c r="I117" s="341"/>
    </row>
    <row r="118" spans="1:9" x14ac:dyDescent="0.25">
      <c r="A118" s="341"/>
      <c r="B118" s="341"/>
      <c r="C118" s="341"/>
      <c r="D118" s="341"/>
      <c r="E118" s="341"/>
      <c r="F118" s="341"/>
      <c r="G118" s="341"/>
      <c r="H118" s="341"/>
      <c r="I118" s="341"/>
    </row>
    <row r="119" spans="1:9" x14ac:dyDescent="0.25">
      <c r="A119" s="341"/>
      <c r="B119" s="341"/>
      <c r="C119" s="341"/>
      <c r="D119" s="341"/>
      <c r="E119" s="341"/>
      <c r="F119" s="341"/>
      <c r="G119" s="341"/>
      <c r="H119" s="341"/>
      <c r="I119" s="341"/>
    </row>
    <row r="120" spans="1:9" x14ac:dyDescent="0.25">
      <c r="A120" s="341"/>
      <c r="B120" s="341"/>
      <c r="C120" s="341"/>
      <c r="D120" s="341"/>
      <c r="E120" s="341"/>
      <c r="F120" s="341"/>
      <c r="G120" s="341"/>
      <c r="H120" s="341"/>
      <c r="I120" s="341"/>
    </row>
    <row r="121" spans="1:9" x14ac:dyDescent="0.25">
      <c r="A121" s="341"/>
      <c r="B121" s="341"/>
      <c r="C121" s="341"/>
      <c r="D121" s="341"/>
      <c r="E121" s="341"/>
      <c r="F121" s="341"/>
      <c r="G121" s="341"/>
      <c r="H121" s="341"/>
      <c r="I121" s="341"/>
    </row>
    <row r="122" spans="1:9" x14ac:dyDescent="0.25">
      <c r="A122" s="341"/>
      <c r="B122" s="341"/>
      <c r="C122" s="341"/>
      <c r="D122" s="341"/>
      <c r="E122" s="341"/>
      <c r="F122" s="341"/>
      <c r="G122" s="341"/>
      <c r="H122" s="341"/>
      <c r="I122" s="341"/>
    </row>
    <row r="123" spans="1:9" x14ac:dyDescent="0.25">
      <c r="A123" s="341"/>
      <c r="B123" s="341"/>
      <c r="C123" s="341"/>
      <c r="D123" s="341"/>
      <c r="E123" s="341"/>
      <c r="F123" s="341"/>
      <c r="G123" s="341"/>
      <c r="H123" s="341"/>
      <c r="I123" s="341"/>
    </row>
    <row r="124" spans="1:9" x14ac:dyDescent="0.25">
      <c r="A124" s="341"/>
      <c r="B124" s="341"/>
      <c r="C124" s="341"/>
      <c r="D124" s="341"/>
      <c r="E124" s="341"/>
      <c r="F124" s="341"/>
      <c r="G124" s="341"/>
      <c r="H124" s="341"/>
      <c r="I124" s="341"/>
    </row>
    <row r="125" spans="1:9" x14ac:dyDescent="0.25">
      <c r="A125" s="341"/>
      <c r="B125" s="341"/>
      <c r="C125" s="341"/>
      <c r="D125" s="341"/>
      <c r="E125" s="341"/>
      <c r="F125" s="341"/>
      <c r="G125" s="341"/>
      <c r="H125" s="341"/>
      <c r="I125" s="341"/>
    </row>
    <row r="126" spans="1:9" x14ac:dyDescent="0.25">
      <c r="A126" s="341"/>
      <c r="B126" s="341"/>
      <c r="C126" s="341"/>
      <c r="D126" s="341"/>
      <c r="E126" s="341"/>
      <c r="F126" s="341"/>
      <c r="G126" s="341"/>
      <c r="H126" s="341"/>
      <c r="I126" s="341"/>
    </row>
    <row r="127" spans="1:9" x14ac:dyDescent="0.25">
      <c r="A127" s="341"/>
      <c r="B127" s="341"/>
      <c r="C127" s="341"/>
      <c r="D127" s="341"/>
      <c r="E127" s="341"/>
      <c r="F127" s="341"/>
      <c r="G127" s="341"/>
      <c r="H127" s="341"/>
      <c r="I127" s="341"/>
    </row>
    <row r="128" spans="1:9" x14ac:dyDescent="0.25">
      <c r="A128" s="341"/>
      <c r="B128" s="341"/>
      <c r="C128" s="341"/>
      <c r="D128" s="341"/>
      <c r="E128" s="341"/>
      <c r="F128" s="341"/>
      <c r="G128" s="341"/>
      <c r="H128" s="341"/>
      <c r="I128" s="341"/>
    </row>
    <row r="129" spans="1:9" x14ac:dyDescent="0.25">
      <c r="A129" s="341"/>
      <c r="B129" s="341"/>
      <c r="C129" s="341"/>
      <c r="D129" s="341"/>
      <c r="E129" s="341"/>
      <c r="F129" s="341"/>
      <c r="G129" s="341"/>
      <c r="H129" s="341"/>
      <c r="I129" s="341"/>
    </row>
    <row r="130" spans="1:9" x14ac:dyDescent="0.25">
      <c r="A130" s="341"/>
      <c r="B130" s="341"/>
      <c r="C130" s="341"/>
      <c r="D130" s="341"/>
      <c r="E130" s="341"/>
      <c r="F130" s="341"/>
      <c r="G130" s="341"/>
      <c r="H130" s="341"/>
      <c r="I130" s="341"/>
    </row>
    <row r="131" spans="1:9" x14ac:dyDescent="0.25">
      <c r="A131" s="341"/>
      <c r="B131" s="341"/>
      <c r="C131" s="341"/>
      <c r="D131" s="341"/>
      <c r="E131" s="341"/>
      <c r="F131" s="341"/>
      <c r="G131" s="341"/>
      <c r="H131" s="341"/>
      <c r="I131" s="341"/>
    </row>
    <row r="132" spans="1:9" x14ac:dyDescent="0.25">
      <c r="A132" s="341"/>
      <c r="B132" s="341"/>
      <c r="C132" s="341"/>
      <c r="D132" s="341"/>
      <c r="E132" s="341"/>
      <c r="F132" s="341"/>
      <c r="G132" s="341"/>
      <c r="H132" s="341"/>
      <c r="I132" s="341"/>
    </row>
    <row r="133" spans="1:9" x14ac:dyDescent="0.25">
      <c r="A133" s="341"/>
      <c r="B133" s="341"/>
      <c r="C133" s="341"/>
      <c r="D133" s="341"/>
      <c r="E133" s="341"/>
      <c r="F133" s="341"/>
      <c r="G133" s="341"/>
      <c r="H133" s="341"/>
      <c r="I133" s="341"/>
    </row>
    <row r="134" spans="1:9" x14ac:dyDescent="0.25">
      <c r="A134" s="341"/>
      <c r="B134" s="341"/>
      <c r="C134" s="341"/>
      <c r="D134" s="341"/>
      <c r="E134" s="341"/>
      <c r="F134" s="341"/>
      <c r="G134" s="341"/>
      <c r="H134" s="341"/>
      <c r="I134" s="341"/>
    </row>
    <row r="135" spans="1:9" x14ac:dyDescent="0.25">
      <c r="A135" s="341"/>
      <c r="B135" s="341"/>
      <c r="C135" s="341"/>
      <c r="D135" s="341"/>
      <c r="E135" s="341"/>
      <c r="F135" s="341"/>
      <c r="G135" s="341"/>
      <c r="H135" s="341"/>
      <c r="I135" s="341"/>
    </row>
    <row r="136" spans="1:9" x14ac:dyDescent="0.25">
      <c r="A136" s="341"/>
      <c r="B136" s="341"/>
      <c r="C136" s="341"/>
      <c r="D136" s="341"/>
      <c r="E136" s="341"/>
      <c r="F136" s="341"/>
      <c r="G136" s="341"/>
      <c r="H136" s="341"/>
      <c r="I136" s="341"/>
    </row>
    <row r="137" spans="1:9" x14ac:dyDescent="0.25">
      <c r="A137" s="341"/>
      <c r="B137" s="341"/>
      <c r="C137" s="341"/>
      <c r="D137" s="341"/>
      <c r="E137" s="341"/>
      <c r="F137" s="341"/>
      <c r="G137" s="341"/>
      <c r="H137" s="341"/>
      <c r="I137" s="341"/>
    </row>
    <row r="138" spans="1:9" x14ac:dyDescent="0.25">
      <c r="A138" s="341"/>
      <c r="B138" s="341"/>
      <c r="C138" s="341"/>
      <c r="D138" s="341"/>
      <c r="E138" s="341"/>
      <c r="F138" s="341"/>
      <c r="G138" s="341"/>
      <c r="H138" s="341"/>
      <c r="I138" s="341"/>
    </row>
    <row r="139" spans="1:9" x14ac:dyDescent="0.25">
      <c r="A139" s="341"/>
      <c r="B139" s="341"/>
      <c r="C139" s="341"/>
      <c r="D139" s="341"/>
      <c r="E139" s="341"/>
      <c r="F139" s="341"/>
      <c r="G139" s="341"/>
      <c r="H139" s="341"/>
      <c r="I139" s="341"/>
    </row>
    <row r="140" spans="1:9" x14ac:dyDescent="0.25">
      <c r="A140" s="341"/>
      <c r="B140" s="341"/>
      <c r="C140" s="341"/>
      <c r="D140" s="341"/>
      <c r="E140" s="341"/>
      <c r="F140" s="341"/>
      <c r="G140" s="341"/>
      <c r="H140" s="341"/>
      <c r="I140" s="341"/>
    </row>
    <row r="141" spans="1:9" x14ac:dyDescent="0.25">
      <c r="A141" s="341"/>
      <c r="B141" s="341"/>
      <c r="C141" s="341"/>
      <c r="D141" s="341"/>
      <c r="E141" s="341"/>
      <c r="F141" s="341"/>
      <c r="G141" s="341"/>
      <c r="H141" s="341"/>
      <c r="I141" s="341"/>
    </row>
  </sheetData>
  <mergeCells count="6">
    <mergeCell ref="A107:I141"/>
    <mergeCell ref="R3:W4"/>
    <mergeCell ref="Y11:Z14"/>
    <mergeCell ref="A20:B20"/>
    <mergeCell ref="A29:B29"/>
    <mergeCell ref="B95:F95"/>
  </mergeCells>
  <dataValidations count="1">
    <dataValidation type="list" allowBlank="1" showInputMessage="1" showErrorMessage="1" sqref="AA16" xr:uid="{63885F91-CAF6-4335-9E5F-1A45D7330317}">
      <formula1>$G$10:$H$10</formula1>
    </dataValidation>
  </dataValidations>
  <hyperlinks>
    <hyperlink ref="A2" r:id="rId1" xr:uid="{F4BD1E10-4DBE-4C1D-A3CA-DC668FD14A84}"/>
    <hyperlink ref="D2" r:id="rId2" xr:uid="{E29DFABA-30CB-43AC-AA51-1F659DA47FEF}"/>
  </hyperlinks>
  <pageMargins left="0.7" right="0.7" top="0.75" bottom="0.75" header="0.3" footer="0.3"/>
  <pageSetup orientation="portrait" r:id="rId3"/>
  <legacyDrawing r:id="rId4"/>
  <tableParts count="3">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1929F-4C6D-4D83-B7EC-B0934686FF42}">
  <sheetPr>
    <tabColor rgb="FF002060"/>
  </sheetPr>
  <dimension ref="A1:AV60"/>
  <sheetViews>
    <sheetView zoomScale="85" zoomScaleNormal="85" workbookViewId="0">
      <selection activeCell="B43" sqref="B43"/>
    </sheetView>
  </sheetViews>
  <sheetFormatPr defaultColWidth="8.7109375" defaultRowHeight="15" x14ac:dyDescent="0.25"/>
  <cols>
    <col min="1" max="1" width="60.42578125" style="38" bestFit="1" customWidth="1"/>
    <col min="2" max="2" width="25" style="38" bestFit="1" customWidth="1"/>
    <col min="3" max="3" width="25.5703125" style="38" bestFit="1" customWidth="1"/>
    <col min="4" max="4" width="12.5703125" style="38" bestFit="1" customWidth="1"/>
    <col min="5" max="5" width="17.7109375" style="38" bestFit="1" customWidth="1"/>
    <col min="6" max="47" width="12.28515625" style="38" bestFit="1" customWidth="1"/>
    <col min="48" max="48" width="9.140625" style="38" bestFit="1" customWidth="1"/>
    <col min="49" max="51" width="10.5703125" style="38" customWidth="1"/>
    <col min="52" max="16384" width="8.7109375" style="38"/>
  </cols>
  <sheetData>
    <row r="1" spans="1:48" ht="18.75" x14ac:dyDescent="0.3">
      <c r="A1" s="48" t="s">
        <v>297</v>
      </c>
      <c r="C1" s="125" t="s">
        <v>182</v>
      </c>
    </row>
    <row r="2" spans="1:48" x14ac:dyDescent="0.25">
      <c r="A2" s="49" t="s">
        <v>298</v>
      </c>
      <c r="B2" s="38">
        <v>7.0000000000000007E-2</v>
      </c>
      <c r="C2" s="40" t="s">
        <v>299</v>
      </c>
    </row>
    <row r="3" spans="1:48" x14ac:dyDescent="0.25">
      <c r="A3" s="49" t="s">
        <v>300</v>
      </c>
      <c r="B3" s="38">
        <v>0.03</v>
      </c>
      <c r="C3" s="40" t="s">
        <v>299</v>
      </c>
    </row>
    <row r="4" spans="1:48" x14ac:dyDescent="0.25">
      <c r="A4" s="125" t="s">
        <v>336</v>
      </c>
      <c r="B4" s="72">
        <v>0.75</v>
      </c>
    </row>
    <row r="5" spans="1:48" x14ac:dyDescent="0.25">
      <c r="A5" s="125" t="s">
        <v>301</v>
      </c>
      <c r="B5" s="38">
        <v>1.3599999999999999E-2</v>
      </c>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row>
    <row r="6" spans="1:48" x14ac:dyDescent="0.25">
      <c r="A6" s="125" t="s">
        <v>302</v>
      </c>
      <c r="B6" s="38">
        <v>250</v>
      </c>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row>
    <row r="7" spans="1:48" x14ac:dyDescent="0.25">
      <c r="A7" s="125" t="s">
        <v>303</v>
      </c>
      <c r="B7" s="38">
        <v>1.48</v>
      </c>
      <c r="C7" s="40" t="s">
        <v>299</v>
      </c>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row>
    <row r="8" spans="1:48" hidden="1" x14ac:dyDescent="0.25">
      <c r="A8" s="125" t="s">
        <v>304</v>
      </c>
      <c r="B8" s="125">
        <v>0.15</v>
      </c>
      <c r="C8" s="40" t="s">
        <v>305</v>
      </c>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row>
    <row r="9" spans="1:48" hidden="1" x14ac:dyDescent="0.25">
      <c r="A9" s="125" t="s">
        <v>306</v>
      </c>
      <c r="B9" s="125">
        <v>0.4</v>
      </c>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row>
    <row r="10" spans="1:48" hidden="1" x14ac:dyDescent="0.25">
      <c r="A10" s="125" t="s">
        <v>307</v>
      </c>
      <c r="B10" s="125">
        <v>4.4400000000000002E-2</v>
      </c>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row>
    <row r="11" spans="1:48" hidden="1" x14ac:dyDescent="0.25">
      <c r="A11" s="125" t="s">
        <v>308</v>
      </c>
      <c r="B11" s="125">
        <v>0.13320000000000001</v>
      </c>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row>
    <row r="12" spans="1:48" hidden="1" x14ac:dyDescent="0.25">
      <c r="A12" s="125" t="s">
        <v>309</v>
      </c>
      <c r="B12" s="125">
        <v>0.16470000000000001</v>
      </c>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row>
    <row r="13" spans="1:48" hidden="1" x14ac:dyDescent="0.25">
      <c r="A13" s="125" t="s">
        <v>310</v>
      </c>
      <c r="B13" s="125">
        <v>1.11E-2</v>
      </c>
      <c r="C13" s="38" t="s">
        <v>311</v>
      </c>
    </row>
    <row r="14" spans="1:48" x14ac:dyDescent="0.25">
      <c r="A14" s="125" t="s">
        <v>312</v>
      </c>
      <c r="B14" s="71">
        <f>60*60</f>
        <v>3600</v>
      </c>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row>
    <row r="15" spans="1:48" x14ac:dyDescent="0.25">
      <c r="A15" s="125" t="s">
        <v>313</v>
      </c>
      <c r="B15" s="71">
        <v>1000000</v>
      </c>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row>
    <row r="16" spans="1:48" x14ac:dyDescent="0.25">
      <c r="A16" s="24"/>
      <c r="B16" s="125"/>
      <c r="C16" s="125"/>
      <c r="D16" s="125"/>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row>
    <row r="17" spans="1:48" x14ac:dyDescent="0.25">
      <c r="A17" s="125" t="s">
        <v>318</v>
      </c>
      <c r="B17" s="125" t="s">
        <v>182</v>
      </c>
      <c r="C17" s="125" t="s">
        <v>314</v>
      </c>
      <c r="D17" s="38">
        <v>2020</v>
      </c>
      <c r="E17" s="38">
        <f t="shared" ref="E17" si="0">D17+1</f>
        <v>2021</v>
      </c>
      <c r="F17" s="38">
        <f t="shared" ref="F17" si="1">E17+1</f>
        <v>2022</v>
      </c>
      <c r="G17" s="38">
        <f t="shared" ref="G17" si="2">F17+1</f>
        <v>2023</v>
      </c>
      <c r="H17" s="38">
        <f t="shared" ref="H17" si="3">G17+1</f>
        <v>2024</v>
      </c>
      <c r="I17" s="38">
        <f t="shared" ref="I17" si="4">H17+1</f>
        <v>2025</v>
      </c>
      <c r="J17" s="38">
        <f t="shared" ref="J17" si="5">I17+1</f>
        <v>2026</v>
      </c>
      <c r="K17" s="38">
        <f t="shared" ref="K17" si="6">J17+1</f>
        <v>2027</v>
      </c>
      <c r="L17" s="38">
        <f t="shared" ref="L17" si="7">K17+1</f>
        <v>2028</v>
      </c>
      <c r="M17" s="38">
        <f t="shared" ref="M17" si="8">L17+1</f>
        <v>2029</v>
      </c>
      <c r="N17" s="38">
        <f t="shared" ref="N17" si="9">M17+1</f>
        <v>2030</v>
      </c>
      <c r="O17" s="38">
        <f t="shared" ref="O17" si="10">N17+1</f>
        <v>2031</v>
      </c>
      <c r="P17" s="38">
        <f t="shared" ref="P17" si="11">O17+1</f>
        <v>2032</v>
      </c>
      <c r="Q17" s="38">
        <f t="shared" ref="Q17" si="12">P17+1</f>
        <v>2033</v>
      </c>
      <c r="R17" s="38">
        <f t="shared" ref="R17" si="13">Q17+1</f>
        <v>2034</v>
      </c>
      <c r="S17" s="38">
        <f t="shared" ref="S17" si="14">R17+1</f>
        <v>2035</v>
      </c>
      <c r="T17" s="38">
        <f t="shared" ref="T17" si="15">S17+1</f>
        <v>2036</v>
      </c>
      <c r="U17" s="38">
        <f t="shared" ref="U17" si="16">T17+1</f>
        <v>2037</v>
      </c>
      <c r="V17" s="38">
        <f t="shared" ref="V17" si="17">U17+1</f>
        <v>2038</v>
      </c>
      <c r="W17" s="38">
        <f t="shared" ref="W17" si="18">V17+1</f>
        <v>2039</v>
      </c>
      <c r="X17" s="38">
        <f t="shared" ref="X17" si="19">W17+1</f>
        <v>2040</v>
      </c>
      <c r="Y17" s="38">
        <f t="shared" ref="Y17" si="20">X17+1</f>
        <v>2041</v>
      </c>
      <c r="Z17" s="38">
        <f t="shared" ref="Z17" si="21">Y17+1</f>
        <v>2042</v>
      </c>
      <c r="AA17" s="38">
        <f t="shared" ref="AA17" si="22">Z17+1</f>
        <v>2043</v>
      </c>
      <c r="AB17" s="38">
        <f t="shared" ref="AB17" si="23">AA17+1</f>
        <v>2044</v>
      </c>
      <c r="AC17" s="38">
        <f t="shared" ref="AC17" si="24">AB17+1</f>
        <v>2045</v>
      </c>
      <c r="AD17" s="38">
        <f t="shared" ref="AD17" si="25">AC17+1</f>
        <v>2046</v>
      </c>
      <c r="AE17" s="38">
        <f t="shared" ref="AE17" si="26">AD17+1</f>
        <v>2047</v>
      </c>
      <c r="AF17" s="38">
        <f t="shared" ref="AF17" si="27">AE17+1</f>
        <v>2048</v>
      </c>
      <c r="AG17" s="38">
        <f t="shared" ref="AG17" si="28">AF17+1</f>
        <v>2049</v>
      </c>
      <c r="AH17" s="38">
        <f t="shared" ref="AH17" si="29">AG17+1</f>
        <v>2050</v>
      </c>
      <c r="AI17" s="38">
        <f t="shared" ref="AI17" si="30">AH17+1</f>
        <v>2051</v>
      </c>
      <c r="AJ17" s="38">
        <f t="shared" ref="AJ17" si="31">AI17+1</f>
        <v>2052</v>
      </c>
      <c r="AK17" s="38">
        <f t="shared" ref="AK17" si="32">AJ17+1</f>
        <v>2053</v>
      </c>
      <c r="AL17" s="38">
        <f t="shared" ref="AL17" si="33">AK17+1</f>
        <v>2054</v>
      </c>
      <c r="AM17" s="38">
        <f t="shared" ref="AM17" si="34">AL17+1</f>
        <v>2055</v>
      </c>
      <c r="AN17" s="38">
        <f t="shared" ref="AN17" si="35">AM17+1</f>
        <v>2056</v>
      </c>
      <c r="AO17" s="38">
        <f t="shared" ref="AO17" si="36">AN17+1</f>
        <v>2057</v>
      </c>
      <c r="AP17" s="38">
        <f t="shared" ref="AP17" si="37">AO17+1</f>
        <v>2058</v>
      </c>
      <c r="AQ17" s="38">
        <f t="shared" ref="AQ17" si="38">AP17+1</f>
        <v>2059</v>
      </c>
      <c r="AR17" s="38">
        <f t="shared" ref="AR17" si="39">AQ17+1</f>
        <v>2060</v>
      </c>
      <c r="AS17" s="125"/>
      <c r="AT17" s="125"/>
      <c r="AU17" s="125"/>
      <c r="AV17" s="125"/>
    </row>
    <row r="18" spans="1:48" ht="18" x14ac:dyDescent="0.35">
      <c r="A18" s="24" t="s">
        <v>316</v>
      </c>
      <c r="B18" s="211" t="s">
        <v>299</v>
      </c>
      <c r="C18" s="125" t="s">
        <v>319</v>
      </c>
      <c r="D18" s="125"/>
      <c r="E18" s="210">
        <v>52</v>
      </c>
      <c r="F18" s="210">
        <v>53</v>
      </c>
      <c r="G18" s="210">
        <v>54</v>
      </c>
      <c r="H18" s="210">
        <v>55</v>
      </c>
      <c r="I18" s="210">
        <v>56</v>
      </c>
      <c r="J18" s="210">
        <v>57</v>
      </c>
      <c r="K18" s="210">
        <v>58</v>
      </c>
      <c r="L18" s="210">
        <v>60</v>
      </c>
      <c r="M18" s="210">
        <v>61</v>
      </c>
      <c r="N18" s="210">
        <v>62</v>
      </c>
      <c r="O18" s="210">
        <v>63</v>
      </c>
      <c r="P18" s="210">
        <v>64</v>
      </c>
      <c r="Q18" s="210">
        <v>65</v>
      </c>
      <c r="R18" s="210">
        <v>66</v>
      </c>
      <c r="S18" s="210">
        <v>67</v>
      </c>
      <c r="T18" s="210">
        <v>69</v>
      </c>
      <c r="U18" s="210">
        <v>70</v>
      </c>
      <c r="V18" s="210">
        <v>71</v>
      </c>
      <c r="W18" s="210">
        <v>72</v>
      </c>
      <c r="X18" s="210">
        <v>73</v>
      </c>
      <c r="Y18" s="210">
        <v>74</v>
      </c>
      <c r="Z18" s="210">
        <v>75</v>
      </c>
      <c r="AA18" s="210">
        <v>77</v>
      </c>
      <c r="AB18" s="210">
        <v>78</v>
      </c>
      <c r="AC18" s="210">
        <v>79</v>
      </c>
      <c r="AD18" s="210">
        <v>80</v>
      </c>
      <c r="AE18" s="210">
        <v>81</v>
      </c>
      <c r="AF18" s="210">
        <v>82</v>
      </c>
      <c r="AG18" s="210">
        <v>84</v>
      </c>
      <c r="AH18" s="210">
        <v>85</v>
      </c>
      <c r="AI18" s="210">
        <v>86</v>
      </c>
      <c r="AJ18" s="210">
        <v>88</v>
      </c>
      <c r="AK18" s="210">
        <v>89</v>
      </c>
      <c r="AL18" s="210">
        <v>91</v>
      </c>
      <c r="AM18" s="210">
        <v>92</v>
      </c>
      <c r="AN18" s="210">
        <v>94</v>
      </c>
      <c r="AO18" s="210">
        <v>95</v>
      </c>
      <c r="AP18" s="210">
        <v>97</v>
      </c>
      <c r="AQ18" s="210">
        <v>99</v>
      </c>
      <c r="AR18" s="210">
        <v>100</v>
      </c>
      <c r="AS18" s="82"/>
      <c r="AT18" s="82"/>
      <c r="AU18" s="82"/>
      <c r="AV18" s="82"/>
    </row>
    <row r="19" spans="1:48" x14ac:dyDescent="0.25">
      <c r="A19" s="24" t="s">
        <v>72</v>
      </c>
      <c r="B19" s="211" t="s">
        <v>299</v>
      </c>
      <c r="C19" s="125" t="s">
        <v>319</v>
      </c>
      <c r="D19" s="125"/>
      <c r="E19" s="147">
        <v>2384</v>
      </c>
      <c r="F19" s="147">
        <v>2384</v>
      </c>
      <c r="G19" s="147">
        <v>2384</v>
      </c>
      <c r="H19" s="147">
        <v>2384</v>
      </c>
      <c r="I19" s="147">
        <v>2384</v>
      </c>
      <c r="J19" s="147">
        <v>2384</v>
      </c>
      <c r="K19" s="147">
        <v>2384</v>
      </c>
      <c r="L19" s="147">
        <v>2384</v>
      </c>
      <c r="M19" s="147">
        <v>2384</v>
      </c>
      <c r="N19" s="147">
        <v>2384</v>
      </c>
      <c r="O19" s="147">
        <v>2384</v>
      </c>
      <c r="P19" s="147">
        <v>2384</v>
      </c>
      <c r="Q19" s="147">
        <v>2384</v>
      </c>
      <c r="R19" s="147">
        <v>2384</v>
      </c>
      <c r="S19" s="147">
        <v>2384</v>
      </c>
      <c r="T19" s="147">
        <v>2384</v>
      </c>
      <c r="U19" s="147">
        <v>2384</v>
      </c>
      <c r="V19" s="147">
        <v>2384</v>
      </c>
      <c r="W19" s="147">
        <v>2384</v>
      </c>
      <c r="X19" s="147">
        <v>2384</v>
      </c>
      <c r="Y19" s="147">
        <v>2384</v>
      </c>
      <c r="Z19" s="147">
        <v>2384</v>
      </c>
      <c r="AA19" s="147">
        <v>2384</v>
      </c>
      <c r="AB19" s="147">
        <v>2384</v>
      </c>
      <c r="AC19" s="147">
        <v>2384</v>
      </c>
      <c r="AD19" s="147">
        <v>2384</v>
      </c>
      <c r="AE19" s="147">
        <v>2384</v>
      </c>
      <c r="AF19" s="147">
        <v>2384</v>
      </c>
      <c r="AG19" s="147">
        <v>2384</v>
      </c>
      <c r="AH19" s="147">
        <v>2384</v>
      </c>
      <c r="AI19" s="147">
        <v>2384</v>
      </c>
      <c r="AJ19" s="147">
        <v>2384</v>
      </c>
      <c r="AK19" s="147">
        <v>2384</v>
      </c>
      <c r="AL19" s="147">
        <v>2384</v>
      </c>
      <c r="AM19" s="147">
        <v>2384</v>
      </c>
      <c r="AN19" s="147">
        <v>2384</v>
      </c>
      <c r="AO19" s="147">
        <v>2384</v>
      </c>
      <c r="AP19" s="147">
        <v>2384</v>
      </c>
      <c r="AQ19" s="147">
        <v>2384</v>
      </c>
      <c r="AR19" s="147">
        <v>2384</v>
      </c>
      <c r="AS19" s="82"/>
      <c r="AT19" s="82"/>
      <c r="AU19" s="82"/>
      <c r="AV19" s="82"/>
    </row>
    <row r="20" spans="1:48" x14ac:dyDescent="0.25">
      <c r="A20" s="24" t="s">
        <v>317</v>
      </c>
      <c r="B20" s="211" t="s">
        <v>299</v>
      </c>
      <c r="C20" s="125" t="s">
        <v>319</v>
      </c>
      <c r="D20" s="122"/>
      <c r="E20" s="147">
        <v>15600</v>
      </c>
      <c r="F20" s="147">
        <v>15800</v>
      </c>
      <c r="G20" s="147">
        <v>16000</v>
      </c>
      <c r="H20" s="147">
        <v>16200</v>
      </c>
      <c r="I20" s="147">
        <v>16500</v>
      </c>
      <c r="J20" s="147">
        <v>16800</v>
      </c>
      <c r="K20" s="147">
        <v>17100</v>
      </c>
      <c r="L20" s="147">
        <v>17400</v>
      </c>
      <c r="M20" s="147">
        <v>17700</v>
      </c>
      <c r="N20" s="147">
        <v>18100</v>
      </c>
      <c r="O20" s="147">
        <v>18100</v>
      </c>
      <c r="P20" s="147">
        <v>18100</v>
      </c>
      <c r="Q20" s="147">
        <v>18100</v>
      </c>
      <c r="R20" s="147">
        <v>18100</v>
      </c>
      <c r="S20" s="147">
        <v>18100</v>
      </c>
      <c r="T20" s="147">
        <v>18100</v>
      </c>
      <c r="U20" s="147">
        <v>18100</v>
      </c>
      <c r="V20" s="147">
        <v>18100</v>
      </c>
      <c r="W20" s="147">
        <v>18100</v>
      </c>
      <c r="X20" s="147">
        <v>18100</v>
      </c>
      <c r="Y20" s="147">
        <v>18100</v>
      </c>
      <c r="Z20" s="147">
        <v>18100</v>
      </c>
      <c r="AA20" s="147">
        <v>18100</v>
      </c>
      <c r="AB20" s="147">
        <v>18100</v>
      </c>
      <c r="AC20" s="147">
        <v>18100</v>
      </c>
      <c r="AD20" s="147">
        <v>18100</v>
      </c>
      <c r="AE20" s="147">
        <v>18100</v>
      </c>
      <c r="AF20" s="147">
        <v>18100</v>
      </c>
      <c r="AG20" s="147">
        <v>18100</v>
      </c>
      <c r="AH20" s="147">
        <v>18100</v>
      </c>
      <c r="AI20" s="147">
        <f t="shared" ref="AI20:AR20" si="40">AH20</f>
        <v>18100</v>
      </c>
      <c r="AJ20" s="147">
        <f t="shared" si="40"/>
        <v>18100</v>
      </c>
      <c r="AK20" s="147">
        <f t="shared" si="40"/>
        <v>18100</v>
      </c>
      <c r="AL20" s="147">
        <f t="shared" si="40"/>
        <v>18100</v>
      </c>
      <c r="AM20" s="147">
        <f t="shared" si="40"/>
        <v>18100</v>
      </c>
      <c r="AN20" s="147">
        <f t="shared" si="40"/>
        <v>18100</v>
      </c>
      <c r="AO20" s="147">
        <f t="shared" si="40"/>
        <v>18100</v>
      </c>
      <c r="AP20" s="147">
        <f t="shared" si="40"/>
        <v>18100</v>
      </c>
      <c r="AQ20" s="147">
        <f t="shared" si="40"/>
        <v>18100</v>
      </c>
      <c r="AR20" s="147">
        <f t="shared" si="40"/>
        <v>18100</v>
      </c>
      <c r="AS20" s="82"/>
      <c r="AT20" s="82"/>
      <c r="AU20" s="82"/>
      <c r="AV20" s="82"/>
    </row>
    <row r="21" spans="1:48" x14ac:dyDescent="0.25">
      <c r="A21" s="24" t="s">
        <v>155</v>
      </c>
      <c r="B21" s="211" t="s">
        <v>299</v>
      </c>
      <c r="C21" s="125" t="s">
        <v>319</v>
      </c>
      <c r="D21" s="122"/>
      <c r="E21" s="147">
        <v>748600</v>
      </c>
      <c r="F21" s="147">
        <v>761600</v>
      </c>
      <c r="G21" s="147">
        <v>774700</v>
      </c>
      <c r="H21" s="147">
        <v>788100</v>
      </c>
      <c r="I21" s="147">
        <v>801700</v>
      </c>
      <c r="J21" s="147">
        <v>814500</v>
      </c>
      <c r="K21" s="147">
        <v>827400</v>
      </c>
      <c r="L21" s="147">
        <v>840600</v>
      </c>
      <c r="M21" s="147">
        <v>854000</v>
      </c>
      <c r="N21" s="147">
        <v>867600</v>
      </c>
      <c r="O21" s="147">
        <v>867600</v>
      </c>
      <c r="P21" s="147">
        <v>867600</v>
      </c>
      <c r="Q21" s="147">
        <v>867600</v>
      </c>
      <c r="R21" s="147">
        <v>867600</v>
      </c>
      <c r="S21" s="147">
        <v>867600</v>
      </c>
      <c r="T21" s="147">
        <v>867600</v>
      </c>
      <c r="U21" s="147">
        <v>867600</v>
      </c>
      <c r="V21" s="147">
        <v>867600</v>
      </c>
      <c r="W21" s="147">
        <v>867600</v>
      </c>
      <c r="X21" s="147">
        <v>867600</v>
      </c>
      <c r="Y21" s="147">
        <v>867600</v>
      </c>
      <c r="Z21" s="147">
        <v>867600</v>
      </c>
      <c r="AA21" s="147">
        <v>867600</v>
      </c>
      <c r="AB21" s="147">
        <v>867600</v>
      </c>
      <c r="AC21" s="147">
        <v>867600</v>
      </c>
      <c r="AD21" s="147">
        <v>867600</v>
      </c>
      <c r="AE21" s="147">
        <v>867600</v>
      </c>
      <c r="AF21" s="147">
        <v>867600</v>
      </c>
      <c r="AG21" s="147">
        <v>867600</v>
      </c>
      <c r="AH21" s="147">
        <v>867600</v>
      </c>
      <c r="AI21" s="147">
        <f t="shared" ref="AI21:AR21" si="41">AH21</f>
        <v>867600</v>
      </c>
      <c r="AJ21" s="147">
        <f t="shared" si="41"/>
        <v>867600</v>
      </c>
      <c r="AK21" s="147">
        <f t="shared" si="41"/>
        <v>867600</v>
      </c>
      <c r="AL21" s="147">
        <f t="shared" si="41"/>
        <v>867600</v>
      </c>
      <c r="AM21" s="147">
        <f t="shared" si="41"/>
        <v>867600</v>
      </c>
      <c r="AN21" s="147">
        <f t="shared" si="41"/>
        <v>867600</v>
      </c>
      <c r="AO21" s="147">
        <f t="shared" si="41"/>
        <v>867600</v>
      </c>
      <c r="AP21" s="147">
        <f t="shared" si="41"/>
        <v>867600</v>
      </c>
      <c r="AQ21" s="147">
        <f t="shared" si="41"/>
        <v>867600</v>
      </c>
      <c r="AR21" s="147">
        <f t="shared" si="41"/>
        <v>867600</v>
      </c>
      <c r="AS21" s="82"/>
      <c r="AT21" s="82"/>
      <c r="AU21" s="82"/>
      <c r="AV21" s="82"/>
    </row>
    <row r="22" spans="1:48" x14ac:dyDescent="0.25">
      <c r="A22" s="24" t="s">
        <v>315</v>
      </c>
      <c r="B22" s="211" t="s">
        <v>299</v>
      </c>
      <c r="C22" s="125" t="s">
        <v>319</v>
      </c>
      <c r="D22" s="122"/>
      <c r="E22" s="147">
        <v>41500</v>
      </c>
      <c r="F22" s="147">
        <v>42300</v>
      </c>
      <c r="G22" s="147">
        <v>43100</v>
      </c>
      <c r="H22" s="147">
        <v>44000</v>
      </c>
      <c r="I22" s="147">
        <v>44900</v>
      </c>
      <c r="J22" s="147">
        <v>45700</v>
      </c>
      <c r="K22" s="147">
        <v>46500</v>
      </c>
      <c r="L22" s="147">
        <v>47300</v>
      </c>
      <c r="M22" s="147">
        <v>48200</v>
      </c>
      <c r="N22" s="147">
        <v>49100</v>
      </c>
      <c r="O22" s="147">
        <v>49100</v>
      </c>
      <c r="P22" s="147">
        <v>49100</v>
      </c>
      <c r="Q22" s="147">
        <v>49100</v>
      </c>
      <c r="R22" s="147">
        <v>49100</v>
      </c>
      <c r="S22" s="147">
        <v>49100</v>
      </c>
      <c r="T22" s="147">
        <v>49100</v>
      </c>
      <c r="U22" s="147">
        <v>49100</v>
      </c>
      <c r="V22" s="147">
        <v>49100</v>
      </c>
      <c r="W22" s="147">
        <v>49100</v>
      </c>
      <c r="X22" s="147">
        <v>49100</v>
      </c>
      <c r="Y22" s="147">
        <v>49100</v>
      </c>
      <c r="Z22" s="147">
        <v>49100</v>
      </c>
      <c r="AA22" s="147">
        <v>49100</v>
      </c>
      <c r="AB22" s="147">
        <v>49100</v>
      </c>
      <c r="AC22" s="147">
        <v>49100</v>
      </c>
      <c r="AD22" s="147">
        <v>49100</v>
      </c>
      <c r="AE22" s="147">
        <v>49100</v>
      </c>
      <c r="AF22" s="147">
        <v>49100</v>
      </c>
      <c r="AG22" s="147">
        <v>49100</v>
      </c>
      <c r="AH22" s="147">
        <v>49100</v>
      </c>
      <c r="AI22" s="147">
        <f t="shared" ref="AI22:AR22" si="42">AH22</f>
        <v>49100</v>
      </c>
      <c r="AJ22" s="147">
        <f t="shared" si="42"/>
        <v>49100</v>
      </c>
      <c r="AK22" s="147">
        <f t="shared" si="42"/>
        <v>49100</v>
      </c>
      <c r="AL22" s="147">
        <f t="shared" si="42"/>
        <v>49100</v>
      </c>
      <c r="AM22" s="147">
        <f t="shared" si="42"/>
        <v>49100</v>
      </c>
      <c r="AN22" s="147">
        <f t="shared" si="42"/>
        <v>49100</v>
      </c>
      <c r="AO22" s="147">
        <f t="shared" si="42"/>
        <v>49100</v>
      </c>
      <c r="AP22" s="147">
        <f t="shared" si="42"/>
        <v>49100</v>
      </c>
      <c r="AQ22" s="147">
        <f t="shared" si="42"/>
        <v>49100</v>
      </c>
      <c r="AR22" s="147">
        <f t="shared" si="42"/>
        <v>49100</v>
      </c>
      <c r="AS22" s="82"/>
      <c r="AT22" s="82"/>
      <c r="AU22" s="82"/>
      <c r="AV22" s="82"/>
    </row>
    <row r="23" spans="1:48" x14ac:dyDescent="0.25">
      <c r="A23" s="39"/>
    </row>
    <row r="24" spans="1:48" x14ac:dyDescent="0.25">
      <c r="A24" s="39"/>
    </row>
    <row r="25" spans="1:48" x14ac:dyDescent="0.25">
      <c r="A25" s="55" t="s">
        <v>320</v>
      </c>
      <c r="B25" s="125" t="s">
        <v>182</v>
      </c>
      <c r="C25" s="125" t="s">
        <v>314</v>
      </c>
      <c r="D25" s="38">
        <v>2020</v>
      </c>
      <c r="E25" s="38">
        <f t="shared" ref="E25:AJ25" si="43">D25+1</f>
        <v>2021</v>
      </c>
      <c r="F25" s="38">
        <f t="shared" si="43"/>
        <v>2022</v>
      </c>
      <c r="G25" s="38">
        <f t="shared" si="43"/>
        <v>2023</v>
      </c>
      <c r="H25" s="38">
        <f t="shared" si="43"/>
        <v>2024</v>
      </c>
      <c r="I25" s="38">
        <f t="shared" si="43"/>
        <v>2025</v>
      </c>
      <c r="J25" s="38">
        <f t="shared" si="43"/>
        <v>2026</v>
      </c>
      <c r="K25" s="38">
        <f t="shared" si="43"/>
        <v>2027</v>
      </c>
      <c r="L25" s="38">
        <f t="shared" si="43"/>
        <v>2028</v>
      </c>
      <c r="M25" s="38">
        <f t="shared" si="43"/>
        <v>2029</v>
      </c>
      <c r="N25" s="38">
        <f t="shared" si="43"/>
        <v>2030</v>
      </c>
      <c r="O25" s="38">
        <f t="shared" si="43"/>
        <v>2031</v>
      </c>
      <c r="P25" s="38">
        <f t="shared" si="43"/>
        <v>2032</v>
      </c>
      <c r="Q25" s="38">
        <f t="shared" si="43"/>
        <v>2033</v>
      </c>
      <c r="R25" s="38">
        <f t="shared" si="43"/>
        <v>2034</v>
      </c>
      <c r="S25" s="38">
        <f t="shared" si="43"/>
        <v>2035</v>
      </c>
      <c r="T25" s="38">
        <f t="shared" si="43"/>
        <v>2036</v>
      </c>
      <c r="U25" s="38">
        <f t="shared" si="43"/>
        <v>2037</v>
      </c>
      <c r="V25" s="38">
        <f t="shared" si="43"/>
        <v>2038</v>
      </c>
      <c r="W25" s="38">
        <f t="shared" si="43"/>
        <v>2039</v>
      </c>
      <c r="X25" s="38">
        <f t="shared" si="43"/>
        <v>2040</v>
      </c>
      <c r="Y25" s="38">
        <f t="shared" si="43"/>
        <v>2041</v>
      </c>
      <c r="Z25" s="38">
        <f t="shared" si="43"/>
        <v>2042</v>
      </c>
      <c r="AA25" s="38">
        <f t="shared" si="43"/>
        <v>2043</v>
      </c>
      <c r="AB25" s="38">
        <f t="shared" si="43"/>
        <v>2044</v>
      </c>
      <c r="AC25" s="38">
        <f t="shared" si="43"/>
        <v>2045</v>
      </c>
      <c r="AD25" s="38">
        <f t="shared" si="43"/>
        <v>2046</v>
      </c>
      <c r="AE25" s="38">
        <f t="shared" si="43"/>
        <v>2047</v>
      </c>
      <c r="AF25" s="38">
        <f t="shared" si="43"/>
        <v>2048</v>
      </c>
      <c r="AG25" s="38">
        <f t="shared" si="43"/>
        <v>2049</v>
      </c>
      <c r="AH25" s="38">
        <f t="shared" si="43"/>
        <v>2050</v>
      </c>
      <c r="AI25" s="38">
        <f t="shared" si="43"/>
        <v>2051</v>
      </c>
      <c r="AJ25" s="38">
        <f t="shared" si="43"/>
        <v>2052</v>
      </c>
    </row>
    <row r="26" spans="1:48" x14ac:dyDescent="0.25">
      <c r="A26" s="39" t="s">
        <v>321</v>
      </c>
      <c r="B26" s="40" t="s">
        <v>299</v>
      </c>
      <c r="C26" s="125" t="s">
        <v>322</v>
      </c>
      <c r="D26" s="113">
        <f>'NEW Factors'!B6</f>
        <v>3900</v>
      </c>
      <c r="E26" s="113">
        <f t="shared" ref="E26:AJ26" si="44">D26</f>
        <v>3900</v>
      </c>
      <c r="F26" s="113">
        <f t="shared" si="44"/>
        <v>3900</v>
      </c>
      <c r="G26" s="113">
        <f t="shared" si="44"/>
        <v>3900</v>
      </c>
      <c r="H26" s="113">
        <f t="shared" si="44"/>
        <v>3900</v>
      </c>
      <c r="I26" s="113">
        <f t="shared" si="44"/>
        <v>3900</v>
      </c>
      <c r="J26" s="113">
        <f t="shared" si="44"/>
        <v>3900</v>
      </c>
      <c r="K26" s="113">
        <f t="shared" si="44"/>
        <v>3900</v>
      </c>
      <c r="L26" s="113">
        <f t="shared" si="44"/>
        <v>3900</v>
      </c>
      <c r="M26" s="113">
        <f t="shared" si="44"/>
        <v>3900</v>
      </c>
      <c r="N26" s="113">
        <f t="shared" si="44"/>
        <v>3900</v>
      </c>
      <c r="O26" s="113">
        <f t="shared" si="44"/>
        <v>3900</v>
      </c>
      <c r="P26" s="113">
        <f t="shared" si="44"/>
        <v>3900</v>
      </c>
      <c r="Q26" s="113">
        <f t="shared" si="44"/>
        <v>3900</v>
      </c>
      <c r="R26" s="113">
        <f t="shared" si="44"/>
        <v>3900</v>
      </c>
      <c r="S26" s="113">
        <f t="shared" si="44"/>
        <v>3900</v>
      </c>
      <c r="T26" s="113">
        <f t="shared" si="44"/>
        <v>3900</v>
      </c>
      <c r="U26" s="113">
        <f t="shared" si="44"/>
        <v>3900</v>
      </c>
      <c r="V26" s="113">
        <f t="shared" si="44"/>
        <v>3900</v>
      </c>
      <c r="W26" s="113">
        <f t="shared" si="44"/>
        <v>3900</v>
      </c>
      <c r="X26" s="113">
        <f t="shared" si="44"/>
        <v>3900</v>
      </c>
      <c r="Y26" s="113">
        <f t="shared" si="44"/>
        <v>3900</v>
      </c>
      <c r="Z26" s="113">
        <f t="shared" si="44"/>
        <v>3900</v>
      </c>
      <c r="AA26" s="113">
        <f t="shared" si="44"/>
        <v>3900</v>
      </c>
      <c r="AB26" s="113">
        <f t="shared" si="44"/>
        <v>3900</v>
      </c>
      <c r="AC26" s="113">
        <f t="shared" si="44"/>
        <v>3900</v>
      </c>
      <c r="AD26" s="113">
        <f t="shared" si="44"/>
        <v>3900</v>
      </c>
      <c r="AE26" s="113">
        <f t="shared" si="44"/>
        <v>3900</v>
      </c>
      <c r="AF26" s="113">
        <f t="shared" si="44"/>
        <v>3900</v>
      </c>
      <c r="AG26" s="113">
        <f t="shared" si="44"/>
        <v>3900</v>
      </c>
      <c r="AH26" s="113">
        <f t="shared" si="44"/>
        <v>3900</v>
      </c>
      <c r="AI26" s="113">
        <f t="shared" si="44"/>
        <v>3900</v>
      </c>
      <c r="AJ26" s="113">
        <f t="shared" si="44"/>
        <v>3900</v>
      </c>
      <c r="AK26" s="113"/>
      <c r="AL26" s="113"/>
      <c r="AM26" s="113"/>
      <c r="AN26" s="113"/>
      <c r="AO26" s="113"/>
      <c r="AP26" s="113"/>
      <c r="AQ26" s="113"/>
      <c r="AR26" s="113"/>
      <c r="AS26" s="113"/>
      <c r="AT26" s="113"/>
      <c r="AU26" s="113"/>
    </row>
    <row r="27" spans="1:48" x14ac:dyDescent="0.25">
      <c r="A27" s="24" t="s">
        <v>323</v>
      </c>
      <c r="B27" s="40" t="s">
        <v>299</v>
      </c>
      <c r="C27" s="125" t="s">
        <v>322</v>
      </c>
      <c r="D27" s="113">
        <f>'NEW Factors'!B7</f>
        <v>77200</v>
      </c>
      <c r="E27" s="113">
        <f t="shared" ref="E27:AJ27" si="45">D27</f>
        <v>77200</v>
      </c>
      <c r="F27" s="113">
        <f t="shared" si="45"/>
        <v>77200</v>
      </c>
      <c r="G27" s="113">
        <f t="shared" si="45"/>
        <v>77200</v>
      </c>
      <c r="H27" s="113">
        <f t="shared" si="45"/>
        <v>77200</v>
      </c>
      <c r="I27" s="113">
        <f t="shared" si="45"/>
        <v>77200</v>
      </c>
      <c r="J27" s="113">
        <f t="shared" si="45"/>
        <v>77200</v>
      </c>
      <c r="K27" s="113">
        <f t="shared" si="45"/>
        <v>77200</v>
      </c>
      <c r="L27" s="113">
        <f t="shared" si="45"/>
        <v>77200</v>
      </c>
      <c r="M27" s="113">
        <f t="shared" si="45"/>
        <v>77200</v>
      </c>
      <c r="N27" s="113">
        <f t="shared" si="45"/>
        <v>77200</v>
      </c>
      <c r="O27" s="113">
        <f t="shared" si="45"/>
        <v>77200</v>
      </c>
      <c r="P27" s="113">
        <f t="shared" si="45"/>
        <v>77200</v>
      </c>
      <c r="Q27" s="113">
        <f t="shared" si="45"/>
        <v>77200</v>
      </c>
      <c r="R27" s="113">
        <f t="shared" si="45"/>
        <v>77200</v>
      </c>
      <c r="S27" s="113">
        <f t="shared" si="45"/>
        <v>77200</v>
      </c>
      <c r="T27" s="113">
        <f t="shared" si="45"/>
        <v>77200</v>
      </c>
      <c r="U27" s="113">
        <f t="shared" si="45"/>
        <v>77200</v>
      </c>
      <c r="V27" s="113">
        <f t="shared" si="45"/>
        <v>77200</v>
      </c>
      <c r="W27" s="113">
        <f t="shared" si="45"/>
        <v>77200</v>
      </c>
      <c r="X27" s="113">
        <f t="shared" si="45"/>
        <v>77200</v>
      </c>
      <c r="Y27" s="113">
        <f t="shared" si="45"/>
        <v>77200</v>
      </c>
      <c r="Z27" s="113">
        <f t="shared" si="45"/>
        <v>77200</v>
      </c>
      <c r="AA27" s="113">
        <f t="shared" si="45"/>
        <v>77200</v>
      </c>
      <c r="AB27" s="113">
        <f t="shared" si="45"/>
        <v>77200</v>
      </c>
      <c r="AC27" s="113">
        <f t="shared" si="45"/>
        <v>77200</v>
      </c>
      <c r="AD27" s="113">
        <f t="shared" si="45"/>
        <v>77200</v>
      </c>
      <c r="AE27" s="113">
        <f t="shared" si="45"/>
        <v>77200</v>
      </c>
      <c r="AF27" s="113">
        <f t="shared" si="45"/>
        <v>77200</v>
      </c>
      <c r="AG27" s="113">
        <f t="shared" si="45"/>
        <v>77200</v>
      </c>
      <c r="AH27" s="113">
        <f t="shared" si="45"/>
        <v>77200</v>
      </c>
      <c r="AI27" s="113">
        <f t="shared" si="45"/>
        <v>77200</v>
      </c>
      <c r="AJ27" s="113">
        <f t="shared" si="45"/>
        <v>77200</v>
      </c>
      <c r="AK27" s="113"/>
      <c r="AL27" s="113"/>
      <c r="AM27" s="113"/>
      <c r="AN27" s="113"/>
      <c r="AO27" s="113"/>
      <c r="AP27" s="113"/>
      <c r="AQ27" s="113"/>
      <c r="AR27" s="113"/>
      <c r="AS27" s="113"/>
      <c r="AT27" s="113"/>
      <c r="AU27" s="113"/>
    </row>
    <row r="28" spans="1:48" x14ac:dyDescent="0.25">
      <c r="A28" s="24" t="s">
        <v>324</v>
      </c>
      <c r="B28" s="40" t="s">
        <v>299</v>
      </c>
      <c r="C28" s="125" t="s">
        <v>322</v>
      </c>
      <c r="D28" s="113">
        <f>'NEW Factors'!B8</f>
        <v>151100</v>
      </c>
      <c r="E28" s="113">
        <f t="shared" ref="E28:AJ28" si="46">D28</f>
        <v>151100</v>
      </c>
      <c r="F28" s="113">
        <f t="shared" si="46"/>
        <v>151100</v>
      </c>
      <c r="G28" s="113">
        <f t="shared" si="46"/>
        <v>151100</v>
      </c>
      <c r="H28" s="113">
        <f t="shared" si="46"/>
        <v>151100</v>
      </c>
      <c r="I28" s="113">
        <f t="shared" si="46"/>
        <v>151100</v>
      </c>
      <c r="J28" s="113">
        <f t="shared" si="46"/>
        <v>151100</v>
      </c>
      <c r="K28" s="113">
        <f t="shared" si="46"/>
        <v>151100</v>
      </c>
      <c r="L28" s="113">
        <f t="shared" si="46"/>
        <v>151100</v>
      </c>
      <c r="M28" s="113">
        <f t="shared" si="46"/>
        <v>151100</v>
      </c>
      <c r="N28" s="113">
        <f t="shared" si="46"/>
        <v>151100</v>
      </c>
      <c r="O28" s="113">
        <f t="shared" si="46"/>
        <v>151100</v>
      </c>
      <c r="P28" s="113">
        <f t="shared" si="46"/>
        <v>151100</v>
      </c>
      <c r="Q28" s="113">
        <f t="shared" si="46"/>
        <v>151100</v>
      </c>
      <c r="R28" s="113">
        <f t="shared" si="46"/>
        <v>151100</v>
      </c>
      <c r="S28" s="113">
        <f t="shared" si="46"/>
        <v>151100</v>
      </c>
      <c r="T28" s="113">
        <f t="shared" si="46"/>
        <v>151100</v>
      </c>
      <c r="U28" s="113">
        <f t="shared" si="46"/>
        <v>151100</v>
      </c>
      <c r="V28" s="113">
        <f t="shared" si="46"/>
        <v>151100</v>
      </c>
      <c r="W28" s="113">
        <f t="shared" si="46"/>
        <v>151100</v>
      </c>
      <c r="X28" s="113">
        <f t="shared" si="46"/>
        <v>151100</v>
      </c>
      <c r="Y28" s="113">
        <f t="shared" si="46"/>
        <v>151100</v>
      </c>
      <c r="Z28" s="113">
        <f t="shared" si="46"/>
        <v>151100</v>
      </c>
      <c r="AA28" s="113">
        <f t="shared" si="46"/>
        <v>151100</v>
      </c>
      <c r="AB28" s="113">
        <f t="shared" si="46"/>
        <v>151100</v>
      </c>
      <c r="AC28" s="113">
        <f t="shared" si="46"/>
        <v>151100</v>
      </c>
      <c r="AD28" s="113">
        <f t="shared" si="46"/>
        <v>151100</v>
      </c>
      <c r="AE28" s="113">
        <f t="shared" si="46"/>
        <v>151100</v>
      </c>
      <c r="AF28" s="113">
        <f t="shared" si="46"/>
        <v>151100</v>
      </c>
      <c r="AG28" s="113">
        <f t="shared" si="46"/>
        <v>151100</v>
      </c>
      <c r="AH28" s="113">
        <f t="shared" si="46"/>
        <v>151100</v>
      </c>
      <c r="AI28" s="113">
        <f t="shared" si="46"/>
        <v>151100</v>
      </c>
      <c r="AJ28" s="113">
        <f t="shared" si="46"/>
        <v>151100</v>
      </c>
      <c r="AK28" s="113"/>
      <c r="AL28" s="113"/>
      <c r="AM28" s="113"/>
      <c r="AN28" s="113"/>
      <c r="AO28" s="113"/>
      <c r="AP28" s="113"/>
      <c r="AQ28" s="113"/>
      <c r="AR28" s="113"/>
      <c r="AS28" s="113"/>
      <c r="AT28" s="113"/>
      <c r="AU28" s="113"/>
    </row>
    <row r="29" spans="1:48" x14ac:dyDescent="0.25">
      <c r="A29" s="24" t="s">
        <v>325</v>
      </c>
      <c r="B29" s="40" t="s">
        <v>299</v>
      </c>
      <c r="C29" s="125" t="s">
        <v>322</v>
      </c>
      <c r="D29" s="113">
        <f>'NEW Factors'!B9</f>
        <v>554800</v>
      </c>
      <c r="E29" s="113">
        <f t="shared" ref="E29:AJ29" si="47">D29</f>
        <v>554800</v>
      </c>
      <c r="F29" s="113">
        <f t="shared" si="47"/>
        <v>554800</v>
      </c>
      <c r="G29" s="113">
        <f t="shared" si="47"/>
        <v>554800</v>
      </c>
      <c r="H29" s="113">
        <f t="shared" si="47"/>
        <v>554800</v>
      </c>
      <c r="I29" s="113">
        <f t="shared" si="47"/>
        <v>554800</v>
      </c>
      <c r="J29" s="113">
        <f t="shared" si="47"/>
        <v>554800</v>
      </c>
      <c r="K29" s="113">
        <f t="shared" si="47"/>
        <v>554800</v>
      </c>
      <c r="L29" s="113">
        <f t="shared" si="47"/>
        <v>554800</v>
      </c>
      <c r="M29" s="113">
        <f t="shared" si="47"/>
        <v>554800</v>
      </c>
      <c r="N29" s="113">
        <f t="shared" si="47"/>
        <v>554800</v>
      </c>
      <c r="O29" s="113">
        <f t="shared" si="47"/>
        <v>554800</v>
      </c>
      <c r="P29" s="113">
        <f t="shared" si="47"/>
        <v>554800</v>
      </c>
      <c r="Q29" s="113">
        <f t="shared" si="47"/>
        <v>554800</v>
      </c>
      <c r="R29" s="113">
        <f t="shared" si="47"/>
        <v>554800</v>
      </c>
      <c r="S29" s="113">
        <f t="shared" si="47"/>
        <v>554800</v>
      </c>
      <c r="T29" s="113">
        <f t="shared" si="47"/>
        <v>554800</v>
      </c>
      <c r="U29" s="113">
        <f t="shared" si="47"/>
        <v>554800</v>
      </c>
      <c r="V29" s="113">
        <f t="shared" si="47"/>
        <v>554800</v>
      </c>
      <c r="W29" s="113">
        <f t="shared" si="47"/>
        <v>554800</v>
      </c>
      <c r="X29" s="113">
        <f t="shared" si="47"/>
        <v>554800</v>
      </c>
      <c r="Y29" s="113">
        <f t="shared" si="47"/>
        <v>554800</v>
      </c>
      <c r="Z29" s="113">
        <f t="shared" si="47"/>
        <v>554800</v>
      </c>
      <c r="AA29" s="113">
        <f t="shared" si="47"/>
        <v>554800</v>
      </c>
      <c r="AB29" s="113">
        <f t="shared" si="47"/>
        <v>554800</v>
      </c>
      <c r="AC29" s="113">
        <f t="shared" si="47"/>
        <v>554800</v>
      </c>
      <c r="AD29" s="113">
        <f t="shared" si="47"/>
        <v>554800</v>
      </c>
      <c r="AE29" s="113">
        <f t="shared" si="47"/>
        <v>554800</v>
      </c>
      <c r="AF29" s="113">
        <f t="shared" si="47"/>
        <v>554800</v>
      </c>
      <c r="AG29" s="113">
        <f t="shared" si="47"/>
        <v>554800</v>
      </c>
      <c r="AH29" s="113">
        <f t="shared" si="47"/>
        <v>554800</v>
      </c>
      <c r="AI29" s="113">
        <f t="shared" si="47"/>
        <v>554800</v>
      </c>
      <c r="AJ29" s="113">
        <f t="shared" si="47"/>
        <v>554800</v>
      </c>
      <c r="AK29" s="113"/>
      <c r="AL29" s="113"/>
      <c r="AM29" s="113"/>
      <c r="AN29" s="113"/>
      <c r="AO29" s="113"/>
      <c r="AP29" s="113"/>
      <c r="AQ29" s="113"/>
      <c r="AR29" s="113"/>
      <c r="AS29" s="113"/>
      <c r="AT29" s="113"/>
      <c r="AU29" s="113"/>
    </row>
    <row r="30" spans="1:48" x14ac:dyDescent="0.25">
      <c r="A30" s="24" t="s">
        <v>326</v>
      </c>
      <c r="B30" s="40" t="s">
        <v>299</v>
      </c>
      <c r="C30" s="125" t="s">
        <v>322</v>
      </c>
      <c r="D30" s="113">
        <f>'NEW Factors'!B10</f>
        <v>11600000</v>
      </c>
      <c r="E30" s="113">
        <f t="shared" ref="E30:AJ30" si="48">D30</f>
        <v>11600000</v>
      </c>
      <c r="F30" s="113">
        <f t="shared" si="48"/>
        <v>11600000</v>
      </c>
      <c r="G30" s="113">
        <f t="shared" si="48"/>
        <v>11600000</v>
      </c>
      <c r="H30" s="113">
        <f t="shared" si="48"/>
        <v>11600000</v>
      </c>
      <c r="I30" s="113">
        <f t="shared" si="48"/>
        <v>11600000</v>
      </c>
      <c r="J30" s="113">
        <f t="shared" si="48"/>
        <v>11600000</v>
      </c>
      <c r="K30" s="113">
        <f t="shared" si="48"/>
        <v>11600000</v>
      </c>
      <c r="L30" s="113">
        <f t="shared" si="48"/>
        <v>11600000</v>
      </c>
      <c r="M30" s="113">
        <f t="shared" si="48"/>
        <v>11600000</v>
      </c>
      <c r="N30" s="113">
        <f t="shared" si="48"/>
        <v>11600000</v>
      </c>
      <c r="O30" s="113">
        <f t="shared" si="48"/>
        <v>11600000</v>
      </c>
      <c r="P30" s="113">
        <f t="shared" si="48"/>
        <v>11600000</v>
      </c>
      <c r="Q30" s="113">
        <f t="shared" si="48"/>
        <v>11600000</v>
      </c>
      <c r="R30" s="113">
        <f t="shared" si="48"/>
        <v>11600000</v>
      </c>
      <c r="S30" s="113">
        <f t="shared" si="48"/>
        <v>11600000</v>
      </c>
      <c r="T30" s="113">
        <f t="shared" si="48"/>
        <v>11600000</v>
      </c>
      <c r="U30" s="113">
        <f t="shared" si="48"/>
        <v>11600000</v>
      </c>
      <c r="V30" s="113">
        <f t="shared" si="48"/>
        <v>11600000</v>
      </c>
      <c r="W30" s="113">
        <f t="shared" si="48"/>
        <v>11600000</v>
      </c>
      <c r="X30" s="113">
        <f t="shared" si="48"/>
        <v>11600000</v>
      </c>
      <c r="Y30" s="113">
        <f t="shared" si="48"/>
        <v>11600000</v>
      </c>
      <c r="Z30" s="113">
        <f t="shared" si="48"/>
        <v>11600000</v>
      </c>
      <c r="AA30" s="113">
        <f t="shared" si="48"/>
        <v>11600000</v>
      </c>
      <c r="AB30" s="113">
        <f t="shared" si="48"/>
        <v>11600000</v>
      </c>
      <c r="AC30" s="113">
        <f t="shared" si="48"/>
        <v>11600000</v>
      </c>
      <c r="AD30" s="113">
        <f t="shared" si="48"/>
        <v>11600000</v>
      </c>
      <c r="AE30" s="113">
        <f t="shared" si="48"/>
        <v>11600000</v>
      </c>
      <c r="AF30" s="113">
        <f t="shared" si="48"/>
        <v>11600000</v>
      </c>
      <c r="AG30" s="113">
        <f t="shared" si="48"/>
        <v>11600000</v>
      </c>
      <c r="AH30" s="113">
        <f t="shared" si="48"/>
        <v>11600000</v>
      </c>
      <c r="AI30" s="113">
        <f t="shared" si="48"/>
        <v>11600000</v>
      </c>
      <c r="AJ30" s="113">
        <f t="shared" si="48"/>
        <v>11600000</v>
      </c>
      <c r="AK30" s="113"/>
      <c r="AL30" s="113"/>
      <c r="AM30" s="113"/>
      <c r="AN30" s="113"/>
      <c r="AO30" s="113"/>
      <c r="AP30" s="113"/>
      <c r="AQ30" s="113"/>
      <c r="AR30" s="113"/>
      <c r="AS30" s="113"/>
      <c r="AT30" s="113"/>
      <c r="AU30" s="113"/>
    </row>
    <row r="32" spans="1:48" x14ac:dyDescent="0.25">
      <c r="A32" s="55" t="s">
        <v>327</v>
      </c>
      <c r="D32" s="38">
        <v>2020</v>
      </c>
      <c r="E32" s="38">
        <f t="shared" ref="E32" si="49">D32+1</f>
        <v>2021</v>
      </c>
      <c r="F32" s="38">
        <f t="shared" ref="F32" si="50">E32+1</f>
        <v>2022</v>
      </c>
      <c r="G32" s="38">
        <f t="shared" ref="G32" si="51">F32+1</f>
        <v>2023</v>
      </c>
      <c r="H32" s="38">
        <f t="shared" ref="H32" si="52">G32+1</f>
        <v>2024</v>
      </c>
      <c r="I32" s="38">
        <f t="shared" ref="I32" si="53">H32+1</f>
        <v>2025</v>
      </c>
      <c r="J32" s="38">
        <f t="shared" ref="J32" si="54">I32+1</f>
        <v>2026</v>
      </c>
      <c r="K32" s="38">
        <f t="shared" ref="K32" si="55">J32+1</f>
        <v>2027</v>
      </c>
      <c r="L32" s="38">
        <f t="shared" ref="L32" si="56">K32+1</f>
        <v>2028</v>
      </c>
      <c r="M32" s="38">
        <f t="shared" ref="M32" si="57">L32+1</f>
        <v>2029</v>
      </c>
      <c r="N32" s="38">
        <f t="shared" ref="N32" si="58">M32+1</f>
        <v>2030</v>
      </c>
      <c r="O32" s="38">
        <f t="shared" ref="O32" si="59">N32+1</f>
        <v>2031</v>
      </c>
      <c r="P32" s="38">
        <f t="shared" ref="P32" si="60">O32+1</f>
        <v>2032</v>
      </c>
      <c r="Q32" s="38">
        <f t="shared" ref="Q32" si="61">P32+1</f>
        <v>2033</v>
      </c>
      <c r="R32" s="38">
        <f t="shared" ref="R32" si="62">Q32+1</f>
        <v>2034</v>
      </c>
      <c r="S32" s="38">
        <f t="shared" ref="S32" si="63">R32+1</f>
        <v>2035</v>
      </c>
      <c r="T32" s="38">
        <f t="shared" ref="T32" si="64">S32+1</f>
        <v>2036</v>
      </c>
      <c r="U32" s="38">
        <f t="shared" ref="U32" si="65">T32+1</f>
        <v>2037</v>
      </c>
      <c r="V32" s="38">
        <f t="shared" ref="V32" si="66">U32+1</f>
        <v>2038</v>
      </c>
      <c r="W32" s="38">
        <f t="shared" ref="W32" si="67">V32+1</f>
        <v>2039</v>
      </c>
      <c r="X32" s="38">
        <f t="shared" ref="X32" si="68">W32+1</f>
        <v>2040</v>
      </c>
      <c r="Y32" s="38">
        <f t="shared" ref="Y32" si="69">X32+1</f>
        <v>2041</v>
      </c>
      <c r="Z32" s="38">
        <f t="shared" ref="Z32" si="70">Y32+1</f>
        <v>2042</v>
      </c>
      <c r="AA32" s="38">
        <f t="shared" ref="AA32" si="71">Z32+1</f>
        <v>2043</v>
      </c>
      <c r="AB32" s="38">
        <f t="shared" ref="AB32" si="72">AA32+1</f>
        <v>2044</v>
      </c>
      <c r="AC32" s="38">
        <f t="shared" ref="AC32" si="73">AB32+1</f>
        <v>2045</v>
      </c>
      <c r="AD32" s="38">
        <f t="shared" ref="AD32" si="74">AC32+1</f>
        <v>2046</v>
      </c>
      <c r="AE32" s="38">
        <f t="shared" ref="AE32" si="75">AD32+1</f>
        <v>2047</v>
      </c>
      <c r="AF32" s="38">
        <f t="shared" ref="AF32" si="76">AE32+1</f>
        <v>2048</v>
      </c>
      <c r="AG32" s="38">
        <f t="shared" ref="AG32" si="77">AF32+1</f>
        <v>2049</v>
      </c>
      <c r="AH32" s="38">
        <f t="shared" ref="AH32" si="78">AG32+1</f>
        <v>2050</v>
      </c>
      <c r="AI32" s="38">
        <f t="shared" ref="AI32" si="79">AH32+1</f>
        <v>2051</v>
      </c>
      <c r="AJ32" s="38">
        <f t="shared" ref="AJ32" si="80">AI32+1</f>
        <v>2052</v>
      </c>
    </row>
    <row r="33" spans="1:48" x14ac:dyDescent="0.25">
      <c r="A33" s="24" t="s">
        <v>328</v>
      </c>
      <c r="B33" s="40" t="s">
        <v>299</v>
      </c>
      <c r="D33" s="51">
        <v>17.8</v>
      </c>
      <c r="E33" s="51">
        <f>D33</f>
        <v>17.8</v>
      </c>
      <c r="F33" s="51">
        <f t="shared" ref="F33:AV34" si="81">E33</f>
        <v>17.8</v>
      </c>
      <c r="G33" s="51">
        <f t="shared" si="81"/>
        <v>17.8</v>
      </c>
      <c r="H33" s="51">
        <f t="shared" si="81"/>
        <v>17.8</v>
      </c>
      <c r="I33" s="51">
        <f t="shared" si="81"/>
        <v>17.8</v>
      </c>
      <c r="J33" s="51">
        <f t="shared" si="81"/>
        <v>17.8</v>
      </c>
      <c r="K33" s="51">
        <f t="shared" si="81"/>
        <v>17.8</v>
      </c>
      <c r="L33" s="51">
        <f t="shared" si="81"/>
        <v>17.8</v>
      </c>
      <c r="M33" s="51">
        <f t="shared" si="81"/>
        <v>17.8</v>
      </c>
      <c r="N33" s="51">
        <f t="shared" si="81"/>
        <v>17.8</v>
      </c>
      <c r="O33" s="51">
        <f t="shared" si="81"/>
        <v>17.8</v>
      </c>
      <c r="P33" s="51">
        <f t="shared" si="81"/>
        <v>17.8</v>
      </c>
      <c r="Q33" s="51">
        <f t="shared" si="81"/>
        <v>17.8</v>
      </c>
      <c r="R33" s="51">
        <f t="shared" si="81"/>
        <v>17.8</v>
      </c>
      <c r="S33" s="51">
        <f t="shared" si="81"/>
        <v>17.8</v>
      </c>
      <c r="T33" s="51">
        <f t="shared" si="81"/>
        <v>17.8</v>
      </c>
      <c r="U33" s="51">
        <f t="shared" si="81"/>
        <v>17.8</v>
      </c>
      <c r="V33" s="51">
        <f t="shared" si="81"/>
        <v>17.8</v>
      </c>
      <c r="W33" s="51">
        <f t="shared" si="81"/>
        <v>17.8</v>
      </c>
      <c r="X33" s="51">
        <f t="shared" si="81"/>
        <v>17.8</v>
      </c>
      <c r="Y33" s="51">
        <f t="shared" si="81"/>
        <v>17.8</v>
      </c>
      <c r="Z33" s="51">
        <f t="shared" si="81"/>
        <v>17.8</v>
      </c>
      <c r="AA33" s="51">
        <f t="shared" si="81"/>
        <v>17.8</v>
      </c>
      <c r="AB33" s="51">
        <f t="shared" si="81"/>
        <v>17.8</v>
      </c>
      <c r="AC33" s="51">
        <f t="shared" si="81"/>
        <v>17.8</v>
      </c>
      <c r="AD33" s="51">
        <f t="shared" si="81"/>
        <v>17.8</v>
      </c>
      <c r="AE33" s="51">
        <f t="shared" si="81"/>
        <v>17.8</v>
      </c>
      <c r="AF33" s="51">
        <f t="shared" si="81"/>
        <v>17.8</v>
      </c>
      <c r="AG33" s="51">
        <f t="shared" si="81"/>
        <v>17.8</v>
      </c>
      <c r="AH33" s="51">
        <f t="shared" si="81"/>
        <v>17.8</v>
      </c>
      <c r="AI33" s="51">
        <f t="shared" si="81"/>
        <v>17.8</v>
      </c>
      <c r="AJ33" s="51">
        <f t="shared" si="81"/>
        <v>17.8</v>
      </c>
      <c r="AK33" s="51"/>
      <c r="AL33" s="51"/>
      <c r="AM33" s="51"/>
      <c r="AN33" s="51"/>
      <c r="AO33" s="51"/>
      <c r="AP33" s="51"/>
      <c r="AQ33" s="51"/>
      <c r="AR33" s="51"/>
      <c r="AS33" s="51"/>
      <c r="AT33" s="51"/>
      <c r="AU33" s="51"/>
      <c r="AV33" s="51">
        <f t="shared" si="81"/>
        <v>0</v>
      </c>
    </row>
    <row r="34" spans="1:48" x14ac:dyDescent="0.25">
      <c r="A34" s="24" t="s">
        <v>125</v>
      </c>
      <c r="B34" s="40" t="s">
        <v>299</v>
      </c>
      <c r="D34" s="51">
        <v>32</v>
      </c>
      <c r="E34" s="51">
        <f t="shared" ref="E34:T34" si="82">D34</f>
        <v>32</v>
      </c>
      <c r="F34" s="51">
        <f t="shared" si="82"/>
        <v>32</v>
      </c>
      <c r="G34" s="51">
        <f t="shared" si="82"/>
        <v>32</v>
      </c>
      <c r="H34" s="51">
        <f t="shared" si="82"/>
        <v>32</v>
      </c>
      <c r="I34" s="51">
        <f t="shared" si="82"/>
        <v>32</v>
      </c>
      <c r="J34" s="51">
        <f t="shared" si="82"/>
        <v>32</v>
      </c>
      <c r="K34" s="51">
        <f t="shared" si="82"/>
        <v>32</v>
      </c>
      <c r="L34" s="51">
        <f t="shared" si="82"/>
        <v>32</v>
      </c>
      <c r="M34" s="51">
        <f t="shared" si="82"/>
        <v>32</v>
      </c>
      <c r="N34" s="51">
        <f t="shared" si="82"/>
        <v>32</v>
      </c>
      <c r="O34" s="51">
        <f t="shared" si="82"/>
        <v>32</v>
      </c>
      <c r="P34" s="51">
        <f t="shared" si="82"/>
        <v>32</v>
      </c>
      <c r="Q34" s="51">
        <f t="shared" si="82"/>
        <v>32</v>
      </c>
      <c r="R34" s="51">
        <f t="shared" si="82"/>
        <v>32</v>
      </c>
      <c r="S34" s="51">
        <f t="shared" si="82"/>
        <v>32</v>
      </c>
      <c r="T34" s="51">
        <f t="shared" si="82"/>
        <v>32</v>
      </c>
      <c r="U34" s="51">
        <f t="shared" si="81"/>
        <v>32</v>
      </c>
      <c r="V34" s="51">
        <f t="shared" si="81"/>
        <v>32</v>
      </c>
      <c r="W34" s="51">
        <f t="shared" si="81"/>
        <v>32</v>
      </c>
      <c r="X34" s="51">
        <f t="shared" si="81"/>
        <v>32</v>
      </c>
      <c r="Y34" s="51">
        <f t="shared" si="81"/>
        <v>32</v>
      </c>
      <c r="Z34" s="51">
        <f t="shared" si="81"/>
        <v>32</v>
      </c>
      <c r="AA34" s="51">
        <f t="shared" si="81"/>
        <v>32</v>
      </c>
      <c r="AB34" s="51">
        <f t="shared" si="81"/>
        <v>32</v>
      </c>
      <c r="AC34" s="51">
        <f t="shared" si="81"/>
        <v>32</v>
      </c>
      <c r="AD34" s="51">
        <f t="shared" si="81"/>
        <v>32</v>
      </c>
      <c r="AE34" s="51">
        <f t="shared" si="81"/>
        <v>32</v>
      </c>
      <c r="AF34" s="51">
        <f t="shared" si="81"/>
        <v>32</v>
      </c>
      <c r="AG34" s="51">
        <f t="shared" si="81"/>
        <v>32</v>
      </c>
      <c r="AH34" s="51">
        <f t="shared" si="81"/>
        <v>32</v>
      </c>
      <c r="AI34" s="51">
        <f t="shared" si="81"/>
        <v>32</v>
      </c>
      <c r="AJ34" s="51">
        <f t="shared" si="81"/>
        <v>32</v>
      </c>
      <c r="AK34" s="51"/>
      <c r="AL34" s="51"/>
      <c r="AM34" s="51"/>
      <c r="AN34" s="51"/>
      <c r="AO34" s="51"/>
      <c r="AP34" s="51"/>
      <c r="AQ34" s="51"/>
      <c r="AR34" s="51"/>
      <c r="AS34" s="51"/>
      <c r="AT34" s="51"/>
      <c r="AU34" s="51"/>
      <c r="AV34" s="51">
        <f t="shared" si="81"/>
        <v>0</v>
      </c>
    </row>
    <row r="35" spans="1:48" x14ac:dyDescent="0.25">
      <c r="A35" s="24"/>
    </row>
    <row r="36" spans="1:48" x14ac:dyDescent="0.25">
      <c r="A36" s="52"/>
    </row>
    <row r="44" spans="1:48" x14ac:dyDescent="0.25">
      <c r="A44" s="53" t="s">
        <v>329</v>
      </c>
    </row>
    <row r="60" spans="1:2" x14ac:dyDescent="0.25">
      <c r="A60" s="52"/>
      <c r="B60" s="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57EEF0067683439435D625ED9E0C6F" ma:contentTypeVersion="13" ma:contentTypeDescription="Create a new document." ma:contentTypeScope="" ma:versionID="3dacab781118ef05d29dfd1e15cd48fe">
  <xsd:schema xmlns:xsd="http://www.w3.org/2001/XMLSchema" xmlns:xs="http://www.w3.org/2001/XMLSchema" xmlns:p="http://schemas.microsoft.com/office/2006/metadata/properties" xmlns:ns2="9a903cf6-a1bb-469c-8ec6-069130e1654e" xmlns:ns3="7e168d4e-f650-4b76-bafd-0826542b0a5c" targetNamespace="http://schemas.microsoft.com/office/2006/metadata/properties" ma:root="true" ma:fieldsID="8632e2bfaf57a81a7888f996cbec9591" ns2:_="" ns3:_="">
    <xsd:import namespace="9a903cf6-a1bb-469c-8ec6-069130e1654e"/>
    <xsd:import namespace="7e168d4e-f650-4b76-bafd-0826542b0a5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03cf6-a1bb-469c-8ec6-069130e16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168d4e-f650-4b76-bafd-0826542b0a5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A0DCE-1A1A-4DBC-AE22-18A9FA03A303}">
  <ds:schemaRefs>
    <ds:schemaRef ds:uri="http://schemas.microsoft.com/sharepoint/v3/contenttype/forms"/>
  </ds:schemaRefs>
</ds:datastoreItem>
</file>

<file path=customXml/itemProps2.xml><?xml version="1.0" encoding="utf-8"?>
<ds:datastoreItem xmlns:ds="http://schemas.openxmlformats.org/officeDocument/2006/customXml" ds:itemID="{23A8480F-5956-4A64-984A-431EEFEE5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03cf6-a1bb-469c-8ec6-069130e1654e"/>
    <ds:schemaRef ds:uri="7e168d4e-f650-4b76-bafd-0826542b0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1D9DE-7E29-426F-8C93-5191A37BEAC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Results</vt:lpstr>
      <vt:lpstr>TT</vt:lpstr>
      <vt:lpstr>Emissions</vt:lpstr>
      <vt:lpstr>Safety</vt:lpstr>
      <vt:lpstr>Shipper Costs</vt:lpstr>
      <vt:lpstr>Costs</vt:lpstr>
      <vt:lpstr>TDM</vt:lpstr>
      <vt:lpstr>NEW Factors</vt:lpstr>
      <vt:lpstr>Look Up</vt:lpstr>
      <vt:lpstr>Report table</vt:lpstr>
      <vt:lpstr>Sheet2</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Hirschman</dc:creator>
  <cp:keywords/>
  <dc:description/>
  <cp:lastModifiedBy>Sarah McElroy</cp:lastModifiedBy>
  <cp:revision/>
  <dcterms:created xsi:type="dcterms:W3CDTF">2019-10-06T09:35:23Z</dcterms:created>
  <dcterms:modified xsi:type="dcterms:W3CDTF">2022-05-19T14:48:20Z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0x0101008257EEF0067683439435D625ED9E0C6F</vt:lpwstr>
  </property>
  <property fmtid="{D5CDD505-2E9C-101B-9397-08002B2CF9AE}" pid="3" name="Order">
    <vt:r8>936600</vt:r8>
  </property>
</Properties>
</file>