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lanning\Grants\INFRA\2020\I-40 - Douglass\Website\Reports and Technical Information\"/>
    </mc:Choice>
  </mc:AlternateContent>
  <bookViews>
    <workbookView xWindow="0" yWindow="0" windowWidth="23040" windowHeight="1063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5" i="1" l="1"/>
  <c r="B31" i="1"/>
  <c r="B30" i="1"/>
  <c r="B24" i="1" l="1"/>
  <c r="U22" i="1"/>
  <c r="U23" i="1"/>
  <c r="R21" i="1"/>
  <c r="S21" i="1"/>
  <c r="U21" i="1" s="1"/>
  <c r="R20" i="1"/>
  <c r="Q20" i="1"/>
  <c r="U20" i="1" s="1"/>
  <c r="R19" i="1"/>
  <c r="Q19" i="1"/>
  <c r="U19" i="1" s="1"/>
  <c r="Q18" i="1"/>
  <c r="U18" i="1" s="1"/>
  <c r="R16" i="1"/>
  <c r="S16" i="1"/>
  <c r="T16" i="1"/>
  <c r="Q16" i="1"/>
  <c r="U4" i="1"/>
  <c r="U5" i="1"/>
  <c r="U7" i="1"/>
  <c r="U8" i="1"/>
  <c r="U10" i="1"/>
  <c r="U11" i="1"/>
  <c r="U12" i="1"/>
  <c r="U14" i="1"/>
  <c r="U15" i="1"/>
  <c r="U16" i="1" l="1"/>
  <c r="Q17" i="1"/>
  <c r="U17" i="1" s="1"/>
  <c r="B13" i="1" l="1"/>
  <c r="M13" i="1" s="1"/>
  <c r="M27" i="1" s="1"/>
  <c r="P13" i="1" l="1"/>
  <c r="P27" i="1" s="1"/>
  <c r="O13" i="1"/>
  <c r="O27" i="1" s="1"/>
  <c r="L13" i="1"/>
  <c r="K13" i="1"/>
  <c r="N13" i="1"/>
  <c r="N27" i="1" s="1"/>
  <c r="J13" i="1"/>
  <c r="I13" i="1"/>
  <c r="H6" i="1"/>
  <c r="E6" i="1"/>
  <c r="F6" i="1"/>
  <c r="G6" i="1"/>
  <c r="D6" i="1"/>
  <c r="C6" i="1"/>
  <c r="U13" i="1" l="1"/>
  <c r="U6" i="1"/>
  <c r="B9" i="1"/>
  <c r="I9" i="1" s="1"/>
  <c r="H9" i="1" l="1"/>
  <c r="U9" i="1" s="1"/>
  <c r="B25" i="1" l="1"/>
  <c r="Q24" i="1"/>
  <c r="S24" i="1"/>
  <c r="T24" i="1"/>
  <c r="R24" i="1"/>
  <c r="L27" i="1"/>
  <c r="C27" i="1"/>
  <c r="U24" i="1" l="1"/>
  <c r="Q27" i="1"/>
  <c r="B7" i="1"/>
  <c r="K27" i="1" l="1"/>
  <c r="J27" i="1"/>
  <c r="I27" i="1"/>
  <c r="H27" i="1"/>
  <c r="E27" i="1"/>
  <c r="F27" i="1"/>
  <c r="G27" i="1"/>
  <c r="D27" i="1"/>
  <c r="R27" i="1" l="1"/>
  <c r="S27" i="1"/>
  <c r="T27" i="1"/>
  <c r="U27" i="1" l="1"/>
  <c r="W25" i="1"/>
</calcChain>
</file>

<file path=xl/sharedStrings.xml><?xml version="1.0" encoding="utf-8"?>
<sst xmlns="http://schemas.openxmlformats.org/spreadsheetml/2006/main" count="44" uniqueCount="44">
  <si>
    <t>Task Name</t>
  </si>
  <si>
    <t>Cost</t>
  </si>
  <si>
    <t>Contracting</t>
  </si>
  <si>
    <t>Reconstruct Douglas Interchange</t>
  </si>
  <si>
    <t>Raise Westminster Road</t>
  </si>
  <si>
    <t>Reconstruct Westbound I-40</t>
  </si>
  <si>
    <t>2nd Quarter 2018</t>
  </si>
  <si>
    <t>3rd Quarter 2018</t>
  </si>
  <si>
    <t>4th Quarter 2018</t>
  </si>
  <si>
    <t>4th Quarter 2016</t>
  </si>
  <si>
    <t>1st Quarter 2017</t>
  </si>
  <si>
    <t>2nd Quarter 2017</t>
  </si>
  <si>
    <t>3rd Quarter 2017</t>
  </si>
  <si>
    <t>4th Quarter 2017</t>
  </si>
  <si>
    <t>1st Quarter 2018</t>
  </si>
  <si>
    <t>1st Quarter 2016</t>
  </si>
  <si>
    <t>2nd Quarter 2016</t>
  </si>
  <si>
    <t>3rd Quarter 2016</t>
  </si>
  <si>
    <t>3rd Quarter 2015</t>
  </si>
  <si>
    <t>4th Quarter 2015</t>
  </si>
  <si>
    <t>Contract Design Firms</t>
  </si>
  <si>
    <t>Finalize Project Scope</t>
  </si>
  <si>
    <t>Preliminary Alignment</t>
  </si>
  <si>
    <t>NEPA</t>
  </si>
  <si>
    <t>Execute Agreements with Midwest City, Oklahoma City and Tinker Air Force Base</t>
  </si>
  <si>
    <t>Finalize Functional Plans</t>
  </si>
  <si>
    <t>Right Of Way Acquisition</t>
  </si>
  <si>
    <t>Relocate Utilities</t>
  </si>
  <si>
    <t>STIP/TIP Approval</t>
  </si>
  <si>
    <t>Finalize Design Plans</t>
  </si>
  <si>
    <t>Submit PS&amp;E</t>
  </si>
  <si>
    <t>Contingency</t>
  </si>
  <si>
    <t>Preconstruction</t>
  </si>
  <si>
    <t>Construction</t>
  </si>
  <si>
    <t>Preincurred</t>
  </si>
  <si>
    <t>Construct center of new I-40 bridges over Anderson Road and I-240</t>
  </si>
  <si>
    <t>Build Inside Shoulder Eastbound for construction traffic</t>
  </si>
  <si>
    <t>Construct WB lanes on bridges over Anderson Road and I-240</t>
  </si>
  <si>
    <t>Construct EB lanes on bridges over Anderson Road and I-240</t>
  </si>
  <si>
    <t>Reconstruct Eastbound Lanes</t>
  </si>
  <si>
    <t>Bridges at Anderson</t>
  </si>
  <si>
    <t>I-40 Widening</t>
  </si>
  <si>
    <t>Total Project Cost</t>
  </si>
  <si>
    <t>Future Eligible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</si>
</sst>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164" fontId="0" fillId="0" borderId="1" xfId="0" applyNumberFormat="1" applyBorder="1"/>
    <xf numFmtId="0" fontId="2" fillId="3" borderId="2" xfId="0" applyFont="1" applyFill="1" applyBorder="1" applyAlignment="1">
      <alignment vertical="center" wrapText="1"/>
    </xf>
    <xf numFmtId="165" fontId="0" fillId="0" borderId="1" xfId="1" applyNumberFormat="1" applyFont="1" applyBorder="1"/>
    <xf numFmtId="0" fontId="1" fillId="2" borderId="3" xfId="0" applyFont="1" applyFill="1" applyBorder="1" applyAlignment="1">
      <alignment vertical="center" wrapText="1"/>
    </xf>
    <xf numFmtId="165" fontId="2" fillId="3" borderId="4" xfId="1" applyNumberFormat="1" applyFont="1" applyFill="1" applyBorder="1" applyAlignment="1">
      <alignment horizontal="right" vertical="center" wrapText="1"/>
    </xf>
    <xf numFmtId="165" fontId="2" fillId="3" borderId="3" xfId="1" applyNumberFormat="1" applyFont="1" applyFill="1" applyBorder="1" applyAlignment="1">
      <alignment horizontal="right" vertical="center" wrapText="1"/>
    </xf>
    <xf numFmtId="165" fontId="0" fillId="0" borderId="3" xfId="1" applyNumberFormat="1" applyFont="1" applyBorder="1"/>
    <xf numFmtId="0" fontId="0" fillId="4" borderId="1" xfId="0" applyFill="1" applyBorder="1"/>
    <xf numFmtId="165" fontId="0" fillId="4" borderId="1" xfId="1" applyNumberFormat="1" applyFont="1" applyFill="1" applyBorder="1"/>
    <xf numFmtId="165" fontId="2" fillId="4" borderId="1" xfId="1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4" borderId="5" xfId="0" applyFill="1" applyBorder="1"/>
    <xf numFmtId="165" fontId="0" fillId="4" borderId="5" xfId="1" applyNumberFormat="1" applyFont="1" applyFill="1" applyBorder="1"/>
    <xf numFmtId="165" fontId="2" fillId="4" borderId="5" xfId="1" applyNumberFormat="1" applyFont="1" applyFill="1" applyBorder="1" applyAlignment="1">
      <alignment horizontal="right" vertical="center" wrapText="1"/>
    </xf>
    <xf numFmtId="165" fontId="0" fillId="4" borderId="7" xfId="1" applyNumberFormat="1" applyFont="1" applyFill="1" applyBorder="1"/>
    <xf numFmtId="0" fontId="0" fillId="4" borderId="3" xfId="0" applyFill="1" applyBorder="1"/>
    <xf numFmtId="165" fontId="0" fillId="0" borderId="7" xfId="1" applyNumberFormat="1" applyFont="1" applyFill="1" applyBorder="1"/>
    <xf numFmtId="165" fontId="0" fillId="0" borderId="0" xfId="0" applyNumberFormat="1"/>
    <xf numFmtId="44" fontId="0" fillId="0" borderId="0" xfId="0" applyNumberFormat="1"/>
    <xf numFmtId="10" fontId="0" fillId="0" borderId="0" xfId="2" applyNumberFormat="1" applyFont="1"/>
    <xf numFmtId="44" fontId="0" fillId="0" borderId="1" xfId="1" applyNumberFormat="1" applyFont="1" applyBorder="1"/>
    <xf numFmtId="0" fontId="0" fillId="4" borderId="6" xfId="0" applyFill="1" applyBorder="1"/>
    <xf numFmtId="0" fontId="0" fillId="0" borderId="11" xfId="0" applyBorder="1"/>
    <xf numFmtId="44" fontId="0" fillId="4" borderId="5" xfId="1" applyNumberFormat="1" applyFont="1" applyFill="1" applyBorder="1"/>
    <xf numFmtId="44" fontId="0" fillId="4" borderId="1" xfId="1" applyNumberFormat="1" applyFont="1" applyFill="1" applyBorder="1"/>
    <xf numFmtId="165" fontId="0" fillId="4" borderId="3" xfId="1" applyNumberFormat="1" applyFont="1" applyFill="1" applyBorder="1"/>
    <xf numFmtId="165" fontId="2" fillId="4" borderId="3" xfId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0" fontId="0" fillId="4" borderId="12" xfId="0" applyFill="1" applyBorder="1"/>
    <xf numFmtId="0" fontId="0" fillId="4" borderId="13" xfId="0" applyFill="1" applyBorder="1"/>
    <xf numFmtId="0" fontId="0" fillId="0" borderId="15" xfId="0" applyBorder="1"/>
    <xf numFmtId="0" fontId="0" fillId="0" borderId="14" xfId="0" applyBorder="1"/>
    <xf numFmtId="0" fontId="0" fillId="4" borderId="1" xfId="0" applyFill="1" applyBorder="1" applyAlignment="1">
      <alignment horizontal="center"/>
    </xf>
    <xf numFmtId="165" fontId="0" fillId="0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Normal="100" workbookViewId="0">
      <selection activeCell="W25" sqref="W25"/>
    </sheetView>
  </sheetViews>
  <sheetFormatPr defaultRowHeight="14.4" x14ac:dyDescent="0.3"/>
  <cols>
    <col min="1" max="1" width="20.21875" customWidth="1"/>
    <col min="2" max="2" width="14.77734375" bestFit="1" customWidth="1"/>
    <col min="3" max="3" width="20.77734375" customWidth="1"/>
    <col min="4" max="4" width="18.77734375" customWidth="1"/>
    <col min="5" max="5" width="17.5546875" customWidth="1"/>
    <col min="6" max="6" width="16.21875" customWidth="1"/>
    <col min="7" max="7" width="16.44140625" customWidth="1"/>
    <col min="8" max="8" width="16" customWidth="1"/>
    <col min="9" max="9" width="15.21875" customWidth="1"/>
    <col min="10" max="10" width="16.44140625" customWidth="1"/>
    <col min="11" max="11" width="17" customWidth="1"/>
    <col min="12" max="12" width="16" customWidth="1"/>
    <col min="13" max="13" width="16.21875" customWidth="1"/>
    <col min="14" max="14" width="17.21875" customWidth="1"/>
    <col min="15" max="15" width="16.77734375" customWidth="1"/>
    <col min="16" max="16" width="16.21875" customWidth="1"/>
    <col min="17" max="17" width="15.44140625" bestFit="1" customWidth="1"/>
    <col min="18" max="18" width="16.21875" bestFit="1" customWidth="1"/>
    <col min="19" max="20" width="15.77734375" bestFit="1" customWidth="1"/>
    <col min="21" max="21" width="15.5546875" bestFit="1" customWidth="1"/>
    <col min="22" max="22" width="16.21875" bestFit="1" customWidth="1"/>
    <col min="23" max="24" width="15.77734375" bestFit="1" customWidth="1"/>
    <col min="25" max="25" width="15.5546875" bestFit="1" customWidth="1"/>
    <col min="26" max="26" width="16.21875" bestFit="1" customWidth="1"/>
    <col min="27" max="27" width="15.77734375" bestFit="1" customWidth="1"/>
    <col min="28" max="29" width="15.77734375" customWidth="1"/>
    <col min="30" max="30" width="16.21875" bestFit="1" customWidth="1"/>
    <col min="31" max="31" width="16.5546875" bestFit="1" customWidth="1"/>
    <col min="32" max="32" width="16.5546875" customWidth="1"/>
    <col min="33" max="33" width="14.21875" bestFit="1" customWidth="1"/>
    <col min="34" max="34" width="18" bestFit="1" customWidth="1"/>
  </cols>
  <sheetData>
    <row r="1" spans="1:24" x14ac:dyDescent="0.3">
      <c r="C1" s="15"/>
      <c r="D1" s="16"/>
      <c r="E1" s="16"/>
      <c r="F1" s="16"/>
      <c r="G1" s="16" t="s">
        <v>32</v>
      </c>
      <c r="H1" s="16"/>
      <c r="I1" s="16"/>
      <c r="J1" s="16"/>
      <c r="K1" s="16"/>
      <c r="L1" s="18"/>
      <c r="M1" s="18"/>
      <c r="N1" s="18"/>
      <c r="O1" s="18"/>
      <c r="P1" s="38"/>
      <c r="X1" t="s">
        <v>33</v>
      </c>
    </row>
    <row r="2" spans="1:24" x14ac:dyDescent="0.3">
      <c r="C2" s="17"/>
      <c r="D2" s="18"/>
      <c r="E2" s="18" t="s">
        <v>34</v>
      </c>
      <c r="F2" s="18"/>
      <c r="G2" s="18"/>
      <c r="H2" s="18"/>
      <c r="I2" s="30"/>
      <c r="J2" s="30"/>
      <c r="K2" s="30"/>
      <c r="L2" s="30"/>
      <c r="M2" s="30"/>
      <c r="N2" s="18"/>
      <c r="O2" s="18"/>
      <c r="P2" s="39"/>
    </row>
    <row r="3" spans="1:24" x14ac:dyDescent="0.3">
      <c r="A3" s="2" t="s">
        <v>0</v>
      </c>
      <c r="B3" s="8" t="s">
        <v>1</v>
      </c>
      <c r="C3" s="19" t="s">
        <v>18</v>
      </c>
      <c r="D3" s="12" t="s">
        <v>19</v>
      </c>
      <c r="E3" s="12" t="s">
        <v>15</v>
      </c>
      <c r="F3" s="12" t="s">
        <v>16</v>
      </c>
      <c r="G3" s="12" t="s">
        <v>17</v>
      </c>
      <c r="H3" s="23" t="s">
        <v>9</v>
      </c>
      <c r="I3" s="12" t="s">
        <v>10</v>
      </c>
      <c r="J3" s="12" t="s">
        <v>11</v>
      </c>
      <c r="K3" s="12" t="s">
        <v>12</v>
      </c>
      <c r="L3" s="36" t="s">
        <v>13</v>
      </c>
      <c r="M3" s="37" t="s">
        <v>14</v>
      </c>
      <c r="N3" s="12" t="s">
        <v>6</v>
      </c>
      <c r="O3" s="12" t="s">
        <v>7</v>
      </c>
      <c r="P3" s="29" t="s">
        <v>8</v>
      </c>
      <c r="Q3" s="40">
        <v>2023</v>
      </c>
      <c r="R3" s="40">
        <v>2024</v>
      </c>
      <c r="S3" s="40">
        <v>2025</v>
      </c>
      <c r="T3" s="40">
        <v>2026</v>
      </c>
      <c r="U3" s="3"/>
    </row>
    <row r="4" spans="1:24" x14ac:dyDescent="0.3">
      <c r="A4" s="6" t="s">
        <v>20</v>
      </c>
      <c r="B4" s="9">
        <v>0</v>
      </c>
      <c r="C4" s="20"/>
      <c r="D4" s="13"/>
      <c r="E4" s="13"/>
      <c r="F4" s="13"/>
      <c r="G4" s="13"/>
      <c r="H4" s="13"/>
      <c r="I4" s="13"/>
      <c r="J4" s="13"/>
      <c r="K4" s="13"/>
      <c r="L4" s="33"/>
      <c r="M4" s="13"/>
      <c r="N4" s="13"/>
      <c r="O4" s="13"/>
      <c r="P4" s="13"/>
      <c r="Q4" s="7"/>
      <c r="R4" s="7"/>
      <c r="S4" s="7"/>
      <c r="T4" s="7"/>
      <c r="U4" s="7">
        <f t="shared" ref="U4:U16" si="0">SUM(C4:T4)</f>
        <v>0</v>
      </c>
    </row>
    <row r="5" spans="1:24" x14ac:dyDescent="0.3">
      <c r="A5" s="6" t="s">
        <v>21</v>
      </c>
      <c r="B5" s="9">
        <v>0</v>
      </c>
      <c r="C5" s="20"/>
      <c r="D5" s="13"/>
      <c r="E5" s="13"/>
      <c r="F5" s="13"/>
      <c r="G5" s="13"/>
      <c r="H5" s="13"/>
      <c r="I5" s="13"/>
      <c r="J5" s="13"/>
      <c r="K5" s="13"/>
      <c r="L5" s="33"/>
      <c r="M5" s="13"/>
      <c r="N5" s="13"/>
      <c r="O5" s="13"/>
      <c r="P5" s="13"/>
      <c r="Q5" s="7"/>
      <c r="R5" s="7"/>
      <c r="S5" s="7"/>
      <c r="T5" s="7"/>
      <c r="U5" s="7">
        <f t="shared" si="0"/>
        <v>0</v>
      </c>
    </row>
    <row r="6" spans="1:24" x14ac:dyDescent="0.3">
      <c r="A6" s="6" t="s">
        <v>22</v>
      </c>
      <c r="B6" s="9">
        <v>425000</v>
      </c>
      <c r="C6" s="31">
        <f>1/14*B6</f>
        <v>30357.142857142855</v>
      </c>
      <c r="D6" s="32">
        <f>$B6*3/14</f>
        <v>91071.428571428565</v>
      </c>
      <c r="E6" s="32">
        <f t="shared" ref="E6:G6" si="1">$B6*3/14</f>
        <v>91071.428571428565</v>
      </c>
      <c r="F6" s="32">
        <f t="shared" si="1"/>
        <v>91071.428571428565</v>
      </c>
      <c r="G6" s="32">
        <f t="shared" si="1"/>
        <v>91071.428571428565</v>
      </c>
      <c r="H6" s="32">
        <f>$B6*1/14</f>
        <v>30357.142857142859</v>
      </c>
      <c r="I6" s="13"/>
      <c r="J6" s="13"/>
      <c r="K6" s="13"/>
      <c r="L6" s="33"/>
      <c r="M6" s="13"/>
      <c r="N6" s="13"/>
      <c r="O6" s="13"/>
      <c r="P6" s="13"/>
      <c r="Q6" s="7"/>
      <c r="R6" s="7"/>
      <c r="S6" s="7"/>
      <c r="T6" s="7"/>
      <c r="U6" s="7">
        <f t="shared" si="0"/>
        <v>425000</v>
      </c>
    </row>
    <row r="7" spans="1:24" x14ac:dyDescent="0.3">
      <c r="A7" s="6" t="s">
        <v>23</v>
      </c>
      <c r="B7" s="9">
        <f>223000+120000</f>
        <v>343000</v>
      </c>
      <c r="C7" s="20">
        <v>16333</v>
      </c>
      <c r="D7" s="13">
        <v>49000</v>
      </c>
      <c r="E7" s="13">
        <v>49000</v>
      </c>
      <c r="F7" s="13">
        <v>49000</v>
      </c>
      <c r="G7" s="13">
        <v>49000</v>
      </c>
      <c r="H7" s="13">
        <v>49000</v>
      </c>
      <c r="I7" s="13">
        <v>49000</v>
      </c>
      <c r="J7" s="13">
        <v>32667</v>
      </c>
      <c r="K7" s="13"/>
      <c r="L7" s="33"/>
      <c r="M7" s="13"/>
      <c r="N7" s="13"/>
      <c r="O7" s="13"/>
      <c r="P7" s="13"/>
      <c r="Q7" s="7"/>
      <c r="R7" s="7"/>
      <c r="S7" s="7"/>
      <c r="T7" s="7"/>
      <c r="U7" s="7">
        <f t="shared" si="0"/>
        <v>343000</v>
      </c>
    </row>
    <row r="8" spans="1:24" ht="57.6" x14ac:dyDescent="0.3">
      <c r="A8" s="6" t="s">
        <v>24</v>
      </c>
      <c r="B8" s="9">
        <v>0</v>
      </c>
      <c r="C8" s="20"/>
      <c r="D8" s="13"/>
      <c r="E8" s="13"/>
      <c r="F8" s="13"/>
      <c r="G8" s="13"/>
      <c r="H8" s="13"/>
      <c r="I8" s="13"/>
      <c r="J8" s="13"/>
      <c r="K8" s="13"/>
      <c r="L8" s="33"/>
      <c r="M8" s="13"/>
      <c r="N8" s="13"/>
      <c r="O8" s="13"/>
      <c r="P8" s="13"/>
      <c r="Q8" s="7"/>
      <c r="R8" s="7"/>
      <c r="S8" s="7"/>
      <c r="T8" s="7"/>
      <c r="U8" s="7">
        <f t="shared" si="0"/>
        <v>0</v>
      </c>
    </row>
    <row r="9" spans="1:24" ht="28.8" x14ac:dyDescent="0.3">
      <c r="A9" s="6" t="s">
        <v>25</v>
      </c>
      <c r="B9" s="9">
        <f>82802+(842100/2)+1500000</f>
        <v>2003852</v>
      </c>
      <c r="C9" s="20"/>
      <c r="D9" s="13"/>
      <c r="E9" s="13"/>
      <c r="F9" s="13"/>
      <c r="G9" s="13"/>
      <c r="H9" s="13">
        <f>B9*0.4</f>
        <v>801540.8</v>
      </c>
      <c r="I9" s="13">
        <f>B9*0.6</f>
        <v>1202311.2</v>
      </c>
      <c r="J9" s="13"/>
      <c r="K9" s="13"/>
      <c r="L9" s="33"/>
      <c r="M9" s="13"/>
      <c r="N9" s="13"/>
      <c r="O9" s="13"/>
      <c r="P9" s="13"/>
      <c r="Q9" s="7"/>
      <c r="R9" s="7"/>
      <c r="S9" s="7"/>
      <c r="T9" s="7"/>
      <c r="U9" s="7">
        <f t="shared" si="0"/>
        <v>2003852</v>
      </c>
    </row>
    <row r="10" spans="1:24" ht="28.8" x14ac:dyDescent="0.3">
      <c r="A10" s="6" t="s">
        <v>26</v>
      </c>
      <c r="B10" s="9">
        <v>50000</v>
      </c>
      <c r="C10" s="20"/>
      <c r="D10" s="13"/>
      <c r="E10" s="13"/>
      <c r="F10" s="13"/>
      <c r="G10" s="13"/>
      <c r="H10" s="13"/>
      <c r="I10" s="12"/>
      <c r="J10" s="12"/>
      <c r="K10" s="12"/>
      <c r="L10" s="13">
        <v>10000</v>
      </c>
      <c r="M10" s="13">
        <v>30000</v>
      </c>
      <c r="N10" s="13">
        <v>10000</v>
      </c>
      <c r="O10" s="33"/>
      <c r="P10" s="33"/>
      <c r="Q10" s="7"/>
      <c r="R10" s="7"/>
      <c r="S10" s="7"/>
      <c r="T10" s="7"/>
      <c r="U10" s="7">
        <f t="shared" si="0"/>
        <v>50000</v>
      </c>
    </row>
    <row r="11" spans="1:24" x14ac:dyDescent="0.3">
      <c r="A11" s="6" t="s">
        <v>27</v>
      </c>
      <c r="B11" s="9">
        <v>50000</v>
      </c>
      <c r="C11" s="20"/>
      <c r="D11" s="13"/>
      <c r="E11" s="13"/>
      <c r="F11" s="13"/>
      <c r="G11" s="13"/>
      <c r="H11" s="13"/>
      <c r="I11" s="12"/>
      <c r="J11" s="12"/>
      <c r="K11" s="12"/>
      <c r="L11" s="13"/>
      <c r="M11" s="13">
        <v>10000</v>
      </c>
      <c r="N11" s="13">
        <v>30000</v>
      </c>
      <c r="O11" s="33">
        <v>10000</v>
      </c>
      <c r="P11" s="33"/>
      <c r="Q11" s="7"/>
      <c r="R11" s="7"/>
      <c r="S11" s="7"/>
      <c r="T11" s="7"/>
      <c r="U11" s="7">
        <f t="shared" si="0"/>
        <v>50000</v>
      </c>
    </row>
    <row r="12" spans="1:24" x14ac:dyDescent="0.3">
      <c r="A12" s="6" t="s">
        <v>28</v>
      </c>
      <c r="B12" s="9">
        <v>0</v>
      </c>
      <c r="C12" s="20"/>
      <c r="D12" s="13"/>
      <c r="E12" s="13"/>
      <c r="F12" s="13"/>
      <c r="G12" s="13"/>
      <c r="H12" s="13"/>
      <c r="I12" s="13"/>
      <c r="J12" s="13"/>
      <c r="K12" s="13"/>
      <c r="L12" s="33"/>
      <c r="M12" s="13"/>
      <c r="N12" s="13"/>
      <c r="O12" s="13"/>
      <c r="P12" s="13"/>
      <c r="Q12" s="7"/>
      <c r="R12" s="7"/>
      <c r="S12" s="7"/>
      <c r="T12" s="7"/>
      <c r="U12" s="7">
        <f t="shared" si="0"/>
        <v>0</v>
      </c>
    </row>
    <row r="13" spans="1:24" x14ac:dyDescent="0.3">
      <c r="A13" s="6" t="s">
        <v>29</v>
      </c>
      <c r="B13" s="9">
        <f>(842100)+(268340/2)+1515300</f>
        <v>2491570</v>
      </c>
      <c r="C13" s="20"/>
      <c r="D13" s="13"/>
      <c r="E13" s="13"/>
      <c r="F13" s="13"/>
      <c r="G13" s="13"/>
      <c r="H13" s="13"/>
      <c r="I13" s="13">
        <f>$B13*(1/8)</f>
        <v>311446.25</v>
      </c>
      <c r="J13" s="13">
        <f t="shared" ref="J13:P13" si="2">$B13*(1/8)</f>
        <v>311446.25</v>
      </c>
      <c r="K13" s="13">
        <f t="shared" si="2"/>
        <v>311446.25</v>
      </c>
      <c r="L13" s="13">
        <f t="shared" si="2"/>
        <v>311446.25</v>
      </c>
      <c r="M13" s="13">
        <f t="shared" si="2"/>
        <v>311446.25</v>
      </c>
      <c r="N13" s="13">
        <f t="shared" si="2"/>
        <v>311446.25</v>
      </c>
      <c r="O13" s="13">
        <f t="shared" si="2"/>
        <v>311446.25</v>
      </c>
      <c r="P13" s="13">
        <f t="shared" si="2"/>
        <v>311446.25</v>
      </c>
      <c r="Q13" s="7"/>
      <c r="R13" s="7"/>
      <c r="S13" s="7"/>
      <c r="T13" s="7"/>
      <c r="U13" s="7">
        <f t="shared" si="0"/>
        <v>2491570</v>
      </c>
    </row>
    <row r="14" spans="1:24" x14ac:dyDescent="0.3">
      <c r="A14" s="6" t="s">
        <v>30</v>
      </c>
      <c r="B14" s="9">
        <v>0</v>
      </c>
      <c r="C14" s="20"/>
      <c r="D14" s="13"/>
      <c r="E14" s="13"/>
      <c r="F14" s="13"/>
      <c r="G14" s="13"/>
      <c r="H14" s="13"/>
      <c r="I14" s="13"/>
      <c r="J14" s="13"/>
      <c r="K14" s="13"/>
      <c r="L14" s="33"/>
      <c r="M14" s="13"/>
      <c r="N14" s="13"/>
      <c r="O14" s="13"/>
      <c r="P14" s="13"/>
      <c r="Q14" s="7"/>
      <c r="R14" s="7"/>
      <c r="S14" s="7"/>
      <c r="T14" s="7"/>
      <c r="U14" s="7">
        <f t="shared" si="0"/>
        <v>0</v>
      </c>
    </row>
    <row r="15" spans="1:24" x14ac:dyDescent="0.3">
      <c r="A15" s="4" t="s">
        <v>2</v>
      </c>
      <c r="B15" s="10">
        <v>0</v>
      </c>
      <c r="C15" s="21"/>
      <c r="D15" s="14"/>
      <c r="E15" s="14"/>
      <c r="F15" s="14"/>
      <c r="G15" s="14"/>
      <c r="H15" s="14"/>
      <c r="I15" s="14"/>
      <c r="J15" s="14"/>
      <c r="K15" s="14"/>
      <c r="L15" s="34"/>
      <c r="M15" s="14"/>
      <c r="N15" s="14"/>
      <c r="O15" s="14"/>
      <c r="P15" s="14"/>
      <c r="Q15" s="35"/>
      <c r="R15" s="7"/>
      <c r="S15" s="7"/>
      <c r="T15" s="7"/>
      <c r="U15" s="7">
        <f t="shared" si="0"/>
        <v>0</v>
      </c>
    </row>
    <row r="16" spans="1:24" ht="28.8" x14ac:dyDescent="0.3">
      <c r="A16" s="6" t="s">
        <v>3</v>
      </c>
      <c r="B16" s="10">
        <v>46000000</v>
      </c>
      <c r="C16" s="21"/>
      <c r="D16" s="14"/>
      <c r="E16" s="14"/>
      <c r="F16" s="14"/>
      <c r="G16" s="14"/>
      <c r="H16" s="14"/>
      <c r="I16" s="14"/>
      <c r="J16" s="14"/>
      <c r="K16" s="14"/>
      <c r="L16" s="34"/>
      <c r="M16" s="14"/>
      <c r="N16" s="14"/>
      <c r="O16" s="14"/>
      <c r="P16" s="14"/>
      <c r="Q16" s="28">
        <f>$B16/4</f>
        <v>11500000</v>
      </c>
      <c r="R16" s="28">
        <f t="shared" ref="R16:T16" si="3">$B16/4</f>
        <v>11500000</v>
      </c>
      <c r="S16" s="28">
        <f t="shared" si="3"/>
        <v>11500000</v>
      </c>
      <c r="T16" s="28">
        <f t="shared" si="3"/>
        <v>11500000</v>
      </c>
      <c r="U16" s="7">
        <f t="shared" si="0"/>
        <v>46000000</v>
      </c>
    </row>
    <row r="17" spans="1:25" ht="28.8" x14ac:dyDescent="0.3">
      <c r="A17" s="6" t="s">
        <v>4</v>
      </c>
      <c r="B17" s="10">
        <v>537000</v>
      </c>
      <c r="C17" s="21"/>
      <c r="D17" s="14"/>
      <c r="E17" s="14"/>
      <c r="F17" s="14"/>
      <c r="G17" s="14"/>
      <c r="H17" s="14"/>
      <c r="I17" s="14"/>
      <c r="J17" s="14"/>
      <c r="K17" s="14"/>
      <c r="L17" s="34"/>
      <c r="M17" s="14"/>
      <c r="N17" s="14"/>
      <c r="O17" s="14"/>
      <c r="P17" s="14"/>
      <c r="Q17" s="7">
        <f>1/1*B17</f>
        <v>537000</v>
      </c>
      <c r="S17" s="7"/>
      <c r="T17" s="7"/>
      <c r="U17" s="7">
        <f t="shared" ref="U17:U24" si="4">SUM(C17:T17)</f>
        <v>537000</v>
      </c>
    </row>
    <row r="18" spans="1:25" ht="57.6" x14ac:dyDescent="0.3">
      <c r="A18" s="6" t="s">
        <v>35</v>
      </c>
      <c r="B18" s="10">
        <v>2610000</v>
      </c>
      <c r="C18" s="21"/>
      <c r="D18" s="14"/>
      <c r="E18" s="14"/>
      <c r="F18" s="14"/>
      <c r="G18" s="14"/>
      <c r="H18" s="14"/>
      <c r="I18" s="14"/>
      <c r="J18" s="14"/>
      <c r="K18" s="14"/>
      <c r="L18" s="34"/>
      <c r="M18" s="14"/>
      <c r="N18" s="14"/>
      <c r="O18" s="14"/>
      <c r="P18" s="14"/>
      <c r="Q18" s="28">
        <f>$B18</f>
        <v>2610000</v>
      </c>
      <c r="R18" s="28"/>
      <c r="S18" s="28"/>
      <c r="T18" s="28"/>
      <c r="U18" s="7">
        <f t="shared" si="4"/>
        <v>2610000</v>
      </c>
    </row>
    <row r="19" spans="1:25" ht="43.2" x14ac:dyDescent="0.3">
      <c r="A19" s="6" t="s">
        <v>36</v>
      </c>
      <c r="B19" s="10">
        <v>6825000</v>
      </c>
      <c r="C19" s="21"/>
      <c r="D19" s="14"/>
      <c r="E19" s="14"/>
      <c r="F19" s="14"/>
      <c r="G19" s="14"/>
      <c r="H19" s="14"/>
      <c r="I19" s="14"/>
      <c r="J19" s="14"/>
      <c r="K19" s="14"/>
      <c r="L19" s="34"/>
      <c r="M19" s="14"/>
      <c r="N19" s="14"/>
      <c r="O19" s="14"/>
      <c r="P19" s="14"/>
      <c r="Q19" s="28">
        <f>1/2*$B19</f>
        <v>3412500</v>
      </c>
      <c r="R19" s="28">
        <f>1/2*$B19</f>
        <v>3412500</v>
      </c>
      <c r="S19" s="28"/>
      <c r="T19" s="28"/>
      <c r="U19" s="7">
        <f t="shared" si="4"/>
        <v>6825000</v>
      </c>
    </row>
    <row r="20" spans="1:25" ht="43.2" x14ac:dyDescent="0.3">
      <c r="A20" s="6" t="s">
        <v>37</v>
      </c>
      <c r="B20" s="10">
        <v>2610000</v>
      </c>
      <c r="C20" s="21"/>
      <c r="D20" s="14"/>
      <c r="E20" s="14"/>
      <c r="F20" s="14"/>
      <c r="G20" s="14"/>
      <c r="H20" s="14"/>
      <c r="I20" s="14"/>
      <c r="J20" s="14"/>
      <c r="K20" s="14"/>
      <c r="L20" s="34"/>
      <c r="M20" s="14"/>
      <c r="N20" s="14"/>
      <c r="O20" s="14"/>
      <c r="P20" s="14"/>
      <c r="Q20" s="28">
        <f>1/2*$B20</f>
        <v>1305000</v>
      </c>
      <c r="R20" s="28">
        <f>1/2*$B20</f>
        <v>1305000</v>
      </c>
      <c r="S20" s="7"/>
      <c r="T20" s="7"/>
      <c r="U20" s="7">
        <f t="shared" si="4"/>
        <v>2610000</v>
      </c>
    </row>
    <row r="21" spans="1:25" ht="28.8" x14ac:dyDescent="0.3">
      <c r="A21" s="6" t="s">
        <v>5</v>
      </c>
      <c r="B21" s="10">
        <v>20500000</v>
      </c>
      <c r="C21" s="21"/>
      <c r="D21" s="14"/>
      <c r="E21" s="14"/>
      <c r="F21" s="14"/>
      <c r="G21" s="14"/>
      <c r="H21" s="14"/>
      <c r="I21" s="14"/>
      <c r="J21" s="14"/>
      <c r="K21" s="14"/>
      <c r="L21" s="34"/>
      <c r="M21" s="14"/>
      <c r="N21" s="14"/>
      <c r="O21" s="14"/>
      <c r="P21" s="14"/>
      <c r="Q21" s="35"/>
      <c r="R21" s="28">
        <f>1/2*$B21</f>
        <v>10250000</v>
      </c>
      <c r="S21" s="28">
        <f>1/2*$B21</f>
        <v>10250000</v>
      </c>
      <c r="T21" s="28"/>
      <c r="U21" s="7">
        <f t="shared" si="4"/>
        <v>20500000</v>
      </c>
    </row>
    <row r="22" spans="1:25" ht="43.2" x14ac:dyDescent="0.3">
      <c r="A22" s="6" t="s">
        <v>38</v>
      </c>
      <c r="B22" s="10">
        <v>2610000</v>
      </c>
      <c r="C22" s="21"/>
      <c r="D22" s="14"/>
      <c r="E22" s="14"/>
      <c r="F22" s="14"/>
      <c r="G22" s="14"/>
      <c r="H22" s="14"/>
      <c r="I22" s="14"/>
      <c r="J22" s="14"/>
      <c r="K22" s="14"/>
      <c r="L22" s="34"/>
      <c r="M22" s="14"/>
      <c r="N22" s="14"/>
      <c r="O22" s="14"/>
      <c r="P22" s="14"/>
      <c r="Q22" s="35"/>
      <c r="R22" s="7"/>
      <c r="S22" s="7">
        <v>2610000</v>
      </c>
      <c r="T22" s="7"/>
      <c r="U22" s="7">
        <f t="shared" si="4"/>
        <v>2610000</v>
      </c>
    </row>
    <row r="23" spans="1:25" ht="28.8" x14ac:dyDescent="0.3">
      <c r="A23" s="6" t="s">
        <v>39</v>
      </c>
      <c r="B23" s="10">
        <v>20500000</v>
      </c>
      <c r="C23" s="21"/>
      <c r="D23" s="14"/>
      <c r="E23" s="14"/>
      <c r="F23" s="14"/>
      <c r="G23" s="14"/>
      <c r="H23" s="14"/>
      <c r="I23" s="14"/>
      <c r="J23" s="14"/>
      <c r="K23" s="14"/>
      <c r="L23" s="34"/>
      <c r="M23" s="14"/>
      <c r="N23" s="14"/>
      <c r="O23" s="14"/>
      <c r="P23" s="14"/>
      <c r="Q23" s="35"/>
      <c r="R23" s="7"/>
      <c r="S23" s="7">
        <v>10250000</v>
      </c>
      <c r="T23" s="7">
        <v>10250000</v>
      </c>
      <c r="U23" s="7">
        <f t="shared" si="4"/>
        <v>20500000</v>
      </c>
    </row>
    <row r="24" spans="1:25" x14ac:dyDescent="0.3">
      <c r="A24" s="4" t="s">
        <v>31</v>
      </c>
      <c r="B24" s="10">
        <f>SUM(B16:B23)*0.0481</f>
        <v>4915435.1999999993</v>
      </c>
      <c r="C24" s="21"/>
      <c r="D24" s="14"/>
      <c r="E24" s="14"/>
      <c r="F24" s="14"/>
      <c r="G24" s="14"/>
      <c r="H24" s="14"/>
      <c r="I24" s="14"/>
      <c r="J24" s="14"/>
      <c r="K24" s="14"/>
      <c r="L24" s="34"/>
      <c r="M24" s="14"/>
      <c r="N24" s="14"/>
      <c r="O24" s="14"/>
      <c r="P24" s="14"/>
      <c r="Q24" s="28">
        <f>1/4*$B24</f>
        <v>1228858.7999999998</v>
      </c>
      <c r="R24" s="28">
        <f t="shared" ref="R24:T24" si="5">1/4*$B24</f>
        <v>1228858.7999999998</v>
      </c>
      <c r="S24" s="28">
        <f t="shared" si="5"/>
        <v>1228858.7999999998</v>
      </c>
      <c r="T24" s="28">
        <f t="shared" si="5"/>
        <v>1228858.7999999998</v>
      </c>
      <c r="U24" s="7">
        <f t="shared" si="4"/>
        <v>4915435.1999999993</v>
      </c>
    </row>
    <row r="25" spans="1:25" x14ac:dyDescent="0.3">
      <c r="A25" s="5"/>
      <c r="B25" s="10">
        <f>SUM(B16:B24)</f>
        <v>107107435.2</v>
      </c>
      <c r="C25" s="21"/>
      <c r="D25" s="14"/>
      <c r="E25" s="14"/>
      <c r="F25" s="14"/>
      <c r="G25" s="14"/>
      <c r="H25" s="14"/>
      <c r="I25" s="14"/>
      <c r="J25" s="14"/>
      <c r="K25" s="14"/>
      <c r="L25" s="34"/>
      <c r="M25" s="14"/>
      <c r="N25" s="14"/>
      <c r="O25" s="14"/>
      <c r="P25" s="14"/>
      <c r="Q25" s="28"/>
      <c r="R25" s="28"/>
      <c r="S25" s="28"/>
      <c r="T25" s="28"/>
      <c r="U25" s="7"/>
      <c r="V25" s="25">
        <f>SUM(U4:U25)</f>
        <v>112470857.2</v>
      </c>
      <c r="W25" s="41">
        <f>SUM(U16:U25)</f>
        <v>107107435.2</v>
      </c>
      <c r="X25" s="26"/>
      <c r="Y25" s="27"/>
    </row>
    <row r="26" spans="1:25" x14ac:dyDescent="0.3">
      <c r="B26" s="10"/>
      <c r="C26" s="21"/>
      <c r="D26" s="14"/>
      <c r="E26" s="14"/>
      <c r="F26" s="14"/>
      <c r="G26" s="14"/>
      <c r="H26" s="14"/>
      <c r="I26" s="14"/>
      <c r="J26" s="14"/>
      <c r="K26" s="14"/>
      <c r="L26" s="34"/>
      <c r="M26" s="14"/>
      <c r="N26" s="14"/>
      <c r="O26" s="14"/>
      <c r="P26" s="14"/>
      <c r="Q26" s="35"/>
      <c r="R26" s="7"/>
      <c r="S26" s="7"/>
      <c r="T26" s="7"/>
      <c r="U26" s="7"/>
    </row>
    <row r="27" spans="1:25" s="1" customFormat="1" ht="15" thickBot="1" x14ac:dyDescent="0.35">
      <c r="A27"/>
      <c r="B27" s="11"/>
      <c r="C27" s="22">
        <f>SUM(C4:C26)</f>
        <v>46690.142857142855</v>
      </c>
      <c r="D27" s="22">
        <f t="shared" ref="D27:T27" si="6">SUM(D4:D26)</f>
        <v>140071.42857142858</v>
      </c>
      <c r="E27" s="22">
        <f t="shared" si="6"/>
        <v>140071.42857142858</v>
      </c>
      <c r="F27" s="22">
        <f t="shared" si="6"/>
        <v>140071.42857142858</v>
      </c>
      <c r="G27" s="22">
        <f t="shared" si="6"/>
        <v>140071.42857142858</v>
      </c>
      <c r="H27" s="22">
        <f t="shared" si="6"/>
        <v>880897.94285714289</v>
      </c>
      <c r="I27" s="22">
        <f t="shared" si="6"/>
        <v>1562757.45</v>
      </c>
      <c r="J27" s="22">
        <f t="shared" si="6"/>
        <v>344113.25</v>
      </c>
      <c r="K27" s="22">
        <f t="shared" si="6"/>
        <v>311446.25</v>
      </c>
      <c r="L27" s="22">
        <f t="shared" si="6"/>
        <v>321446.25</v>
      </c>
      <c r="M27" s="22">
        <f t="shared" si="6"/>
        <v>351446.25</v>
      </c>
      <c r="N27" s="22">
        <f t="shared" si="6"/>
        <v>351446.25</v>
      </c>
      <c r="O27" s="22">
        <f t="shared" si="6"/>
        <v>321446.25</v>
      </c>
      <c r="P27" s="22">
        <f t="shared" si="6"/>
        <v>311446.25</v>
      </c>
      <c r="Q27" s="24">
        <f t="shared" si="6"/>
        <v>20593358.800000001</v>
      </c>
      <c r="R27" s="24">
        <f t="shared" si="6"/>
        <v>27696358.800000001</v>
      </c>
      <c r="S27" s="24">
        <f t="shared" si="6"/>
        <v>35838858.799999997</v>
      </c>
      <c r="T27" s="24">
        <f t="shared" si="6"/>
        <v>22978858.800000001</v>
      </c>
      <c r="U27" s="7">
        <f>SUM(C27:T27)</f>
        <v>112470857.2</v>
      </c>
      <c r="V27" s="1" t="s">
        <v>42</v>
      </c>
      <c r="W27" s="1" t="s">
        <v>43</v>
      </c>
    </row>
    <row r="30" spans="1:25" x14ac:dyDescent="0.3">
      <c r="A30" t="s">
        <v>40</v>
      </c>
      <c r="B30" s="25">
        <f>B18+B20+B22</f>
        <v>7830000</v>
      </c>
    </row>
    <row r="31" spans="1:25" x14ac:dyDescent="0.3">
      <c r="A31" t="s">
        <v>41</v>
      </c>
      <c r="B31" s="25">
        <f>B19+B21+B23</f>
        <v>47825000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Oklahoma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OMES</cp:lastModifiedBy>
  <dcterms:created xsi:type="dcterms:W3CDTF">2016-03-25T16:01:01Z</dcterms:created>
  <dcterms:modified xsi:type="dcterms:W3CDTF">2020-02-25T20:21:01Z</dcterms:modified>
</cp:coreProperties>
</file>